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797A9FDB-13B7-4890-830C-4BBDC319A641}" xr6:coauthVersionLast="47" xr6:coauthVersionMax="47" xr10:uidLastSave="{00000000-0000-0000-0000-000000000000}"/>
  <bookViews>
    <workbookView xWindow="20370" yWindow="-4740" windowWidth="29040" windowHeight="15720" tabRatio="690" xr2:uid="{6A5CD568-D842-425B-9861-997982E8BD12}"/>
  </bookViews>
  <sheets>
    <sheet name="0_基本情報" sheetId="11" r:id="rId1"/>
    <sheet name="1-1_児童数計算表" sheetId="6" r:id="rId2"/>
    <sheet name="1-2_児童数計算表_分園" sheetId="7" r:id="rId3"/>
    <sheet name="2_区分12加算額計算表" sheetId="2" r:id="rId4"/>
    <sheet name="3_区分3計算表" sheetId="8" r:id="rId5"/>
    <sheet name="【参考】計算結果" sheetId="10" r:id="rId6"/>
    <sheet name="様式1" sheetId="13" r:id="rId7"/>
    <sheet name="様式2" sheetId="14" r:id="rId8"/>
    <sheet name="様式3" sheetId="15" r:id="rId9"/>
    <sheet name="様式4" sheetId="16" r:id="rId10"/>
    <sheet name="様式4別添1" sheetId="17" r:id="rId11"/>
    <sheet name="様式4別添2" sheetId="18" r:id="rId12"/>
    <sheet name="様式5" sheetId="19" r:id="rId13"/>
    <sheet name="様式7" sheetId="20" r:id="rId14"/>
    <sheet name="区分12計算" sheetId="5" r:id="rId15"/>
    <sheet name="保育所単価" sheetId="4" r:id="rId16"/>
    <sheet name="【リスト】 (2)" sheetId="12" r:id="rId17"/>
    <sheet name="【リスト】" sheetId="3" r:id="rId18"/>
    <sheet name="京都市集計用_共通" sheetId="21" r:id="rId19"/>
    <sheet name="京都市集計用_保育所" sheetId="22" r:id="rId20"/>
  </sheets>
  <definedNames>
    <definedName name="_Fill" localSheetId="1" hidden="1">#REF!</definedName>
    <definedName name="_Fill" localSheetId="2" hidden="1">#REF!</definedName>
    <definedName name="_Fill" hidden="1">#REF!</definedName>
    <definedName name="_Key1" localSheetId="1" hidden="1">#REF!</definedName>
    <definedName name="_Key1" localSheetId="2" hidden="1">#REF!</definedName>
    <definedName name="_Key1" hidden="1">#REF!</definedName>
    <definedName name="_Order1" hidden="1">255</definedName>
    <definedName name="_Sort" localSheetId="1" hidden="1">#REF!</definedName>
    <definedName name="_Sort" localSheetId="2" hidden="1">#REF!</definedName>
    <definedName name="_Sort" hidden="1">#REF!</definedName>
    <definedName name="FAS" hidden="1">#REF!</definedName>
    <definedName name="_xlnm.Print_Area" localSheetId="0">'0_基本情報'!$A$1:$I$45</definedName>
    <definedName name="_xlnm.Print_Area" localSheetId="1">'1-1_児童数計算表'!$A$1:$Q$55</definedName>
    <definedName name="_xlnm.Print_Area" localSheetId="2">'1-2_児童数計算表_分園'!$A$1:$Q$55</definedName>
    <definedName name="_xlnm.Print_Area" localSheetId="3">'2_区分12加算額計算表'!$A$1:$J$46</definedName>
    <definedName name="_xlnm.Print_Area" localSheetId="4">'3_区分3計算表'!$A$1:$L$46</definedName>
    <definedName name="_xlnm.Print_Area" localSheetId="6">様式1!$A$1:$AL$54</definedName>
    <definedName name="_xlnm.Print_Area" localSheetId="7">様式2!$A$1:$AI$29</definedName>
    <definedName name="_xlnm.Print_Area" localSheetId="8">様式3!$A$1:$AJ$103</definedName>
    <definedName name="_xlnm.Print_Area" localSheetId="9">様式4!$A$1:$AO$45</definedName>
    <definedName name="_xlnm.Print_Area" localSheetId="10">様式4別添1!$A$1:$AG$74</definedName>
    <definedName name="_xlnm.Print_Area" localSheetId="11">様式4別添2!$A$1:$F$20</definedName>
    <definedName name="_xlnm.Print_Area" localSheetId="12">様式5!$A$1:$AB$24</definedName>
    <definedName name="_xlnm.Print_Area" localSheetId="13">様式7!$A$1:$AL$30</definedName>
    <definedName name="_xlnm.Print_Titles" localSheetId="10">様式4別添1!$3:$10</definedName>
    <definedName name="加算率a">'2_区分12加算額計算表'!$F$36</definedName>
    <definedName name="加算率b">'2_区分12加算額計算表'!$F$37</definedName>
    <definedName name="実施月数">'2_区分12加算額計算表'!$C$40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AN16" i="15"/>
  <c r="AN17" i="15" l="1"/>
  <c r="AJ12" i="17"/>
  <c r="AJ13" i="17"/>
  <c r="AJ14" i="17"/>
  <c r="AJ15" i="17"/>
  <c r="AJ16" i="17"/>
  <c r="AJ17" i="17"/>
  <c r="AJ18" i="17"/>
  <c r="AJ19" i="17"/>
  <c r="AJ20" i="17"/>
  <c r="AJ21" i="17"/>
  <c r="AJ22" i="17"/>
  <c r="AJ23" i="17"/>
  <c r="AJ24" i="17"/>
  <c r="AJ25" i="17"/>
  <c r="AJ26" i="17"/>
  <c r="AJ27" i="17"/>
  <c r="AJ28" i="17"/>
  <c r="AJ29" i="17"/>
  <c r="AJ30" i="17"/>
  <c r="AJ31" i="17"/>
  <c r="AJ32" i="17"/>
  <c r="AJ33" i="17"/>
  <c r="AJ34" i="17"/>
  <c r="AJ35" i="17"/>
  <c r="AJ36" i="17"/>
  <c r="AJ37" i="17"/>
  <c r="AJ38" i="17"/>
  <c r="AJ39" i="17"/>
  <c r="AJ40" i="17"/>
  <c r="AJ41" i="17"/>
  <c r="AJ42" i="17"/>
  <c r="AJ43" i="17"/>
  <c r="AJ44" i="17"/>
  <c r="AJ45" i="17"/>
  <c r="AJ46" i="17"/>
  <c r="AJ47" i="17"/>
  <c r="AJ48" i="17"/>
  <c r="AJ49" i="17"/>
  <c r="AJ50" i="17"/>
  <c r="AJ51" i="17"/>
  <c r="AJ52" i="17"/>
  <c r="AJ53" i="17"/>
  <c r="AJ54" i="17"/>
  <c r="AJ55" i="17"/>
  <c r="AJ56" i="17"/>
  <c r="AJ57" i="17"/>
  <c r="AJ58" i="17"/>
  <c r="AJ59" i="17"/>
  <c r="AJ60" i="17"/>
  <c r="AJ11" i="17"/>
  <c r="AI12" i="17"/>
  <c r="AI13" i="17"/>
  <c r="AI14" i="17"/>
  <c r="AI15" i="17"/>
  <c r="AI16" i="17"/>
  <c r="AI17" i="17"/>
  <c r="AI18" i="17"/>
  <c r="AI19" i="17"/>
  <c r="AI20" i="17"/>
  <c r="AI21" i="17"/>
  <c r="AI22" i="17"/>
  <c r="AI23" i="17"/>
  <c r="AI24" i="17"/>
  <c r="AI25" i="17"/>
  <c r="AI26" i="17"/>
  <c r="AI27" i="17"/>
  <c r="AI28" i="17"/>
  <c r="AI29" i="17"/>
  <c r="AI30" i="17"/>
  <c r="AI31" i="17"/>
  <c r="AI32" i="17"/>
  <c r="AI33" i="17"/>
  <c r="AI34" i="17"/>
  <c r="AI35" i="17"/>
  <c r="AI36" i="17"/>
  <c r="AI37" i="17"/>
  <c r="AI38" i="17"/>
  <c r="AI39" i="17"/>
  <c r="AI40" i="17"/>
  <c r="AI41" i="17"/>
  <c r="AI42" i="17"/>
  <c r="AI43" i="17"/>
  <c r="AI44" i="17"/>
  <c r="AI45" i="17"/>
  <c r="AI46" i="17"/>
  <c r="AI47" i="17"/>
  <c r="AI48" i="17"/>
  <c r="AI49" i="17"/>
  <c r="AI50" i="17"/>
  <c r="AI51" i="17"/>
  <c r="AI52" i="17"/>
  <c r="AI53" i="17"/>
  <c r="AI54" i="17"/>
  <c r="AI55" i="17"/>
  <c r="AI56" i="17"/>
  <c r="AI57" i="17"/>
  <c r="AI58" i="17"/>
  <c r="AI59" i="17"/>
  <c r="AI60" i="17"/>
  <c r="AI11" i="17"/>
  <c r="AX2" i="21" s="1"/>
  <c r="F37" i="2"/>
  <c r="AY2" i="21" l="1"/>
  <c r="T2" i="22"/>
  <c r="S2" i="22"/>
  <c r="R2" i="22"/>
  <c r="Q2" i="22"/>
  <c r="P2" i="22"/>
  <c r="O2" i="22"/>
  <c r="N2" i="22"/>
  <c r="M2" i="22"/>
  <c r="L2" i="22"/>
  <c r="K2" i="22"/>
  <c r="J2" i="22"/>
  <c r="I2" i="22"/>
  <c r="H2" i="22"/>
  <c r="G2" i="22"/>
  <c r="C2" i="22"/>
  <c r="B2" i="22"/>
  <c r="A2" i="22"/>
  <c r="BE2" i="21"/>
  <c r="BD2" i="21"/>
  <c r="AQ2" i="21"/>
  <c r="AN2" i="21"/>
  <c r="AJ2" i="21"/>
  <c r="AI2" i="21"/>
  <c r="AH2" i="21"/>
  <c r="AG2" i="21"/>
  <c r="I2" i="21"/>
  <c r="H2" i="21"/>
  <c r="G2" i="21"/>
  <c r="F2" i="21"/>
  <c r="E2" i="21"/>
  <c r="D2" i="21"/>
  <c r="C2" i="21"/>
  <c r="B2" i="21"/>
  <c r="A2" i="21"/>
  <c r="I23" i="3"/>
  <c r="I22" i="3"/>
  <c r="I21" i="3"/>
  <c r="I20" i="3"/>
  <c r="I19" i="3"/>
  <c r="I18" i="3"/>
  <c r="I17" i="3"/>
  <c r="I16" i="3"/>
  <c r="I15" i="3"/>
  <c r="I14" i="3"/>
  <c r="I13" i="3"/>
  <c r="I12" i="3"/>
  <c r="I11" i="3"/>
  <c r="I10" i="3"/>
  <c r="I9" i="3"/>
  <c r="I8" i="3"/>
  <c r="I7" i="3"/>
  <c r="I6" i="3"/>
  <c r="I5" i="3"/>
  <c r="I4" i="3"/>
  <c r="Z95" i="4"/>
  <c r="Y95" i="4"/>
  <c r="X95" i="4"/>
  <c r="W95" i="4"/>
  <c r="V95" i="4"/>
  <c r="U95" i="4"/>
  <c r="T95" i="4"/>
  <c r="S95" i="4"/>
  <c r="P95" i="4"/>
  <c r="O95" i="4"/>
  <c r="N95" i="4"/>
  <c r="M95" i="4"/>
  <c r="L95" i="4"/>
  <c r="K95" i="4"/>
  <c r="E95" i="4"/>
  <c r="F95" i="4" s="1"/>
  <c r="D95" i="4"/>
  <c r="C95" i="4"/>
  <c r="Z94" i="4"/>
  <c r="Y94" i="4"/>
  <c r="X94" i="4"/>
  <c r="W94" i="4"/>
  <c r="V94" i="4"/>
  <c r="U94" i="4"/>
  <c r="T94" i="4"/>
  <c r="S94" i="4"/>
  <c r="P94" i="4"/>
  <c r="O94" i="4"/>
  <c r="N94" i="4"/>
  <c r="M94" i="4"/>
  <c r="L94" i="4"/>
  <c r="K94" i="4"/>
  <c r="E94" i="4"/>
  <c r="D94" i="4"/>
  <c r="F94" i="4" s="1"/>
  <c r="C94" i="4"/>
  <c r="Z93" i="4"/>
  <c r="Y93" i="4"/>
  <c r="X93" i="4"/>
  <c r="W93" i="4"/>
  <c r="V93" i="4"/>
  <c r="U93" i="4"/>
  <c r="T93" i="4"/>
  <c r="S93" i="4"/>
  <c r="P93" i="4"/>
  <c r="O93" i="4"/>
  <c r="N93" i="4"/>
  <c r="M93" i="4"/>
  <c r="L93" i="4"/>
  <c r="K93" i="4"/>
  <c r="E93" i="4"/>
  <c r="F93" i="4" s="1"/>
  <c r="D93" i="4"/>
  <c r="C93" i="4"/>
  <c r="P92" i="4"/>
  <c r="O92" i="4"/>
  <c r="N92" i="4"/>
  <c r="M92" i="4"/>
  <c r="L92" i="4"/>
  <c r="K92" i="4"/>
  <c r="E92" i="4"/>
  <c r="F92" i="4" s="1"/>
  <c r="C92" i="4"/>
  <c r="Z91" i="4"/>
  <c r="Y91" i="4"/>
  <c r="X91" i="4"/>
  <c r="W91" i="4"/>
  <c r="V91" i="4"/>
  <c r="U91" i="4"/>
  <c r="T91" i="4"/>
  <c r="S91" i="4"/>
  <c r="P91" i="4"/>
  <c r="O91" i="4"/>
  <c r="N91" i="4"/>
  <c r="M91" i="4"/>
  <c r="L91" i="4"/>
  <c r="K91" i="4"/>
  <c r="E91" i="4"/>
  <c r="D91" i="4"/>
  <c r="C91" i="4"/>
  <c r="Z90" i="4"/>
  <c r="Y90" i="4"/>
  <c r="X90" i="4"/>
  <c r="W90" i="4"/>
  <c r="V90" i="4"/>
  <c r="U90" i="4"/>
  <c r="T90" i="4"/>
  <c r="S90" i="4"/>
  <c r="P90" i="4"/>
  <c r="O90" i="4"/>
  <c r="N90" i="4"/>
  <c r="M90" i="4"/>
  <c r="L90" i="4"/>
  <c r="K90" i="4"/>
  <c r="E90" i="4"/>
  <c r="D90" i="4"/>
  <c r="C90" i="4"/>
  <c r="Z89" i="4"/>
  <c r="Y89" i="4"/>
  <c r="X89" i="4"/>
  <c r="W89" i="4"/>
  <c r="V89" i="4"/>
  <c r="U89" i="4"/>
  <c r="T89" i="4"/>
  <c r="S89" i="4"/>
  <c r="P89" i="4"/>
  <c r="O89" i="4"/>
  <c r="N89" i="4"/>
  <c r="M89" i="4"/>
  <c r="L89" i="4"/>
  <c r="K89" i="4"/>
  <c r="E89" i="4"/>
  <c r="D89" i="4"/>
  <c r="C89" i="4"/>
  <c r="P88" i="4"/>
  <c r="O88" i="4"/>
  <c r="N88" i="4"/>
  <c r="M88" i="4"/>
  <c r="L88" i="4"/>
  <c r="K88" i="4"/>
  <c r="E88" i="4"/>
  <c r="F88" i="4" s="1"/>
  <c r="C88" i="4"/>
  <c r="Z87" i="4"/>
  <c r="Y87" i="4"/>
  <c r="X87" i="4"/>
  <c r="W87" i="4"/>
  <c r="V87" i="4"/>
  <c r="U87" i="4"/>
  <c r="T87" i="4"/>
  <c r="S87" i="4"/>
  <c r="P87" i="4"/>
  <c r="O87" i="4"/>
  <c r="N87" i="4"/>
  <c r="M87" i="4"/>
  <c r="L87" i="4"/>
  <c r="K87" i="4"/>
  <c r="E87" i="4"/>
  <c r="D87" i="4"/>
  <c r="F87" i="4" s="1"/>
  <c r="C87" i="4"/>
  <c r="Z86" i="4"/>
  <c r="Y86" i="4"/>
  <c r="X86" i="4"/>
  <c r="W86" i="4"/>
  <c r="V86" i="4"/>
  <c r="U86" i="4"/>
  <c r="T86" i="4"/>
  <c r="S86" i="4"/>
  <c r="P86" i="4"/>
  <c r="O86" i="4"/>
  <c r="N86" i="4"/>
  <c r="M86" i="4"/>
  <c r="L86" i="4"/>
  <c r="K86" i="4"/>
  <c r="E86" i="4"/>
  <c r="D86" i="4"/>
  <c r="C86" i="4"/>
  <c r="Z85" i="4"/>
  <c r="Y85" i="4"/>
  <c r="X85" i="4"/>
  <c r="W85" i="4"/>
  <c r="V85" i="4"/>
  <c r="U85" i="4"/>
  <c r="T85" i="4"/>
  <c r="S85" i="4"/>
  <c r="P85" i="4"/>
  <c r="O85" i="4"/>
  <c r="N85" i="4"/>
  <c r="M85" i="4"/>
  <c r="L85" i="4"/>
  <c r="K85" i="4"/>
  <c r="E85" i="4"/>
  <c r="D85" i="4"/>
  <c r="C85" i="4"/>
  <c r="P84" i="4"/>
  <c r="O84" i="4"/>
  <c r="N84" i="4"/>
  <c r="M84" i="4"/>
  <c r="L84" i="4"/>
  <c r="K84" i="4"/>
  <c r="E84" i="4"/>
  <c r="F84" i="4" s="1"/>
  <c r="C84" i="4"/>
  <c r="Z83" i="4"/>
  <c r="Y83" i="4"/>
  <c r="X83" i="4"/>
  <c r="W83" i="4"/>
  <c r="V83" i="4"/>
  <c r="U83" i="4"/>
  <c r="T83" i="4"/>
  <c r="S83" i="4"/>
  <c r="P83" i="4"/>
  <c r="O83" i="4"/>
  <c r="N83" i="4"/>
  <c r="M83" i="4"/>
  <c r="L83" i="4"/>
  <c r="K83" i="4"/>
  <c r="F83" i="4"/>
  <c r="E83" i="4"/>
  <c r="D83" i="4"/>
  <c r="C83" i="4"/>
  <c r="Z82" i="4"/>
  <c r="Y82" i="4"/>
  <c r="X82" i="4"/>
  <c r="W82" i="4"/>
  <c r="V82" i="4"/>
  <c r="U82" i="4"/>
  <c r="T82" i="4"/>
  <c r="S82" i="4"/>
  <c r="P82" i="4"/>
  <c r="O82" i="4"/>
  <c r="N82" i="4"/>
  <c r="M82" i="4"/>
  <c r="L82" i="4"/>
  <c r="K82" i="4"/>
  <c r="E82" i="4"/>
  <c r="D82" i="4"/>
  <c r="C82" i="4"/>
  <c r="Z81" i="4"/>
  <c r="Y81" i="4"/>
  <c r="X81" i="4"/>
  <c r="W81" i="4"/>
  <c r="V81" i="4"/>
  <c r="U81" i="4"/>
  <c r="T81" i="4"/>
  <c r="S81" i="4"/>
  <c r="P81" i="4"/>
  <c r="O81" i="4"/>
  <c r="N81" i="4"/>
  <c r="M81" i="4"/>
  <c r="L81" i="4"/>
  <c r="K81" i="4"/>
  <c r="E81" i="4"/>
  <c r="D81" i="4"/>
  <c r="C81" i="4"/>
  <c r="P80" i="4"/>
  <c r="O80" i="4"/>
  <c r="N80" i="4"/>
  <c r="M80" i="4"/>
  <c r="L80" i="4"/>
  <c r="K80" i="4"/>
  <c r="E80" i="4"/>
  <c r="F80" i="4" s="1"/>
  <c r="C80" i="4"/>
  <c r="Z79" i="4"/>
  <c r="Y79" i="4"/>
  <c r="X79" i="4"/>
  <c r="W79" i="4"/>
  <c r="V79" i="4"/>
  <c r="U79" i="4"/>
  <c r="T79" i="4"/>
  <c r="S79" i="4"/>
  <c r="P79" i="4"/>
  <c r="O79" i="4"/>
  <c r="N79" i="4"/>
  <c r="M79" i="4"/>
  <c r="L79" i="4"/>
  <c r="K79" i="4"/>
  <c r="E79" i="4"/>
  <c r="D79" i="4"/>
  <c r="C79" i="4"/>
  <c r="Z78" i="4"/>
  <c r="Y78" i="4"/>
  <c r="X78" i="4"/>
  <c r="W78" i="4"/>
  <c r="V78" i="4"/>
  <c r="U78" i="4"/>
  <c r="T78" i="4"/>
  <c r="S78" i="4"/>
  <c r="P78" i="4"/>
  <c r="O78" i="4"/>
  <c r="N78" i="4"/>
  <c r="M78" i="4"/>
  <c r="L78" i="4"/>
  <c r="K78" i="4"/>
  <c r="E78" i="4"/>
  <c r="D78" i="4"/>
  <c r="F78" i="4" s="1"/>
  <c r="C78" i="4"/>
  <c r="Z77" i="4"/>
  <c r="Y77" i="4"/>
  <c r="X77" i="4"/>
  <c r="W77" i="4"/>
  <c r="V77" i="4"/>
  <c r="U77" i="4"/>
  <c r="T77" i="4"/>
  <c r="S77" i="4"/>
  <c r="P77" i="4"/>
  <c r="O77" i="4"/>
  <c r="N77" i="4"/>
  <c r="M77" i="4"/>
  <c r="L77" i="4"/>
  <c r="K77" i="4"/>
  <c r="E77" i="4"/>
  <c r="D77" i="4"/>
  <c r="C77" i="4"/>
  <c r="P76" i="4"/>
  <c r="O76" i="4"/>
  <c r="N76" i="4"/>
  <c r="M76" i="4"/>
  <c r="L76" i="4"/>
  <c r="K76" i="4"/>
  <c r="E76" i="4"/>
  <c r="F76" i="4" s="1"/>
  <c r="C76" i="4"/>
  <c r="Z75" i="4"/>
  <c r="Y75" i="4"/>
  <c r="X75" i="4"/>
  <c r="W75" i="4"/>
  <c r="V75" i="4"/>
  <c r="U75" i="4"/>
  <c r="T75" i="4"/>
  <c r="S75" i="4"/>
  <c r="P75" i="4"/>
  <c r="O75" i="4"/>
  <c r="N75" i="4"/>
  <c r="M75" i="4"/>
  <c r="L75" i="4"/>
  <c r="K75" i="4"/>
  <c r="E75" i="4"/>
  <c r="D75" i="4"/>
  <c r="C75" i="4"/>
  <c r="Z74" i="4"/>
  <c r="Y74" i="4"/>
  <c r="X74" i="4"/>
  <c r="W74" i="4"/>
  <c r="V74" i="4"/>
  <c r="U74" i="4"/>
  <c r="T74" i="4"/>
  <c r="S74" i="4"/>
  <c r="P74" i="4"/>
  <c r="O74" i="4"/>
  <c r="N74" i="4"/>
  <c r="M74" i="4"/>
  <c r="L74" i="4"/>
  <c r="K74" i="4"/>
  <c r="E74" i="4"/>
  <c r="D74" i="4"/>
  <c r="C74" i="4"/>
  <c r="Z73" i="4"/>
  <c r="Y73" i="4"/>
  <c r="X73" i="4"/>
  <c r="W73" i="4"/>
  <c r="V73" i="4"/>
  <c r="U73" i="4"/>
  <c r="T73" i="4"/>
  <c r="S73" i="4"/>
  <c r="P73" i="4"/>
  <c r="O73" i="4"/>
  <c r="N73" i="4"/>
  <c r="M73" i="4"/>
  <c r="L73" i="4"/>
  <c r="K73" i="4"/>
  <c r="E73" i="4"/>
  <c r="D73" i="4"/>
  <c r="C73" i="4"/>
  <c r="P72" i="4"/>
  <c r="O72" i="4"/>
  <c r="N72" i="4"/>
  <c r="M72" i="4"/>
  <c r="L72" i="4"/>
  <c r="K72" i="4"/>
  <c r="E72" i="4"/>
  <c r="F72" i="4" s="1"/>
  <c r="C72" i="4"/>
  <c r="Z71" i="4"/>
  <c r="Y71" i="4"/>
  <c r="X71" i="4"/>
  <c r="W71" i="4"/>
  <c r="V71" i="4"/>
  <c r="U71" i="4"/>
  <c r="T71" i="4"/>
  <c r="S71" i="4"/>
  <c r="P71" i="4"/>
  <c r="O71" i="4"/>
  <c r="N71" i="4"/>
  <c r="M71" i="4"/>
  <c r="L71" i="4"/>
  <c r="K71" i="4"/>
  <c r="E71" i="4"/>
  <c r="D71" i="4"/>
  <c r="C71" i="4"/>
  <c r="Z70" i="4"/>
  <c r="Y70" i="4"/>
  <c r="X70" i="4"/>
  <c r="W70" i="4"/>
  <c r="V70" i="4"/>
  <c r="U70" i="4"/>
  <c r="T70" i="4"/>
  <c r="S70" i="4"/>
  <c r="P70" i="4"/>
  <c r="O70" i="4"/>
  <c r="N70" i="4"/>
  <c r="M70" i="4"/>
  <c r="L70" i="4"/>
  <c r="K70" i="4"/>
  <c r="E70" i="4"/>
  <c r="D70" i="4"/>
  <c r="C70" i="4"/>
  <c r="Z69" i="4"/>
  <c r="Y69" i="4"/>
  <c r="X69" i="4"/>
  <c r="W69" i="4"/>
  <c r="V69" i="4"/>
  <c r="U69" i="4"/>
  <c r="T69" i="4"/>
  <c r="S69" i="4"/>
  <c r="P69" i="4"/>
  <c r="O69" i="4"/>
  <c r="N69" i="4"/>
  <c r="M69" i="4"/>
  <c r="L69" i="4"/>
  <c r="K69" i="4"/>
  <c r="E69" i="4"/>
  <c r="D69" i="4"/>
  <c r="C69" i="4"/>
  <c r="P68" i="4"/>
  <c r="O68" i="4"/>
  <c r="N68" i="4"/>
  <c r="M68" i="4"/>
  <c r="L68" i="4"/>
  <c r="K68" i="4"/>
  <c r="E68" i="4"/>
  <c r="F68" i="4" s="1"/>
  <c r="C68" i="4"/>
  <c r="Z67" i="4"/>
  <c r="Y67" i="4"/>
  <c r="X67" i="4"/>
  <c r="W67" i="4"/>
  <c r="V67" i="4"/>
  <c r="U67" i="4"/>
  <c r="T67" i="4"/>
  <c r="S67" i="4"/>
  <c r="P67" i="4"/>
  <c r="O67" i="4"/>
  <c r="N67" i="4"/>
  <c r="M67" i="4"/>
  <c r="L67" i="4"/>
  <c r="K67" i="4"/>
  <c r="E67" i="4"/>
  <c r="D67" i="4"/>
  <c r="C67" i="4"/>
  <c r="Z66" i="4"/>
  <c r="Y66" i="4"/>
  <c r="X66" i="4"/>
  <c r="W66" i="4"/>
  <c r="V66" i="4"/>
  <c r="U66" i="4"/>
  <c r="T66" i="4"/>
  <c r="S66" i="4"/>
  <c r="P66" i="4"/>
  <c r="O66" i="4"/>
  <c r="N66" i="4"/>
  <c r="M66" i="4"/>
  <c r="L66" i="4"/>
  <c r="K66" i="4"/>
  <c r="E66" i="4"/>
  <c r="D66" i="4"/>
  <c r="C66" i="4"/>
  <c r="Z65" i="4"/>
  <c r="Y65" i="4"/>
  <c r="X65" i="4"/>
  <c r="W65" i="4"/>
  <c r="V65" i="4"/>
  <c r="U65" i="4"/>
  <c r="T65" i="4"/>
  <c r="S65" i="4"/>
  <c r="P65" i="4"/>
  <c r="O65" i="4"/>
  <c r="N65" i="4"/>
  <c r="M65" i="4"/>
  <c r="L65" i="4"/>
  <c r="K65" i="4"/>
  <c r="E65" i="4"/>
  <c r="D65" i="4"/>
  <c r="C65" i="4"/>
  <c r="P64" i="4"/>
  <c r="O64" i="4"/>
  <c r="N64" i="4"/>
  <c r="M64" i="4"/>
  <c r="L64" i="4"/>
  <c r="K64" i="4"/>
  <c r="E64" i="4"/>
  <c r="F64" i="4" s="1"/>
  <c r="C64" i="4"/>
  <c r="Z63" i="4"/>
  <c r="Y63" i="4"/>
  <c r="X63" i="4"/>
  <c r="W63" i="4"/>
  <c r="V63" i="4"/>
  <c r="U63" i="4"/>
  <c r="T63" i="4"/>
  <c r="S63" i="4"/>
  <c r="P63" i="4"/>
  <c r="O63" i="4"/>
  <c r="N63" i="4"/>
  <c r="M63" i="4"/>
  <c r="L63" i="4"/>
  <c r="K63" i="4"/>
  <c r="E63" i="4"/>
  <c r="D63" i="4"/>
  <c r="C63" i="4"/>
  <c r="Z62" i="4"/>
  <c r="Y62" i="4"/>
  <c r="X62" i="4"/>
  <c r="W62" i="4"/>
  <c r="V62" i="4"/>
  <c r="U62" i="4"/>
  <c r="T62" i="4"/>
  <c r="S62" i="4"/>
  <c r="P62" i="4"/>
  <c r="O62" i="4"/>
  <c r="N62" i="4"/>
  <c r="M62" i="4"/>
  <c r="L62" i="4"/>
  <c r="K62" i="4"/>
  <c r="E62" i="4"/>
  <c r="D62" i="4"/>
  <c r="C62" i="4"/>
  <c r="Z61" i="4"/>
  <c r="Y61" i="4"/>
  <c r="X61" i="4"/>
  <c r="W61" i="4"/>
  <c r="V61" i="4"/>
  <c r="U61" i="4"/>
  <c r="T61" i="4"/>
  <c r="S61" i="4"/>
  <c r="P61" i="4"/>
  <c r="O61" i="4"/>
  <c r="N61" i="4"/>
  <c r="M61" i="4"/>
  <c r="L61" i="4"/>
  <c r="K61" i="4"/>
  <c r="E61" i="4"/>
  <c r="D61" i="4"/>
  <c r="C61" i="4"/>
  <c r="P60" i="4"/>
  <c r="O60" i="4"/>
  <c r="N60" i="4"/>
  <c r="M60" i="4"/>
  <c r="L60" i="4"/>
  <c r="K60" i="4"/>
  <c r="E60" i="4"/>
  <c r="F60" i="4" s="1"/>
  <c r="C60" i="4"/>
  <c r="Z59" i="4"/>
  <c r="Y59" i="4"/>
  <c r="X59" i="4"/>
  <c r="W59" i="4"/>
  <c r="V59" i="4"/>
  <c r="U59" i="4"/>
  <c r="T59" i="4"/>
  <c r="S59" i="4"/>
  <c r="R59" i="4"/>
  <c r="Q59" i="4"/>
  <c r="P59" i="4"/>
  <c r="O59" i="4"/>
  <c r="N59" i="4"/>
  <c r="M59" i="4"/>
  <c r="L59" i="4"/>
  <c r="K59" i="4"/>
  <c r="E59" i="4"/>
  <c r="D59" i="4"/>
  <c r="C59" i="4"/>
  <c r="Z58" i="4"/>
  <c r="Y58" i="4"/>
  <c r="X58" i="4"/>
  <c r="W58" i="4"/>
  <c r="V58" i="4"/>
  <c r="U58" i="4"/>
  <c r="T58" i="4"/>
  <c r="S58" i="4"/>
  <c r="R58" i="4"/>
  <c r="Q58" i="4"/>
  <c r="P58" i="4"/>
  <c r="O58" i="4"/>
  <c r="N58" i="4"/>
  <c r="M58" i="4"/>
  <c r="L58" i="4"/>
  <c r="K58" i="4"/>
  <c r="E58" i="4"/>
  <c r="D58" i="4"/>
  <c r="F58" i="4" s="1"/>
  <c r="C58" i="4"/>
  <c r="Z57" i="4"/>
  <c r="Y57" i="4"/>
  <c r="X57" i="4"/>
  <c r="W57" i="4"/>
  <c r="V57" i="4"/>
  <c r="U57" i="4"/>
  <c r="T57" i="4"/>
  <c r="S57" i="4"/>
  <c r="R57" i="4"/>
  <c r="Q57" i="4"/>
  <c r="P57" i="4"/>
  <c r="O57" i="4"/>
  <c r="N57" i="4"/>
  <c r="M57" i="4"/>
  <c r="L57" i="4"/>
  <c r="K57" i="4"/>
  <c r="E57" i="4"/>
  <c r="D57" i="4"/>
  <c r="C57" i="4"/>
  <c r="P56" i="4"/>
  <c r="O56" i="4"/>
  <c r="N56" i="4"/>
  <c r="M56" i="4"/>
  <c r="L56" i="4"/>
  <c r="K56" i="4"/>
  <c r="E56" i="4"/>
  <c r="F56" i="4" s="1"/>
  <c r="C56" i="4"/>
  <c r="Z55" i="4"/>
  <c r="Y55" i="4"/>
  <c r="X55" i="4"/>
  <c r="W55" i="4"/>
  <c r="V55" i="4"/>
  <c r="U55" i="4"/>
  <c r="T55" i="4"/>
  <c r="S55" i="4"/>
  <c r="R55" i="4"/>
  <c r="Q55" i="4"/>
  <c r="P55" i="4"/>
  <c r="O55" i="4"/>
  <c r="N55" i="4"/>
  <c r="M55" i="4"/>
  <c r="L55" i="4"/>
  <c r="K55" i="4"/>
  <c r="E55" i="4"/>
  <c r="D55" i="4"/>
  <c r="F55" i="4" s="1"/>
  <c r="C55" i="4"/>
  <c r="Z54" i="4"/>
  <c r="Y54" i="4"/>
  <c r="X54" i="4"/>
  <c r="W54" i="4"/>
  <c r="V54" i="4"/>
  <c r="U54" i="4"/>
  <c r="T54" i="4"/>
  <c r="S54" i="4"/>
  <c r="R54" i="4"/>
  <c r="Q54" i="4"/>
  <c r="P54" i="4"/>
  <c r="O54" i="4"/>
  <c r="N54" i="4"/>
  <c r="M54" i="4"/>
  <c r="L54" i="4"/>
  <c r="K54" i="4"/>
  <c r="E54" i="4"/>
  <c r="D54" i="4"/>
  <c r="C54" i="4"/>
  <c r="Z53" i="4"/>
  <c r="Y53" i="4"/>
  <c r="X53" i="4"/>
  <c r="W53" i="4"/>
  <c r="V53" i="4"/>
  <c r="U53" i="4"/>
  <c r="T53" i="4"/>
  <c r="S53" i="4"/>
  <c r="R53" i="4"/>
  <c r="Q53" i="4"/>
  <c r="P53" i="4"/>
  <c r="O53" i="4"/>
  <c r="N53" i="4"/>
  <c r="M53" i="4"/>
  <c r="L53" i="4"/>
  <c r="K53" i="4"/>
  <c r="E53" i="4"/>
  <c r="D53" i="4"/>
  <c r="C53" i="4"/>
  <c r="P52" i="4"/>
  <c r="O52" i="4"/>
  <c r="N52" i="4"/>
  <c r="M52" i="4"/>
  <c r="L52" i="4"/>
  <c r="K52" i="4"/>
  <c r="E52" i="4"/>
  <c r="F52" i="4" s="1"/>
  <c r="C52" i="4"/>
  <c r="Z51" i="4"/>
  <c r="Y51" i="4"/>
  <c r="X51" i="4"/>
  <c r="W51" i="4"/>
  <c r="V51" i="4"/>
  <c r="U51" i="4"/>
  <c r="T51" i="4"/>
  <c r="S51" i="4"/>
  <c r="R51" i="4"/>
  <c r="Q51" i="4"/>
  <c r="P51" i="4"/>
  <c r="O51" i="4"/>
  <c r="N51" i="4"/>
  <c r="M51" i="4"/>
  <c r="L51" i="4"/>
  <c r="K51" i="4"/>
  <c r="E51" i="4"/>
  <c r="D51" i="4"/>
  <c r="C51" i="4"/>
  <c r="Z50" i="4"/>
  <c r="Y50" i="4"/>
  <c r="X50" i="4"/>
  <c r="W50" i="4"/>
  <c r="V50" i="4"/>
  <c r="U50" i="4"/>
  <c r="T50" i="4"/>
  <c r="S50" i="4"/>
  <c r="R50" i="4"/>
  <c r="Q50" i="4"/>
  <c r="P50" i="4"/>
  <c r="O50" i="4"/>
  <c r="N50" i="4"/>
  <c r="M50" i="4"/>
  <c r="L50" i="4"/>
  <c r="K50" i="4"/>
  <c r="E50" i="4"/>
  <c r="D50" i="4"/>
  <c r="C50" i="4"/>
  <c r="Z49" i="4"/>
  <c r="Y49" i="4"/>
  <c r="X49" i="4"/>
  <c r="W49" i="4"/>
  <c r="V49" i="4"/>
  <c r="U49" i="4"/>
  <c r="T49" i="4"/>
  <c r="S49" i="4"/>
  <c r="R49" i="4"/>
  <c r="Q49" i="4"/>
  <c r="P49" i="4"/>
  <c r="O49" i="4"/>
  <c r="N49" i="4"/>
  <c r="M49" i="4"/>
  <c r="L49" i="4"/>
  <c r="K49" i="4"/>
  <c r="E49" i="4"/>
  <c r="D49" i="4"/>
  <c r="C49" i="4"/>
  <c r="P48" i="4"/>
  <c r="O48" i="4"/>
  <c r="N48" i="4"/>
  <c r="M48" i="4"/>
  <c r="L48" i="4"/>
  <c r="K48" i="4"/>
  <c r="E48" i="4"/>
  <c r="F48" i="4" s="1"/>
  <c r="C48" i="4"/>
  <c r="Z47" i="4"/>
  <c r="Y47" i="4"/>
  <c r="X47" i="4"/>
  <c r="W47" i="4"/>
  <c r="V47" i="4"/>
  <c r="U47" i="4"/>
  <c r="T47" i="4"/>
  <c r="S47" i="4"/>
  <c r="R47" i="4"/>
  <c r="Q47" i="4"/>
  <c r="P47" i="4"/>
  <c r="O47" i="4"/>
  <c r="N47" i="4"/>
  <c r="M47" i="4"/>
  <c r="L47" i="4"/>
  <c r="K47" i="4"/>
  <c r="E47" i="4"/>
  <c r="D47" i="4"/>
  <c r="C47" i="4"/>
  <c r="Z46" i="4"/>
  <c r="Y46" i="4"/>
  <c r="X46" i="4"/>
  <c r="W46" i="4"/>
  <c r="V46" i="4"/>
  <c r="U46" i="4"/>
  <c r="T46" i="4"/>
  <c r="S46" i="4"/>
  <c r="R46" i="4"/>
  <c r="Q46" i="4"/>
  <c r="P46" i="4"/>
  <c r="O46" i="4"/>
  <c r="N46" i="4"/>
  <c r="M46" i="4"/>
  <c r="L46" i="4"/>
  <c r="K46" i="4"/>
  <c r="E46" i="4"/>
  <c r="D46" i="4"/>
  <c r="C46" i="4"/>
  <c r="Z45" i="4"/>
  <c r="Y45" i="4"/>
  <c r="X45" i="4"/>
  <c r="W45" i="4"/>
  <c r="V45" i="4"/>
  <c r="U45" i="4"/>
  <c r="T45" i="4"/>
  <c r="S45" i="4"/>
  <c r="R45" i="4"/>
  <c r="Q45" i="4"/>
  <c r="P45" i="4"/>
  <c r="O45" i="4"/>
  <c r="N45" i="4"/>
  <c r="M45" i="4"/>
  <c r="L45" i="4"/>
  <c r="K45" i="4"/>
  <c r="E45" i="4"/>
  <c r="D45" i="4"/>
  <c r="C45" i="4"/>
  <c r="P44" i="4"/>
  <c r="O44" i="4"/>
  <c r="N44" i="4"/>
  <c r="M44" i="4"/>
  <c r="L44" i="4"/>
  <c r="K44" i="4"/>
  <c r="E44" i="4"/>
  <c r="F44" i="4" s="1"/>
  <c r="C44" i="4"/>
  <c r="Z43" i="4"/>
  <c r="Y43" i="4"/>
  <c r="X43" i="4"/>
  <c r="W43" i="4"/>
  <c r="V43" i="4"/>
  <c r="U43" i="4"/>
  <c r="T43" i="4"/>
  <c r="S43" i="4"/>
  <c r="R43" i="4"/>
  <c r="Q43" i="4"/>
  <c r="P43" i="4"/>
  <c r="O43" i="4"/>
  <c r="N43" i="4"/>
  <c r="M43" i="4"/>
  <c r="L43" i="4"/>
  <c r="K43" i="4"/>
  <c r="E43" i="4"/>
  <c r="D43" i="4"/>
  <c r="C43" i="4"/>
  <c r="Z42" i="4"/>
  <c r="Y42" i="4"/>
  <c r="X42" i="4"/>
  <c r="W42" i="4"/>
  <c r="V42" i="4"/>
  <c r="U42" i="4"/>
  <c r="T42" i="4"/>
  <c r="S42" i="4"/>
  <c r="R42" i="4"/>
  <c r="Q42" i="4"/>
  <c r="P42" i="4"/>
  <c r="O42" i="4"/>
  <c r="N42" i="4"/>
  <c r="M42" i="4"/>
  <c r="L42" i="4"/>
  <c r="K42" i="4"/>
  <c r="E42" i="4"/>
  <c r="D42" i="4"/>
  <c r="F42" i="4" s="1"/>
  <c r="C42" i="4"/>
  <c r="Z41" i="4"/>
  <c r="Y41" i="4"/>
  <c r="X41" i="4"/>
  <c r="W41" i="4"/>
  <c r="V41" i="4"/>
  <c r="U41" i="4"/>
  <c r="T41" i="4"/>
  <c r="S41" i="4"/>
  <c r="R41" i="4"/>
  <c r="Q41" i="4"/>
  <c r="P41" i="4"/>
  <c r="O41" i="4"/>
  <c r="N41" i="4"/>
  <c r="M41" i="4"/>
  <c r="L41" i="4"/>
  <c r="K41" i="4"/>
  <c r="E41" i="4"/>
  <c r="D41" i="4"/>
  <c r="C41" i="4"/>
  <c r="P40" i="4"/>
  <c r="O40" i="4"/>
  <c r="N40" i="4"/>
  <c r="M40" i="4"/>
  <c r="L40" i="4"/>
  <c r="K40" i="4"/>
  <c r="E40" i="4"/>
  <c r="F40" i="4" s="1"/>
  <c r="C40" i="4"/>
  <c r="Z39" i="4"/>
  <c r="Y39" i="4"/>
  <c r="X39" i="4"/>
  <c r="W39" i="4"/>
  <c r="V39" i="4"/>
  <c r="U39" i="4"/>
  <c r="T39" i="4"/>
  <c r="S39" i="4"/>
  <c r="R39" i="4"/>
  <c r="Q39" i="4"/>
  <c r="P39" i="4"/>
  <c r="O39" i="4"/>
  <c r="N39" i="4"/>
  <c r="M39" i="4"/>
  <c r="L39" i="4"/>
  <c r="K39" i="4"/>
  <c r="E39" i="4"/>
  <c r="D39" i="4"/>
  <c r="C39" i="4"/>
  <c r="Z38" i="4"/>
  <c r="Y38" i="4"/>
  <c r="X38" i="4"/>
  <c r="W38" i="4"/>
  <c r="V38" i="4"/>
  <c r="U38" i="4"/>
  <c r="T38" i="4"/>
  <c r="S38" i="4"/>
  <c r="R38" i="4"/>
  <c r="Q38" i="4"/>
  <c r="P38" i="4"/>
  <c r="O38" i="4"/>
  <c r="N38" i="4"/>
  <c r="M38" i="4"/>
  <c r="L38" i="4"/>
  <c r="K38" i="4"/>
  <c r="E38" i="4"/>
  <c r="D38" i="4"/>
  <c r="C38" i="4"/>
  <c r="Z37" i="4"/>
  <c r="Y37" i="4"/>
  <c r="X37" i="4"/>
  <c r="W37" i="4"/>
  <c r="V37" i="4"/>
  <c r="U37" i="4"/>
  <c r="T37" i="4"/>
  <c r="S37" i="4"/>
  <c r="R37" i="4"/>
  <c r="Q37" i="4"/>
  <c r="P37" i="4"/>
  <c r="O37" i="4"/>
  <c r="N37" i="4"/>
  <c r="M37" i="4"/>
  <c r="L37" i="4"/>
  <c r="K37" i="4"/>
  <c r="E37" i="4"/>
  <c r="D37" i="4"/>
  <c r="C37" i="4"/>
  <c r="P36" i="4"/>
  <c r="O36" i="4"/>
  <c r="N36" i="4"/>
  <c r="M36" i="4"/>
  <c r="L36" i="4"/>
  <c r="K36" i="4"/>
  <c r="E36" i="4"/>
  <c r="F36" i="4" s="1"/>
  <c r="C36" i="4"/>
  <c r="Z35" i="4"/>
  <c r="Y35" i="4"/>
  <c r="X35" i="4"/>
  <c r="W35" i="4"/>
  <c r="V35" i="4"/>
  <c r="U35" i="4"/>
  <c r="T35" i="4"/>
  <c r="S35" i="4"/>
  <c r="R35" i="4"/>
  <c r="Q35" i="4"/>
  <c r="P35" i="4"/>
  <c r="O35" i="4"/>
  <c r="N35" i="4"/>
  <c r="M35" i="4"/>
  <c r="L35" i="4"/>
  <c r="K35" i="4"/>
  <c r="E35" i="4"/>
  <c r="D35" i="4"/>
  <c r="F35" i="4" s="1"/>
  <c r="C35" i="4"/>
  <c r="Z34" i="4"/>
  <c r="Y34" i="4"/>
  <c r="X34" i="4"/>
  <c r="W34" i="4"/>
  <c r="V34" i="4"/>
  <c r="U34" i="4"/>
  <c r="T34" i="4"/>
  <c r="S34" i="4"/>
  <c r="R34" i="4"/>
  <c r="Q34" i="4"/>
  <c r="P34" i="4"/>
  <c r="O34" i="4"/>
  <c r="N34" i="4"/>
  <c r="M34" i="4"/>
  <c r="L34" i="4"/>
  <c r="K34" i="4"/>
  <c r="E34" i="4"/>
  <c r="D34" i="4"/>
  <c r="C34" i="4"/>
  <c r="Z33" i="4"/>
  <c r="Y33" i="4"/>
  <c r="X33" i="4"/>
  <c r="W33" i="4"/>
  <c r="V33" i="4"/>
  <c r="U33" i="4"/>
  <c r="T33" i="4"/>
  <c r="S33" i="4"/>
  <c r="R33" i="4"/>
  <c r="Q33" i="4"/>
  <c r="P33" i="4"/>
  <c r="O33" i="4"/>
  <c r="N33" i="4"/>
  <c r="M33" i="4"/>
  <c r="L33" i="4"/>
  <c r="K33" i="4"/>
  <c r="E33" i="4"/>
  <c r="D33" i="4"/>
  <c r="C33" i="4"/>
  <c r="P32" i="4"/>
  <c r="O32" i="4"/>
  <c r="N32" i="4"/>
  <c r="M32" i="4"/>
  <c r="L32" i="4"/>
  <c r="K32" i="4"/>
  <c r="E32" i="4"/>
  <c r="F32" i="4" s="1"/>
  <c r="C32" i="4"/>
  <c r="Z31" i="4"/>
  <c r="Y31" i="4"/>
  <c r="X31" i="4"/>
  <c r="W31" i="4"/>
  <c r="V31" i="4"/>
  <c r="U31" i="4"/>
  <c r="T31" i="4"/>
  <c r="S31" i="4"/>
  <c r="R31" i="4"/>
  <c r="Q31" i="4"/>
  <c r="P31" i="4"/>
  <c r="O31" i="4"/>
  <c r="N31" i="4"/>
  <c r="M31" i="4"/>
  <c r="L31" i="4"/>
  <c r="K31" i="4"/>
  <c r="E31" i="4"/>
  <c r="D31" i="4"/>
  <c r="C31" i="4"/>
  <c r="Z30" i="4"/>
  <c r="Y30" i="4"/>
  <c r="X30" i="4"/>
  <c r="W30" i="4"/>
  <c r="V30" i="4"/>
  <c r="U30" i="4"/>
  <c r="T30" i="4"/>
  <c r="S30" i="4"/>
  <c r="R30" i="4"/>
  <c r="Q30" i="4"/>
  <c r="P30" i="4"/>
  <c r="O30" i="4"/>
  <c r="N30" i="4"/>
  <c r="M30" i="4"/>
  <c r="L30" i="4"/>
  <c r="K30" i="4"/>
  <c r="E30" i="4"/>
  <c r="D30" i="4"/>
  <c r="C30" i="4"/>
  <c r="Z29" i="4"/>
  <c r="Y29" i="4"/>
  <c r="X29" i="4"/>
  <c r="W29" i="4"/>
  <c r="V29" i="4"/>
  <c r="U29" i="4"/>
  <c r="T29" i="4"/>
  <c r="S29" i="4"/>
  <c r="R29" i="4"/>
  <c r="Q29" i="4"/>
  <c r="P29" i="4"/>
  <c r="O29" i="4"/>
  <c r="N29" i="4"/>
  <c r="M29" i="4"/>
  <c r="L29" i="4"/>
  <c r="K29" i="4"/>
  <c r="E29" i="4"/>
  <c r="D29" i="4"/>
  <c r="C29" i="4"/>
  <c r="P28" i="4"/>
  <c r="O28" i="4"/>
  <c r="N28" i="4"/>
  <c r="M28" i="4"/>
  <c r="L28" i="4"/>
  <c r="K28" i="4"/>
  <c r="E28" i="4"/>
  <c r="F28" i="4" s="1"/>
  <c r="C28" i="4"/>
  <c r="Z27" i="4"/>
  <c r="Y27" i="4"/>
  <c r="X27" i="4"/>
  <c r="W27" i="4"/>
  <c r="V27" i="4"/>
  <c r="U27" i="4"/>
  <c r="T27" i="4"/>
  <c r="S27" i="4"/>
  <c r="R27" i="4"/>
  <c r="Q27" i="4"/>
  <c r="P27" i="4"/>
  <c r="O27" i="4"/>
  <c r="N27" i="4"/>
  <c r="M27" i="4"/>
  <c r="L27" i="4"/>
  <c r="K27" i="4"/>
  <c r="E27" i="4"/>
  <c r="D27" i="4"/>
  <c r="C27" i="4"/>
  <c r="Z26" i="4"/>
  <c r="Y26" i="4"/>
  <c r="X26" i="4"/>
  <c r="W26" i="4"/>
  <c r="V26" i="4"/>
  <c r="U26" i="4"/>
  <c r="T26" i="4"/>
  <c r="S26" i="4"/>
  <c r="R26" i="4"/>
  <c r="Q26" i="4"/>
  <c r="P26" i="4"/>
  <c r="O26" i="4"/>
  <c r="N26" i="4"/>
  <c r="M26" i="4"/>
  <c r="L26" i="4"/>
  <c r="K26" i="4"/>
  <c r="E26" i="4"/>
  <c r="D26" i="4"/>
  <c r="C26" i="4"/>
  <c r="Z25" i="4"/>
  <c r="Y25" i="4"/>
  <c r="X25" i="4"/>
  <c r="W25" i="4"/>
  <c r="V25" i="4"/>
  <c r="U25" i="4"/>
  <c r="T25" i="4"/>
  <c r="S25" i="4"/>
  <c r="R25" i="4"/>
  <c r="Q25" i="4"/>
  <c r="P25" i="4"/>
  <c r="O25" i="4"/>
  <c r="N25" i="4"/>
  <c r="M25" i="4"/>
  <c r="L25" i="4"/>
  <c r="K25" i="4"/>
  <c r="E25" i="4"/>
  <c r="D25" i="4"/>
  <c r="C25" i="4"/>
  <c r="P24" i="4"/>
  <c r="O24" i="4"/>
  <c r="N24" i="4"/>
  <c r="M24" i="4"/>
  <c r="L24" i="4"/>
  <c r="K24" i="4"/>
  <c r="E24" i="4"/>
  <c r="F24" i="4" s="1"/>
  <c r="C24" i="4"/>
  <c r="Z23" i="4"/>
  <c r="Y23" i="4"/>
  <c r="X23" i="4"/>
  <c r="W23" i="4"/>
  <c r="V23" i="4"/>
  <c r="U23" i="4"/>
  <c r="T23" i="4"/>
  <c r="S23" i="4"/>
  <c r="R23" i="4"/>
  <c r="Q23" i="4"/>
  <c r="P23" i="4"/>
  <c r="O23" i="4"/>
  <c r="N23" i="4"/>
  <c r="M23" i="4"/>
  <c r="L23" i="4"/>
  <c r="K23" i="4"/>
  <c r="E23" i="4"/>
  <c r="D23" i="4"/>
  <c r="F23" i="4" s="1"/>
  <c r="C23" i="4"/>
  <c r="Z22" i="4"/>
  <c r="Y22" i="4"/>
  <c r="X22" i="4"/>
  <c r="W22" i="4"/>
  <c r="V22" i="4"/>
  <c r="U22" i="4"/>
  <c r="T22" i="4"/>
  <c r="S22" i="4"/>
  <c r="R22" i="4"/>
  <c r="Q22" i="4"/>
  <c r="P22" i="4"/>
  <c r="O22" i="4"/>
  <c r="N22" i="4"/>
  <c r="M22" i="4"/>
  <c r="L22" i="4"/>
  <c r="K22" i="4"/>
  <c r="E22" i="4"/>
  <c r="D22" i="4"/>
  <c r="C22" i="4"/>
  <c r="Z21" i="4"/>
  <c r="Y21" i="4"/>
  <c r="X21" i="4"/>
  <c r="W21" i="4"/>
  <c r="V21" i="4"/>
  <c r="U21" i="4"/>
  <c r="T21" i="4"/>
  <c r="S21" i="4"/>
  <c r="R21" i="4"/>
  <c r="Q21" i="4"/>
  <c r="P21" i="4"/>
  <c r="O21" i="4"/>
  <c r="N21" i="4"/>
  <c r="M21" i="4"/>
  <c r="L21" i="4"/>
  <c r="K21" i="4"/>
  <c r="E21" i="4"/>
  <c r="D21" i="4"/>
  <c r="C21" i="4"/>
  <c r="P20" i="4"/>
  <c r="O20" i="4"/>
  <c r="N20" i="4"/>
  <c r="M20" i="4"/>
  <c r="L20" i="4"/>
  <c r="K20" i="4"/>
  <c r="E20" i="4"/>
  <c r="F20" i="4" s="1"/>
  <c r="C20" i="4"/>
  <c r="Z19" i="4"/>
  <c r="Y19" i="4"/>
  <c r="X19" i="4"/>
  <c r="W19" i="4"/>
  <c r="V19" i="4"/>
  <c r="U19" i="4"/>
  <c r="T19" i="4"/>
  <c r="S19" i="4"/>
  <c r="R19" i="4"/>
  <c r="Q19" i="4"/>
  <c r="P19" i="4"/>
  <c r="O19" i="4"/>
  <c r="N19" i="4"/>
  <c r="M19" i="4"/>
  <c r="L19" i="4"/>
  <c r="K19" i="4"/>
  <c r="E19" i="4"/>
  <c r="D19" i="4"/>
  <c r="C19" i="4"/>
  <c r="Z18" i="4"/>
  <c r="Y18" i="4"/>
  <c r="X18" i="4"/>
  <c r="W18" i="4"/>
  <c r="V18" i="4"/>
  <c r="U18" i="4"/>
  <c r="T18" i="4"/>
  <c r="S18" i="4"/>
  <c r="R18" i="4"/>
  <c r="Q18" i="4"/>
  <c r="P18" i="4"/>
  <c r="O18" i="4"/>
  <c r="N18" i="4"/>
  <c r="M18" i="4"/>
  <c r="L18" i="4"/>
  <c r="K18" i="4"/>
  <c r="E18" i="4"/>
  <c r="D18" i="4"/>
  <c r="F18" i="4" s="1"/>
  <c r="C18" i="4"/>
  <c r="Z17" i="4"/>
  <c r="Y17" i="4"/>
  <c r="X17" i="4"/>
  <c r="W17" i="4"/>
  <c r="V17" i="4"/>
  <c r="U17" i="4"/>
  <c r="T17" i="4"/>
  <c r="S17" i="4"/>
  <c r="R17" i="4"/>
  <c r="Q17" i="4"/>
  <c r="P17" i="4"/>
  <c r="O17" i="4"/>
  <c r="N17" i="4"/>
  <c r="M17" i="4"/>
  <c r="L17" i="4"/>
  <c r="K17" i="4"/>
  <c r="E17" i="4"/>
  <c r="D17" i="4"/>
  <c r="C17" i="4"/>
  <c r="P16" i="4"/>
  <c r="O16" i="4"/>
  <c r="N16" i="4"/>
  <c r="M16" i="4"/>
  <c r="L16" i="4"/>
  <c r="K16" i="4"/>
  <c r="E16" i="4"/>
  <c r="F16" i="4" s="1"/>
  <c r="C16" i="4"/>
  <c r="Z15" i="4"/>
  <c r="Y15" i="4"/>
  <c r="X15" i="4"/>
  <c r="W15" i="4"/>
  <c r="V15" i="4"/>
  <c r="U15" i="4"/>
  <c r="T15" i="4"/>
  <c r="S15" i="4"/>
  <c r="R15" i="4"/>
  <c r="Q15" i="4"/>
  <c r="E15" i="4"/>
  <c r="D15" i="4"/>
  <c r="C15" i="4"/>
  <c r="Z14" i="4"/>
  <c r="Y14" i="4"/>
  <c r="X14" i="4"/>
  <c r="W14" i="4"/>
  <c r="V14" i="4"/>
  <c r="U14" i="4"/>
  <c r="T14" i="4"/>
  <c r="S14" i="4"/>
  <c r="R14" i="4"/>
  <c r="Q14" i="4"/>
  <c r="E14" i="4"/>
  <c r="D14" i="4"/>
  <c r="C14" i="4"/>
  <c r="Z13" i="4"/>
  <c r="Y13" i="4"/>
  <c r="X13" i="4"/>
  <c r="W13" i="4"/>
  <c r="V13" i="4"/>
  <c r="U13" i="4"/>
  <c r="T13" i="4"/>
  <c r="S13" i="4"/>
  <c r="R13" i="4"/>
  <c r="Q13" i="4"/>
  <c r="E13" i="4"/>
  <c r="D13" i="4"/>
  <c r="C13" i="4"/>
  <c r="E12" i="4"/>
  <c r="F12" i="4" s="1"/>
  <c r="C12" i="4"/>
  <c r="D11" i="4"/>
  <c r="F11" i="4" s="1"/>
  <c r="D10" i="4"/>
  <c r="F10" i="4" s="1"/>
  <c r="D9" i="4"/>
  <c r="F9" i="4" s="1"/>
  <c r="F8" i="4"/>
  <c r="AQ1" i="4"/>
  <c r="AP1" i="4"/>
  <c r="AO1" i="4"/>
  <c r="AN1" i="4"/>
  <c r="AK1" i="4"/>
  <c r="AJ1" i="4"/>
  <c r="AI1" i="4"/>
  <c r="AH1" i="4"/>
  <c r="AE1" i="4"/>
  <c r="AD1" i="4"/>
  <c r="AC1" i="4"/>
  <c r="AB1" i="4"/>
  <c r="Z1" i="4"/>
  <c r="Y1" i="4"/>
  <c r="X1" i="4"/>
  <c r="W1" i="4"/>
  <c r="V1" i="4"/>
  <c r="U1" i="4"/>
  <c r="T1" i="4"/>
  <c r="S1" i="4"/>
  <c r="R1" i="4"/>
  <c r="Q1" i="4"/>
  <c r="P1" i="4"/>
  <c r="O1" i="4"/>
  <c r="N1" i="4"/>
  <c r="M1" i="4"/>
  <c r="L1" i="4"/>
  <c r="K1" i="4"/>
  <c r="J1" i="4"/>
  <c r="I1" i="4"/>
  <c r="H1" i="4"/>
  <c r="G1" i="4"/>
  <c r="F1" i="4"/>
  <c r="B48" i="5"/>
  <c r="B47" i="5"/>
  <c r="B46" i="5"/>
  <c r="B45" i="5"/>
  <c r="B44" i="5"/>
  <c r="A44" i="5"/>
  <c r="B43" i="5"/>
  <c r="B42" i="5"/>
  <c r="A42" i="5"/>
  <c r="B41" i="5"/>
  <c r="B40" i="5"/>
  <c r="C39" i="5"/>
  <c r="B39" i="5"/>
  <c r="A39" i="5"/>
  <c r="B38" i="5"/>
  <c r="B37" i="5"/>
  <c r="B36" i="5"/>
  <c r="B35" i="5"/>
  <c r="B34" i="5"/>
  <c r="B33" i="5"/>
  <c r="C32" i="5"/>
  <c r="B32" i="5"/>
  <c r="C31" i="5"/>
  <c r="B31" i="5"/>
  <c r="C30" i="5"/>
  <c r="B30" i="5"/>
  <c r="C29" i="5"/>
  <c r="B29" i="5"/>
  <c r="C24" i="5"/>
  <c r="AA24" i="5" s="1"/>
  <c r="C23" i="5"/>
  <c r="C45" i="5" s="1"/>
  <c r="A23" i="5"/>
  <c r="C22" i="5"/>
  <c r="C44" i="5" s="1"/>
  <c r="C21" i="5"/>
  <c r="C43" i="5" s="1"/>
  <c r="A21" i="5"/>
  <c r="A43" i="5" s="1"/>
  <c r="C20" i="5"/>
  <c r="C42" i="5" s="1"/>
  <c r="C18" i="5"/>
  <c r="C40" i="5" s="1"/>
  <c r="C16" i="5"/>
  <c r="C38" i="5" s="1"/>
  <c r="C15" i="5"/>
  <c r="C37" i="5" s="1"/>
  <c r="C14" i="5"/>
  <c r="C36" i="5" s="1"/>
  <c r="A14" i="5"/>
  <c r="C13" i="5"/>
  <c r="C35" i="5" s="1"/>
  <c r="C12" i="5"/>
  <c r="C34" i="5" s="1"/>
  <c r="C11" i="5"/>
  <c r="C33" i="5" s="1"/>
  <c r="A9" i="5"/>
  <c r="A10" i="5" s="1"/>
  <c r="A7" i="5"/>
  <c r="AA6" i="5"/>
  <c r="Z6" i="5"/>
  <c r="Y6" i="5"/>
  <c r="X6" i="5"/>
  <c r="W6" i="5"/>
  <c r="V6" i="5"/>
  <c r="U6" i="5"/>
  <c r="T6" i="5"/>
  <c r="S6" i="5"/>
  <c r="R6" i="5"/>
  <c r="Q6" i="5"/>
  <c r="P6" i="5"/>
  <c r="O6" i="5"/>
  <c r="N6" i="5"/>
  <c r="M6" i="5"/>
  <c r="L6" i="5"/>
  <c r="K6" i="5"/>
  <c r="J6" i="5"/>
  <c r="I6" i="5"/>
  <c r="H6" i="5"/>
  <c r="G6" i="5"/>
  <c r="F6" i="5"/>
  <c r="E6" i="5"/>
  <c r="D6" i="5"/>
  <c r="AA1" i="5"/>
  <c r="Z1" i="5"/>
  <c r="Y1" i="5"/>
  <c r="W1" i="5"/>
  <c r="V1" i="5"/>
  <c r="U1" i="5"/>
  <c r="S1" i="5"/>
  <c r="R1" i="5"/>
  <c r="Q1" i="5"/>
  <c r="O1" i="5"/>
  <c r="N1" i="5"/>
  <c r="M1" i="5"/>
  <c r="K1" i="5"/>
  <c r="J1" i="5"/>
  <c r="I1" i="5"/>
  <c r="G1" i="5"/>
  <c r="F1" i="5"/>
  <c r="E1" i="5"/>
  <c r="Y8" i="20"/>
  <c r="X3" i="20"/>
  <c r="O4" i="19"/>
  <c r="A2" i="19"/>
  <c r="F18" i="18"/>
  <c r="E18" i="18"/>
  <c r="T79" i="17"/>
  <c r="AC61" i="17"/>
  <c r="Y23" i="16" s="1"/>
  <c r="AA61" i="17"/>
  <c r="Y21" i="16" s="1"/>
  <c r="X61" i="17"/>
  <c r="W14" i="16" s="1"/>
  <c r="AP2" i="21" s="1"/>
  <c r="W61" i="17"/>
  <c r="V61" i="17"/>
  <c r="U61" i="17"/>
  <c r="S61" i="17"/>
  <c r="Y19" i="16" s="1"/>
  <c r="P61" i="17"/>
  <c r="Y30" i="16" s="1"/>
  <c r="O61" i="17"/>
  <c r="Y29" i="16" s="1"/>
  <c r="K61" i="17"/>
  <c r="Y25" i="16" s="1"/>
  <c r="T60" i="17"/>
  <c r="A60" i="17"/>
  <c r="T59" i="17"/>
  <c r="AV50" i="17" s="1"/>
  <c r="A59" i="17"/>
  <c r="AQ50" i="17" s="1"/>
  <c r="T58" i="17"/>
  <c r="A58" i="17"/>
  <c r="AQ49" i="17" s="1"/>
  <c r="T57" i="17"/>
  <c r="AV48" i="17" s="1"/>
  <c r="A57" i="17"/>
  <c r="T56" i="17"/>
  <c r="AV47" i="17" s="1"/>
  <c r="A56" i="17"/>
  <c r="AQ47" i="17" s="1"/>
  <c r="T55" i="17"/>
  <c r="A55" i="17"/>
  <c r="T54" i="17"/>
  <c r="AV45" i="17" s="1"/>
  <c r="A54" i="17"/>
  <c r="T53" i="17"/>
  <c r="A53" i="17"/>
  <c r="T52" i="17"/>
  <c r="A52" i="17"/>
  <c r="AX51" i="17"/>
  <c r="AW51" i="17"/>
  <c r="AV51" i="17"/>
  <c r="AU51" i="17"/>
  <c r="AT51" i="17"/>
  <c r="AS51" i="17"/>
  <c r="AR51" i="17"/>
  <c r="AQ51" i="17"/>
  <c r="T51" i="17"/>
  <c r="AV42" i="17" s="1"/>
  <c r="A51" i="17"/>
  <c r="AX50" i="17"/>
  <c r="AW50" i="17"/>
  <c r="AU50" i="17"/>
  <c r="AT50" i="17"/>
  <c r="AS50" i="17"/>
  <c r="AR50" i="17"/>
  <c r="T50" i="17"/>
  <c r="A50" i="17"/>
  <c r="AX49" i="17"/>
  <c r="AW49" i="17"/>
  <c r="AV49" i="17"/>
  <c r="AU49" i="17"/>
  <c r="AT49" i="17"/>
  <c r="AS49" i="17"/>
  <c r="AR49" i="17"/>
  <c r="T49" i="17"/>
  <c r="AV40" i="17" s="1"/>
  <c r="A49" i="17"/>
  <c r="AX48" i="17"/>
  <c r="AW48" i="17"/>
  <c r="AU48" i="17"/>
  <c r="AT48" i="17"/>
  <c r="AS48" i="17"/>
  <c r="AR48" i="17"/>
  <c r="AQ48" i="17"/>
  <c r="T48" i="17"/>
  <c r="AV39" i="17" s="1"/>
  <c r="A48" i="17"/>
  <c r="AX47" i="17"/>
  <c r="AW47" i="17"/>
  <c r="AU47" i="17"/>
  <c r="AT47" i="17"/>
  <c r="AS47" i="17"/>
  <c r="AR47" i="17"/>
  <c r="T47" i="17"/>
  <c r="A47" i="17"/>
  <c r="AX46" i="17"/>
  <c r="AW46" i="17"/>
  <c r="AV46" i="17"/>
  <c r="AU46" i="17"/>
  <c r="AT46" i="17"/>
  <c r="AS46" i="17"/>
  <c r="AR46" i="17"/>
  <c r="AQ46" i="17"/>
  <c r="T46" i="17"/>
  <c r="AV37" i="17" s="1"/>
  <c r="A46" i="17"/>
  <c r="AX45" i="17"/>
  <c r="AW45" i="17"/>
  <c r="AU45" i="17"/>
  <c r="AT45" i="17"/>
  <c r="AS45" i="17"/>
  <c r="AR45" i="17"/>
  <c r="AQ45" i="17"/>
  <c r="T45" i="17"/>
  <c r="A45" i="17"/>
  <c r="AQ36" i="17" s="1"/>
  <c r="AX44" i="17"/>
  <c r="AW44" i="17"/>
  <c r="AV44" i="17"/>
  <c r="AU44" i="17"/>
  <c r="AT44" i="17"/>
  <c r="AS44" i="17"/>
  <c r="AR44" i="17"/>
  <c r="AQ44" i="17"/>
  <c r="T44" i="17"/>
  <c r="A44" i="17"/>
  <c r="AX43" i="17"/>
  <c r="AW43" i="17"/>
  <c r="AV43" i="17"/>
  <c r="AU43" i="17"/>
  <c r="AT43" i="17"/>
  <c r="AS43" i="17"/>
  <c r="AR43" i="17"/>
  <c r="AQ43" i="17"/>
  <c r="T43" i="17"/>
  <c r="AV34" i="17" s="1"/>
  <c r="A43" i="17"/>
  <c r="AX42" i="17"/>
  <c r="AW42" i="17"/>
  <c r="AU42" i="17"/>
  <c r="AT42" i="17"/>
  <c r="AS42" i="17"/>
  <c r="AR42" i="17"/>
  <c r="AQ42" i="17"/>
  <c r="T42" i="17"/>
  <c r="A42" i="17"/>
  <c r="AX41" i="17"/>
  <c r="AW41" i="17"/>
  <c r="AV41" i="17"/>
  <c r="AU41" i="17"/>
  <c r="AT41" i="17"/>
  <c r="AS41" i="17"/>
  <c r="AR41" i="17"/>
  <c r="AQ41" i="17"/>
  <c r="T41" i="17"/>
  <c r="AV32" i="17" s="1"/>
  <c r="A41" i="17"/>
  <c r="AX40" i="17"/>
  <c r="AW40" i="17"/>
  <c r="AU40" i="17"/>
  <c r="AT40" i="17"/>
  <c r="AS40" i="17"/>
  <c r="AR40" i="17"/>
  <c r="AQ40" i="17"/>
  <c r="T40" i="17"/>
  <c r="AV31" i="17" s="1"/>
  <c r="A40" i="17"/>
  <c r="AX39" i="17"/>
  <c r="AW39" i="17"/>
  <c r="AU39" i="17"/>
  <c r="AT39" i="17"/>
  <c r="AS39" i="17"/>
  <c r="AR39" i="17"/>
  <c r="AQ39" i="17"/>
  <c r="T39" i="17"/>
  <c r="A39" i="17"/>
  <c r="AX38" i="17"/>
  <c r="AW38" i="17"/>
  <c r="AV38" i="17"/>
  <c r="AU38" i="17"/>
  <c r="AT38" i="17"/>
  <c r="AS38" i="17"/>
  <c r="AR38" i="17"/>
  <c r="AQ38" i="17"/>
  <c r="T38" i="17"/>
  <c r="AV29" i="17" s="1"/>
  <c r="A38" i="17"/>
  <c r="AX37" i="17"/>
  <c r="AW37" i="17"/>
  <c r="AU37" i="17"/>
  <c r="AT37" i="17"/>
  <c r="AS37" i="17"/>
  <c r="AR37" i="17"/>
  <c r="AQ37" i="17"/>
  <c r="T37" i="17"/>
  <c r="A37" i="17"/>
  <c r="AX36" i="17"/>
  <c r="AW36" i="17"/>
  <c r="AV36" i="17"/>
  <c r="AU36" i="17"/>
  <c r="AT36" i="17"/>
  <c r="AS36" i="17"/>
  <c r="AR36" i="17"/>
  <c r="T36" i="17"/>
  <c r="A36" i="17"/>
  <c r="AX35" i="17"/>
  <c r="AW35" i="17"/>
  <c r="AV35" i="17"/>
  <c r="AU35" i="17"/>
  <c r="AT35" i="17"/>
  <c r="AS35" i="17"/>
  <c r="AR35" i="17"/>
  <c r="AQ35" i="17"/>
  <c r="T35" i="17"/>
  <c r="AV26" i="17" s="1"/>
  <c r="A35" i="17"/>
  <c r="AX34" i="17"/>
  <c r="AW34" i="17"/>
  <c r="AU34" i="17"/>
  <c r="AT34" i="17"/>
  <c r="AS34" i="17"/>
  <c r="AR34" i="17"/>
  <c r="AQ34" i="17"/>
  <c r="T34" i="17"/>
  <c r="A34" i="17"/>
  <c r="AX33" i="17"/>
  <c r="AW33" i="17"/>
  <c r="AV33" i="17"/>
  <c r="AU33" i="17"/>
  <c r="AT33" i="17"/>
  <c r="AS33" i="17"/>
  <c r="AR33" i="17"/>
  <c r="AQ33" i="17"/>
  <c r="T33" i="17"/>
  <c r="AV24" i="17" s="1"/>
  <c r="A33" i="17"/>
  <c r="AX32" i="17"/>
  <c r="AW32" i="17"/>
  <c r="AU32" i="17"/>
  <c r="AT32" i="17"/>
  <c r="AS32" i="17"/>
  <c r="AR32" i="17"/>
  <c r="AQ32" i="17"/>
  <c r="T32" i="17"/>
  <c r="AV23" i="17" s="1"/>
  <c r="A32" i="17"/>
  <c r="AX31" i="17"/>
  <c r="AW31" i="17"/>
  <c r="AU31" i="17"/>
  <c r="AT31" i="17"/>
  <c r="AS31" i="17"/>
  <c r="AR31" i="17"/>
  <c r="AQ31" i="17"/>
  <c r="T31" i="17"/>
  <c r="A31" i="17"/>
  <c r="AQ22" i="17" s="1"/>
  <c r="AX30" i="17"/>
  <c r="AW30" i="17"/>
  <c r="AV30" i="17"/>
  <c r="AU30" i="17"/>
  <c r="AT30" i="17"/>
  <c r="AS30" i="17"/>
  <c r="AR30" i="17"/>
  <c r="AQ30" i="17"/>
  <c r="T30" i="17"/>
  <c r="AV21" i="17" s="1"/>
  <c r="A30" i="17"/>
  <c r="AX29" i="17"/>
  <c r="AW29" i="17"/>
  <c r="AU29" i="17"/>
  <c r="AT29" i="17"/>
  <c r="AS29" i="17"/>
  <c r="AR29" i="17"/>
  <c r="AQ29" i="17"/>
  <c r="T29" i="17"/>
  <c r="A29" i="17"/>
  <c r="AQ20" i="17" s="1"/>
  <c r="AX28" i="17"/>
  <c r="AW28" i="17"/>
  <c r="AV28" i="17"/>
  <c r="AU28" i="17"/>
  <c r="AT28" i="17"/>
  <c r="AS28" i="17"/>
  <c r="AR28" i="17"/>
  <c r="AQ28" i="17"/>
  <c r="T28" i="17"/>
  <c r="A28" i="17"/>
  <c r="AX27" i="17"/>
  <c r="AW27" i="17"/>
  <c r="AV27" i="17"/>
  <c r="AU27" i="17"/>
  <c r="AT27" i="17"/>
  <c r="AS27" i="17"/>
  <c r="AR27" i="17"/>
  <c r="AQ27" i="17"/>
  <c r="T27" i="17"/>
  <c r="AV18" i="17" s="1"/>
  <c r="A27" i="17"/>
  <c r="AX26" i="17"/>
  <c r="AW26" i="17"/>
  <c r="AU26" i="17"/>
  <c r="AT26" i="17"/>
  <c r="AS26" i="17"/>
  <c r="AR26" i="17"/>
  <c r="AQ26" i="17"/>
  <c r="T26" i="17"/>
  <c r="A26" i="17"/>
  <c r="AQ17" i="17" s="1"/>
  <c r="AX25" i="17"/>
  <c r="AW25" i="17"/>
  <c r="AV25" i="17"/>
  <c r="AU25" i="17"/>
  <c r="AT25" i="17"/>
  <c r="AS25" i="17"/>
  <c r="AR25" i="17"/>
  <c r="AQ25" i="17"/>
  <c r="T25" i="17"/>
  <c r="AV16" i="17" s="1"/>
  <c r="A25" i="17"/>
  <c r="AX24" i="17"/>
  <c r="AW24" i="17"/>
  <c r="AU24" i="17"/>
  <c r="AT24" i="17"/>
  <c r="AS24" i="17"/>
  <c r="AR24" i="17"/>
  <c r="AQ24" i="17"/>
  <c r="T24" i="17"/>
  <c r="AV15" i="17" s="1"/>
  <c r="A24" i="17"/>
  <c r="AX23" i="17"/>
  <c r="AW23" i="17"/>
  <c r="AU23" i="17"/>
  <c r="AT23" i="17"/>
  <c r="AS23" i="17"/>
  <c r="AR23" i="17"/>
  <c r="AQ23" i="17"/>
  <c r="T23" i="17"/>
  <c r="AV14" i="17" s="1"/>
  <c r="A23" i="17"/>
  <c r="AX22" i="17"/>
  <c r="AW22" i="17"/>
  <c r="AV22" i="17"/>
  <c r="AU22" i="17"/>
  <c r="AT22" i="17"/>
  <c r="AS22" i="17"/>
  <c r="AR22" i="17"/>
  <c r="T22" i="17"/>
  <c r="AV13" i="17" s="1"/>
  <c r="A22" i="17"/>
  <c r="AX21" i="17"/>
  <c r="AW21" i="17"/>
  <c r="AU21" i="17"/>
  <c r="AT21" i="17"/>
  <c r="AS21" i="17"/>
  <c r="AR21" i="17"/>
  <c r="AQ21" i="17"/>
  <c r="T21" i="17"/>
  <c r="AV12" i="17" s="1"/>
  <c r="A21" i="17"/>
  <c r="AX20" i="17"/>
  <c r="AW20" i="17"/>
  <c r="AV20" i="17"/>
  <c r="AU20" i="17"/>
  <c r="AT20" i="17"/>
  <c r="AS20" i="17"/>
  <c r="AR20" i="17"/>
  <c r="T20" i="17"/>
  <c r="AV11" i="17" s="1"/>
  <c r="A20" i="17"/>
  <c r="AX19" i="17"/>
  <c r="AW19" i="17"/>
  <c r="AV19" i="17"/>
  <c r="AU19" i="17"/>
  <c r="AT19" i="17"/>
  <c r="AS19" i="17"/>
  <c r="AR19" i="17"/>
  <c r="AQ19" i="17"/>
  <c r="T19" i="17"/>
  <c r="AV10" i="17" s="1"/>
  <c r="A19" i="17"/>
  <c r="AX18" i="17"/>
  <c r="AW18" i="17"/>
  <c r="AU18" i="17"/>
  <c r="AT18" i="17"/>
  <c r="AS18" i="17"/>
  <c r="AR18" i="17"/>
  <c r="AQ18" i="17"/>
  <c r="T18" i="17"/>
  <c r="AV9" i="17" s="1"/>
  <c r="A18" i="17"/>
  <c r="AX17" i="17"/>
  <c r="AW17" i="17"/>
  <c r="AV17" i="17"/>
  <c r="AU17" i="17"/>
  <c r="AT17" i="17"/>
  <c r="AS17" i="17"/>
  <c r="AR17" i="17"/>
  <c r="T17" i="17"/>
  <c r="AV8" i="17" s="1"/>
  <c r="A17" i="17"/>
  <c r="AQ8" i="17" s="1"/>
  <c r="AX16" i="17"/>
  <c r="AW16" i="17"/>
  <c r="AU16" i="17"/>
  <c r="AT16" i="17"/>
  <c r="AS16" i="17"/>
  <c r="AR16" i="17"/>
  <c r="AQ16" i="17"/>
  <c r="T16" i="17"/>
  <c r="AV7" i="17" s="1"/>
  <c r="A16" i="17"/>
  <c r="AX15" i="17"/>
  <c r="AW15" i="17"/>
  <c r="AU15" i="17"/>
  <c r="AT15" i="17"/>
  <c r="AS15" i="17"/>
  <c r="AR15" i="17"/>
  <c r="AQ15" i="17"/>
  <c r="T15" i="17"/>
  <c r="AV6" i="17" s="1"/>
  <c r="A15" i="17"/>
  <c r="AX14" i="17"/>
  <c r="AW14" i="17"/>
  <c r="AU14" i="17"/>
  <c r="AT14" i="17"/>
  <c r="AS14" i="17"/>
  <c r="AR14" i="17"/>
  <c r="AQ14" i="17"/>
  <c r="T14" i="17"/>
  <c r="AV5" i="17" s="1"/>
  <c r="A14" i="17"/>
  <c r="AQ5" i="17" s="1"/>
  <c r="AX13" i="17"/>
  <c r="AW13" i="17"/>
  <c r="AU13" i="17"/>
  <c r="AT13" i="17"/>
  <c r="AS13" i="17"/>
  <c r="AR13" i="17"/>
  <c r="AQ13" i="17"/>
  <c r="T13" i="17"/>
  <c r="AV4" i="17" s="1"/>
  <c r="A13" i="17"/>
  <c r="AX12" i="17"/>
  <c r="AW12" i="17"/>
  <c r="AU12" i="17"/>
  <c r="AT12" i="17"/>
  <c r="AS12" i="17"/>
  <c r="AR12" i="17"/>
  <c r="AQ12" i="17"/>
  <c r="T12" i="17"/>
  <c r="AV3" i="17" s="1"/>
  <c r="A12" i="17"/>
  <c r="AX11" i="17"/>
  <c r="AW11" i="17"/>
  <c r="AU11" i="17"/>
  <c r="AT11" i="17"/>
  <c r="AS11" i="17"/>
  <c r="AR11" i="17"/>
  <c r="AQ11" i="17"/>
  <c r="T11" i="17"/>
  <c r="AV2" i="17" s="1"/>
  <c r="A11" i="17"/>
  <c r="AX10" i="17"/>
  <c r="AW10" i="17"/>
  <c r="AU10" i="17"/>
  <c r="AT10" i="17"/>
  <c r="AS10" i="17"/>
  <c r="AR10" i="17"/>
  <c r="AQ10" i="17"/>
  <c r="AX9" i="17"/>
  <c r="AW9" i="17"/>
  <c r="AU9" i="17"/>
  <c r="AT9" i="17"/>
  <c r="AS9" i="17"/>
  <c r="AR9" i="17"/>
  <c r="AQ9" i="17"/>
  <c r="AX8" i="17"/>
  <c r="AW8" i="17"/>
  <c r="AU8" i="17"/>
  <c r="AT8" i="17"/>
  <c r="AS8" i="17"/>
  <c r="AR8" i="17"/>
  <c r="AX7" i="17"/>
  <c r="AW7" i="17"/>
  <c r="AU7" i="17"/>
  <c r="AT7" i="17"/>
  <c r="AS7" i="17"/>
  <c r="AR7" i="17"/>
  <c r="AQ7" i="17"/>
  <c r="AX6" i="17"/>
  <c r="AW6" i="17"/>
  <c r="AU6" i="17"/>
  <c r="AT6" i="17"/>
  <c r="AS6" i="17"/>
  <c r="AR6" i="17"/>
  <c r="AQ6" i="17"/>
  <c r="AX5" i="17"/>
  <c r="AW5" i="17"/>
  <c r="AU5" i="17"/>
  <c r="AT5" i="17"/>
  <c r="AS5" i="17"/>
  <c r="AR5" i="17"/>
  <c r="AX4" i="17"/>
  <c r="AW4" i="17"/>
  <c r="AU4" i="17"/>
  <c r="AT4" i="17"/>
  <c r="AS4" i="17"/>
  <c r="AR4" i="17"/>
  <c r="AQ4" i="17"/>
  <c r="AX3" i="17"/>
  <c r="AW3" i="17"/>
  <c r="AU3" i="17"/>
  <c r="AT3" i="17"/>
  <c r="AS3" i="17"/>
  <c r="AR3" i="17"/>
  <c r="AQ3" i="17"/>
  <c r="AX2" i="17"/>
  <c r="AW2" i="17"/>
  <c r="AU2" i="17"/>
  <c r="AT2" i="17"/>
  <c r="AS2" i="17"/>
  <c r="AR2" i="17"/>
  <c r="AQ2" i="17"/>
  <c r="N39" i="16"/>
  <c r="N38" i="16"/>
  <c r="Y28" i="16"/>
  <c r="Y27" i="16"/>
  <c r="Y26" i="16"/>
  <c r="Y22" i="16"/>
  <c r="X4" i="16"/>
  <c r="B2" i="16"/>
  <c r="T15" i="15"/>
  <c r="L15" i="15"/>
  <c r="U8" i="15"/>
  <c r="B3" i="15"/>
  <c r="V8" i="14"/>
  <c r="B2" i="14"/>
  <c r="C51" i="13"/>
  <c r="F51" i="13" s="1"/>
  <c r="AF2" i="21" s="1"/>
  <c r="C17" i="13"/>
  <c r="F17" i="13" s="1"/>
  <c r="AE2" i="21" s="1"/>
  <c r="U10" i="13"/>
  <c r="X7" i="16" s="1"/>
  <c r="U9" i="13"/>
  <c r="U10" i="15" s="1"/>
  <c r="O6" i="19" s="1"/>
  <c r="U8" i="13"/>
  <c r="U9" i="15" s="1"/>
  <c r="O5" i="19" s="1"/>
  <c r="B2" i="13"/>
  <c r="A23" i="10"/>
  <c r="E34" i="8"/>
  <c r="AE54" i="15" s="1"/>
  <c r="F33" i="8"/>
  <c r="E33" i="8"/>
  <c r="H33" i="8" s="1"/>
  <c r="E32" i="8"/>
  <c r="AE52" i="15" s="1"/>
  <c r="E31" i="8"/>
  <c r="AE51" i="15" s="1"/>
  <c r="E30" i="8"/>
  <c r="H30" i="8" s="1"/>
  <c r="F27" i="8"/>
  <c r="G27" i="8" s="1"/>
  <c r="H27" i="8" s="1"/>
  <c r="I26" i="8"/>
  <c r="E26" i="8"/>
  <c r="AE48" i="15" s="1"/>
  <c r="F25" i="8"/>
  <c r="E24" i="8"/>
  <c r="AE46" i="15" s="1"/>
  <c r="F23" i="8"/>
  <c r="T22" i="8"/>
  <c r="P22" i="8"/>
  <c r="I22" i="8"/>
  <c r="E22" i="8"/>
  <c r="AE47" i="15" s="1"/>
  <c r="T21" i="8"/>
  <c r="F21" i="8"/>
  <c r="G21" i="8" s="1"/>
  <c r="H21" i="8" s="1"/>
  <c r="T20" i="8"/>
  <c r="T19" i="8"/>
  <c r="P19" i="8"/>
  <c r="T18" i="8"/>
  <c r="T14" i="8"/>
  <c r="P14" i="8"/>
  <c r="T13" i="8"/>
  <c r="T12" i="8"/>
  <c r="T11" i="8"/>
  <c r="P11" i="8"/>
  <c r="T10" i="8"/>
  <c r="J9" i="8"/>
  <c r="F9" i="8"/>
  <c r="J8" i="8"/>
  <c r="L35" i="8" s="1"/>
  <c r="F8" i="8"/>
  <c r="H35" i="8" s="1"/>
  <c r="I34" i="8"/>
  <c r="F36" i="2"/>
  <c r="I26" i="2"/>
  <c r="P24" i="2"/>
  <c r="I24" i="2"/>
  <c r="P23" i="2"/>
  <c r="G23" i="2"/>
  <c r="P22" i="2"/>
  <c r="M22" i="2"/>
  <c r="P21" i="2"/>
  <c r="P20" i="2"/>
  <c r="P19" i="2"/>
  <c r="M19" i="2"/>
  <c r="I18" i="2"/>
  <c r="H18" i="2"/>
  <c r="I29" i="8" s="1"/>
  <c r="E18" i="2"/>
  <c r="D18" i="2"/>
  <c r="E29" i="8" s="1"/>
  <c r="H29" i="8" s="1"/>
  <c r="P15" i="2"/>
  <c r="M15" i="2"/>
  <c r="P14" i="2"/>
  <c r="P13" i="2"/>
  <c r="M13" i="2"/>
  <c r="P12" i="2"/>
  <c r="M12" i="2"/>
  <c r="P11" i="2"/>
  <c r="P10" i="2"/>
  <c r="M10" i="2"/>
  <c r="D8" i="2"/>
  <c r="Q51" i="7"/>
  <c r="H51" i="7"/>
  <c r="G51" i="7"/>
  <c r="F51" i="7"/>
  <c r="E51" i="7"/>
  <c r="Q50" i="7"/>
  <c r="H50" i="7"/>
  <c r="G50" i="7"/>
  <c r="F50" i="7"/>
  <c r="E50" i="7"/>
  <c r="B50" i="7"/>
  <c r="Q49" i="7"/>
  <c r="H49" i="7"/>
  <c r="G49" i="7"/>
  <c r="F49" i="7"/>
  <c r="E49" i="7"/>
  <c r="B49" i="7"/>
  <c r="Q48" i="7"/>
  <c r="H48" i="7"/>
  <c r="G48" i="7"/>
  <c r="F48" i="7"/>
  <c r="E48" i="7"/>
  <c r="B48" i="7"/>
  <c r="Q47" i="7"/>
  <c r="H47" i="7"/>
  <c r="G47" i="7"/>
  <c r="F47" i="7"/>
  <c r="E47" i="7"/>
  <c r="B47" i="7"/>
  <c r="Q46" i="7"/>
  <c r="H46" i="7"/>
  <c r="G46" i="7"/>
  <c r="F46" i="7"/>
  <c r="E46" i="7"/>
  <c r="B46" i="7"/>
  <c r="Q45" i="7"/>
  <c r="H45" i="7"/>
  <c r="G45" i="7"/>
  <c r="F45" i="7"/>
  <c r="E45" i="7"/>
  <c r="B45" i="7"/>
  <c r="Q36" i="7"/>
  <c r="H36" i="7"/>
  <c r="G36" i="7"/>
  <c r="F36" i="7"/>
  <c r="E36" i="7"/>
  <c r="Q35" i="7"/>
  <c r="P35" i="7"/>
  <c r="O35" i="7"/>
  <c r="N35" i="7"/>
  <c r="M35" i="7"/>
  <c r="L35" i="7"/>
  <c r="K35" i="7"/>
  <c r="J35" i="7"/>
  <c r="I35" i="7"/>
  <c r="B35" i="7"/>
  <c r="Q34" i="7"/>
  <c r="P34" i="7"/>
  <c r="O34" i="7"/>
  <c r="N34" i="7"/>
  <c r="M34" i="7"/>
  <c r="L34" i="7"/>
  <c r="K34" i="7"/>
  <c r="J34" i="7"/>
  <c r="I34" i="7"/>
  <c r="B34" i="7"/>
  <c r="Q33" i="7"/>
  <c r="P33" i="7"/>
  <c r="O33" i="7"/>
  <c r="N33" i="7"/>
  <c r="M33" i="7"/>
  <c r="L33" i="7"/>
  <c r="K33" i="7"/>
  <c r="J33" i="7"/>
  <c r="I33" i="7"/>
  <c r="B33" i="7"/>
  <c r="Q32" i="7"/>
  <c r="P32" i="7"/>
  <c r="O32" i="7"/>
  <c r="N32" i="7"/>
  <c r="M32" i="7"/>
  <c r="L32" i="7"/>
  <c r="K32" i="7"/>
  <c r="J32" i="7"/>
  <c r="I32" i="7"/>
  <c r="B32" i="7"/>
  <c r="Q31" i="7"/>
  <c r="P31" i="7"/>
  <c r="O31" i="7"/>
  <c r="N31" i="7"/>
  <c r="M31" i="7"/>
  <c r="L31" i="7"/>
  <c r="K31" i="7"/>
  <c r="J31" i="7"/>
  <c r="I31" i="7"/>
  <c r="B31" i="7"/>
  <c r="Q30" i="7"/>
  <c r="P30" i="7"/>
  <c r="O30" i="7"/>
  <c r="N30" i="7"/>
  <c r="M30" i="7"/>
  <c r="L30" i="7"/>
  <c r="K30" i="7"/>
  <c r="J30" i="7"/>
  <c r="I30" i="7"/>
  <c r="B30" i="7"/>
  <c r="Q24" i="7"/>
  <c r="H24" i="7"/>
  <c r="G24" i="7"/>
  <c r="F24" i="7"/>
  <c r="E24" i="7"/>
  <c r="P23" i="7"/>
  <c r="O23" i="7"/>
  <c r="N23" i="7"/>
  <c r="M23" i="7"/>
  <c r="L23" i="7"/>
  <c r="K23" i="7"/>
  <c r="J23" i="7"/>
  <c r="I23" i="7"/>
  <c r="H23" i="7"/>
  <c r="G23" i="7"/>
  <c r="F23" i="7"/>
  <c r="Q22" i="7"/>
  <c r="P21" i="7"/>
  <c r="O21" i="7"/>
  <c r="N21" i="7"/>
  <c r="M21" i="7"/>
  <c r="L21" i="7"/>
  <c r="K21" i="7"/>
  <c r="J21" i="7"/>
  <c r="I21" i="7"/>
  <c r="H21" i="7"/>
  <c r="G21" i="7"/>
  <c r="F21" i="7"/>
  <c r="Q20" i="7"/>
  <c r="P19" i="7"/>
  <c r="O19" i="7"/>
  <c r="N19" i="7"/>
  <c r="M19" i="7"/>
  <c r="L19" i="7"/>
  <c r="K19" i="7"/>
  <c r="J19" i="7"/>
  <c r="I19" i="7"/>
  <c r="H19" i="7"/>
  <c r="G19" i="7"/>
  <c r="F19" i="7"/>
  <c r="Q18" i="7"/>
  <c r="P17" i="7"/>
  <c r="O17" i="7"/>
  <c r="N17" i="7"/>
  <c r="M17" i="7"/>
  <c r="L17" i="7"/>
  <c r="K17" i="7"/>
  <c r="J17" i="7"/>
  <c r="I17" i="7"/>
  <c r="H17" i="7"/>
  <c r="G17" i="7"/>
  <c r="F17" i="7"/>
  <c r="Q16" i="7"/>
  <c r="P15" i="7"/>
  <c r="O15" i="7"/>
  <c r="N15" i="7"/>
  <c r="M15" i="7"/>
  <c r="L15" i="7"/>
  <c r="K15" i="7"/>
  <c r="J15" i="7"/>
  <c r="I15" i="7"/>
  <c r="H15" i="7"/>
  <c r="G15" i="7"/>
  <c r="F15" i="7"/>
  <c r="Q14" i="7"/>
  <c r="P13" i="7"/>
  <c r="O13" i="7"/>
  <c r="N13" i="7"/>
  <c r="M13" i="7"/>
  <c r="L13" i="7"/>
  <c r="K13" i="7"/>
  <c r="J13" i="7"/>
  <c r="I13" i="7"/>
  <c r="H13" i="7"/>
  <c r="G13" i="7"/>
  <c r="F13" i="7"/>
  <c r="Q12" i="7"/>
  <c r="G51" i="6"/>
  <c r="F51" i="6"/>
  <c r="E51" i="6"/>
  <c r="Q50" i="6"/>
  <c r="H50" i="6"/>
  <c r="G50" i="6"/>
  <c r="F50" i="6"/>
  <c r="E50" i="6"/>
  <c r="B50" i="6"/>
  <c r="H49" i="6"/>
  <c r="Q49" i="6" s="1"/>
  <c r="G49" i="6"/>
  <c r="F49" i="6"/>
  <c r="E49" i="6"/>
  <c r="B49" i="6"/>
  <c r="H48" i="6"/>
  <c r="Q48" i="6" s="1"/>
  <c r="M21" i="2" s="1"/>
  <c r="G48" i="6"/>
  <c r="F48" i="6"/>
  <c r="E48" i="6"/>
  <c r="B48" i="6"/>
  <c r="Q47" i="6"/>
  <c r="H47" i="6"/>
  <c r="G47" i="6"/>
  <c r="F47" i="6"/>
  <c r="E47" i="6"/>
  <c r="B47" i="6"/>
  <c r="Q46" i="6"/>
  <c r="M23" i="2" s="1"/>
  <c r="H46" i="6"/>
  <c r="G46" i="6"/>
  <c r="F46" i="6"/>
  <c r="E46" i="6"/>
  <c r="B46" i="6"/>
  <c r="Q45" i="6"/>
  <c r="M24" i="2" s="1"/>
  <c r="H45" i="6"/>
  <c r="G45" i="6"/>
  <c r="F45" i="6"/>
  <c r="E45" i="6"/>
  <c r="B45" i="6"/>
  <c r="H36" i="6"/>
  <c r="G36" i="6"/>
  <c r="F36" i="6"/>
  <c r="E36" i="6"/>
  <c r="Q35" i="6"/>
  <c r="P35" i="6"/>
  <c r="O35" i="6"/>
  <c r="N35" i="6"/>
  <c r="M35" i="6"/>
  <c r="L35" i="6"/>
  <c r="K35" i="6"/>
  <c r="J35" i="6"/>
  <c r="I35" i="6"/>
  <c r="B35" i="6"/>
  <c r="Q34" i="6"/>
  <c r="P12" i="8" s="1"/>
  <c r="P34" i="6"/>
  <c r="O34" i="6"/>
  <c r="N34" i="6"/>
  <c r="M34" i="6"/>
  <c r="L34" i="6"/>
  <c r="K34" i="6"/>
  <c r="J34" i="6"/>
  <c r="I34" i="6"/>
  <c r="B34" i="6"/>
  <c r="Q33" i="6"/>
  <c r="P33" i="6"/>
  <c r="O33" i="6"/>
  <c r="N33" i="6"/>
  <c r="M33" i="6"/>
  <c r="L33" i="6"/>
  <c r="K33" i="6"/>
  <c r="J33" i="6"/>
  <c r="I33" i="6"/>
  <c r="B33" i="6"/>
  <c r="Q32" i="6"/>
  <c r="P32" i="6"/>
  <c r="O32" i="6"/>
  <c r="N32" i="6"/>
  <c r="M32" i="6"/>
  <c r="L32" i="6"/>
  <c r="K32" i="6"/>
  <c r="J32" i="6"/>
  <c r="I32" i="6"/>
  <c r="B32" i="6"/>
  <c r="Q31" i="6"/>
  <c r="M14" i="2" s="1"/>
  <c r="P31" i="6"/>
  <c r="O31" i="6"/>
  <c r="N31" i="6"/>
  <c r="M31" i="6"/>
  <c r="L31" i="6"/>
  <c r="K31" i="6"/>
  <c r="J31" i="6"/>
  <c r="I31" i="6"/>
  <c r="B31" i="6"/>
  <c r="Q30" i="6"/>
  <c r="P30" i="6"/>
  <c r="O30" i="6"/>
  <c r="N30" i="6"/>
  <c r="M30" i="6"/>
  <c r="L30" i="6"/>
  <c r="K30" i="6"/>
  <c r="J30" i="6"/>
  <c r="I30" i="6"/>
  <c r="B30" i="6"/>
  <c r="Q24" i="6"/>
  <c r="H24" i="6"/>
  <c r="G24" i="6"/>
  <c r="F24" i="6"/>
  <c r="E24" i="6"/>
  <c r="P23" i="6"/>
  <c r="O23" i="6"/>
  <c r="N23" i="6"/>
  <c r="M23" i="6"/>
  <c r="L23" i="6"/>
  <c r="K23" i="6"/>
  <c r="J23" i="6"/>
  <c r="I23" i="6"/>
  <c r="H23" i="6"/>
  <c r="G23" i="6"/>
  <c r="F23" i="6"/>
  <c r="Q22" i="6"/>
  <c r="P21" i="6"/>
  <c r="O21" i="6"/>
  <c r="N21" i="6"/>
  <c r="M21" i="6"/>
  <c r="L21" i="6"/>
  <c r="K21" i="6"/>
  <c r="J21" i="6"/>
  <c r="I21" i="6"/>
  <c r="H21" i="6"/>
  <c r="G21" i="6"/>
  <c r="F21" i="6"/>
  <c r="Q20" i="6"/>
  <c r="P19" i="6"/>
  <c r="O19" i="6"/>
  <c r="N19" i="6"/>
  <c r="M19" i="6"/>
  <c r="L19" i="6"/>
  <c r="K19" i="6"/>
  <c r="J19" i="6"/>
  <c r="I19" i="6"/>
  <c r="H19" i="6"/>
  <c r="G19" i="6"/>
  <c r="F19" i="6"/>
  <c r="Q18" i="6"/>
  <c r="P17" i="6"/>
  <c r="O17" i="6"/>
  <c r="N17" i="6"/>
  <c r="M17" i="6"/>
  <c r="L17" i="6"/>
  <c r="K17" i="6"/>
  <c r="J17" i="6"/>
  <c r="I17" i="6"/>
  <c r="H17" i="6"/>
  <c r="G17" i="6"/>
  <c r="F17" i="6"/>
  <c r="Q16" i="6"/>
  <c r="P15" i="6"/>
  <c r="O15" i="6"/>
  <c r="N15" i="6"/>
  <c r="M15" i="6"/>
  <c r="L15" i="6"/>
  <c r="K15" i="6"/>
  <c r="J15" i="6"/>
  <c r="I15" i="6"/>
  <c r="H15" i="6"/>
  <c r="G15" i="6"/>
  <c r="F15" i="6"/>
  <c r="Q14" i="6"/>
  <c r="P13" i="6"/>
  <c r="O13" i="6"/>
  <c r="N13" i="6"/>
  <c r="M13" i="6"/>
  <c r="L13" i="6"/>
  <c r="K13" i="6"/>
  <c r="J13" i="6"/>
  <c r="I13" i="6"/>
  <c r="H13" i="6"/>
  <c r="G13" i="6"/>
  <c r="F13" i="6"/>
  <c r="Q12" i="6"/>
  <c r="M3" i="6"/>
  <c r="D3" i="8" s="1"/>
  <c r="B33" i="11"/>
  <c r="J2" i="21" s="1"/>
  <c r="E31" i="11"/>
  <c r="D28" i="11"/>
  <c r="E19" i="11"/>
  <c r="E15" i="11"/>
  <c r="P20" i="8" l="1"/>
  <c r="P21" i="8"/>
  <c r="M20" i="2"/>
  <c r="P13" i="8"/>
  <c r="H51" i="6"/>
  <c r="M11" i="2"/>
  <c r="Q36" i="6"/>
  <c r="P10" i="8"/>
  <c r="P18" i="8"/>
  <c r="Q51" i="6"/>
  <c r="H31" i="8"/>
  <c r="AA27" i="15"/>
  <c r="J25" i="8"/>
  <c r="I33" i="8"/>
  <c r="J21" i="8"/>
  <c r="K21" i="8" s="1"/>
  <c r="L21" i="8" s="1"/>
  <c r="L29" i="8"/>
  <c r="A31" i="5"/>
  <c r="V31" i="5" s="1"/>
  <c r="T27" i="15"/>
  <c r="F27" i="15"/>
  <c r="A19" i="5"/>
  <c r="A41" i="5" s="1"/>
  <c r="M3" i="7"/>
  <c r="A22" i="10"/>
  <c r="T61" i="17"/>
  <c r="X63" i="17" s="1"/>
  <c r="Y63" i="17" s="1"/>
  <c r="AZ2" i="21" s="1"/>
  <c r="AF15" i="15"/>
  <c r="AK2" i="21" s="1"/>
  <c r="H34" i="8"/>
  <c r="AE50" i="15"/>
  <c r="I24" i="8"/>
  <c r="D19" i="2"/>
  <c r="E2" i="22" s="1"/>
  <c r="I30" i="8"/>
  <c r="I18" i="8"/>
  <c r="J23" i="8"/>
  <c r="J27" i="8"/>
  <c r="K27" i="8" s="1"/>
  <c r="L27" i="8" s="1"/>
  <c r="Q61" i="17"/>
  <c r="BA20" i="16"/>
  <c r="W13" i="16"/>
  <c r="AV2" i="21"/>
  <c r="U11" i="15"/>
  <c r="O7" i="19" s="1"/>
  <c r="V9" i="14"/>
  <c r="V11" i="14"/>
  <c r="Y9" i="20"/>
  <c r="E2" i="18"/>
  <c r="V10" i="14"/>
  <c r="Y10" i="20"/>
  <c r="Y11" i="20"/>
  <c r="X5" i="16"/>
  <c r="AF1" i="17" s="1"/>
  <c r="X6" i="16"/>
  <c r="F89" i="4"/>
  <c r="F51" i="4"/>
  <c r="F65" i="4"/>
  <c r="F77" i="4"/>
  <c r="F69" i="4"/>
  <c r="J24" i="5"/>
  <c r="F25" i="4"/>
  <c r="F45" i="4"/>
  <c r="F74" i="4"/>
  <c r="F22" i="4"/>
  <c r="F33" i="4"/>
  <c r="F39" i="4"/>
  <c r="F53" i="4"/>
  <c r="F66" i="4"/>
  <c r="F14" i="4"/>
  <c r="F19" i="4"/>
  <c r="F26" i="4"/>
  <c r="F30" i="4"/>
  <c r="F43" i="4"/>
  <c r="F46" i="4"/>
  <c r="F57" i="4"/>
  <c r="F86" i="4"/>
  <c r="F41" i="4"/>
  <c r="F47" i="4"/>
  <c r="F70" i="4"/>
  <c r="H24" i="5"/>
  <c r="F29" i="4"/>
  <c r="F54" i="4"/>
  <c r="F67" i="4"/>
  <c r="F75" i="4"/>
  <c r="F82" i="4"/>
  <c r="F90" i="4"/>
  <c r="F91" i="4"/>
  <c r="F13" i="4"/>
  <c r="F17" i="4"/>
  <c r="F85" i="4"/>
  <c r="F37" i="4"/>
  <c r="F49" i="4"/>
  <c r="F61" i="4"/>
  <c r="F62" i="4"/>
  <c r="F15" i="4"/>
  <c r="F21" i="4"/>
  <c r="F27" i="4"/>
  <c r="F34" i="4"/>
  <c r="F63" i="4"/>
  <c r="F71" i="4"/>
  <c r="F31" i="4"/>
  <c r="F38" i="4"/>
  <c r="F50" i="4"/>
  <c r="F59" i="4"/>
  <c r="F73" i="4"/>
  <c r="F79" i="4"/>
  <c r="F81" i="4"/>
  <c r="F24" i="5"/>
  <c r="Z24" i="5"/>
  <c r="N24" i="5"/>
  <c r="P24" i="5"/>
  <c r="R24" i="5"/>
  <c r="V24" i="5"/>
  <c r="X24" i="5"/>
  <c r="Y24" i="16"/>
  <c r="AW2" i="21"/>
  <c r="AU2" i="21"/>
  <c r="H37" i="11"/>
  <c r="N2" i="21" s="1"/>
  <c r="H40" i="11"/>
  <c r="Q2" i="21" s="1"/>
  <c r="H45" i="11"/>
  <c r="T2" i="21" s="1"/>
  <c r="H38" i="11"/>
  <c r="O2" i="21" s="1"/>
  <c r="H39" i="11"/>
  <c r="P2" i="21" s="1"/>
  <c r="H41" i="11"/>
  <c r="R2" i="21" s="1"/>
  <c r="H34" i="11"/>
  <c r="K2" i="21" s="1"/>
  <c r="H42" i="11"/>
  <c r="H43" i="11"/>
  <c r="H35" i="11"/>
  <c r="L2" i="21" s="1"/>
  <c r="H36" i="11"/>
  <c r="M2" i="21" s="1"/>
  <c r="H44" i="11"/>
  <c r="S2" i="21" s="1"/>
  <c r="AE53" i="15"/>
  <c r="D2" i="22"/>
  <c r="A11" i="5"/>
  <c r="M25" i="15"/>
  <c r="A45" i="5"/>
  <c r="A32" i="5"/>
  <c r="G10" i="5"/>
  <c r="AA10" i="5"/>
  <c r="W10" i="5"/>
  <c r="S10" i="5"/>
  <c r="J9" i="5"/>
  <c r="F9" i="5"/>
  <c r="AE49" i="15"/>
  <c r="K10" i="5"/>
  <c r="N23" i="5"/>
  <c r="O10" i="5"/>
  <c r="A36" i="5"/>
  <c r="S14" i="5"/>
  <c r="A29" i="5"/>
  <c r="X7" i="5"/>
  <c r="L7" i="5"/>
  <c r="H7" i="5"/>
  <c r="T7" i="5"/>
  <c r="P7" i="5"/>
  <c r="D7" i="5"/>
  <c r="V9" i="5"/>
  <c r="R9" i="5"/>
  <c r="D5" i="10"/>
  <c r="U2" i="21" s="1"/>
  <c r="A8" i="5"/>
  <c r="D44" i="5"/>
  <c r="E44" i="5"/>
  <c r="I42" i="5"/>
  <c r="G23" i="8"/>
  <c r="H23" i="8" s="1"/>
  <c r="G25" i="8"/>
  <c r="H25" i="8" s="1"/>
  <c r="I31" i="8"/>
  <c r="M27" i="15"/>
  <c r="N9" i="5"/>
  <c r="D6" i="10"/>
  <c r="V2" i="21" s="1"/>
  <c r="K25" i="8"/>
  <c r="L25" i="8" s="1"/>
  <c r="I32" i="8"/>
  <c r="Z9" i="5"/>
  <c r="L42" i="5"/>
  <c r="H32" i="8"/>
  <c r="S43" i="5"/>
  <c r="J7" i="8"/>
  <c r="D24" i="5"/>
  <c r="L24" i="5"/>
  <c r="T24" i="5"/>
  <c r="E24" i="5"/>
  <c r="M24" i="5"/>
  <c r="U24" i="5"/>
  <c r="C46" i="5"/>
  <c r="C19" i="5"/>
  <c r="C41" i="5" s="1"/>
  <c r="G24" i="5"/>
  <c r="O24" i="5"/>
  <c r="W24" i="5"/>
  <c r="I24" i="5"/>
  <c r="Q24" i="5"/>
  <c r="Y24" i="5"/>
  <c r="H21" i="5"/>
  <c r="K24" i="5"/>
  <c r="S24" i="5"/>
  <c r="Z31" i="5" l="1"/>
  <c r="AA43" i="5"/>
  <c r="R31" i="5"/>
  <c r="M20" i="5"/>
  <c r="O43" i="5"/>
  <c r="F31" i="5"/>
  <c r="I22" i="5"/>
  <c r="Z21" i="5"/>
  <c r="P43" i="5"/>
  <c r="J42" i="5"/>
  <c r="N31" i="5"/>
  <c r="N20" i="5"/>
  <c r="D43" i="5"/>
  <c r="T21" i="5"/>
  <c r="J31" i="5"/>
  <c r="J39" i="5" s="1"/>
  <c r="H42" i="5"/>
  <c r="X44" i="5"/>
  <c r="Z20" i="5"/>
  <c r="H14" i="5"/>
  <c r="Q21" i="5"/>
  <c r="D42" i="5"/>
  <c r="S42" i="5"/>
  <c r="L22" i="5"/>
  <c r="F2" i="22"/>
  <c r="K23" i="8"/>
  <c r="L23" i="8" s="1"/>
  <c r="L28" i="8" s="1"/>
  <c r="L36" i="8" s="1"/>
  <c r="L37" i="8" s="1"/>
  <c r="P42" i="5"/>
  <c r="Q42" i="5"/>
  <c r="J20" i="5"/>
  <c r="F20" i="5"/>
  <c r="U14" i="5"/>
  <c r="J41" i="5"/>
  <c r="N43" i="5"/>
  <c r="X21" i="5"/>
  <c r="V42" i="5"/>
  <c r="M44" i="5"/>
  <c r="I20" i="5"/>
  <c r="W22" i="5"/>
  <c r="O21" i="5"/>
  <c r="Z23" i="5"/>
  <c r="Y21" i="5"/>
  <c r="H43" i="5"/>
  <c r="Y43" i="5"/>
  <c r="P44" i="5"/>
  <c r="O44" i="5"/>
  <c r="N14" i="5"/>
  <c r="G21" i="5"/>
  <c r="D14" i="5"/>
  <c r="R23" i="5"/>
  <c r="F21" i="5"/>
  <c r="I21" i="5"/>
  <c r="X43" i="5"/>
  <c r="Q44" i="5"/>
  <c r="M43" i="5"/>
  <c r="W21" i="5"/>
  <c r="K14" i="5"/>
  <c r="S23" i="5"/>
  <c r="AD61" i="17"/>
  <c r="AD63" i="17" s="1"/>
  <c r="BA2" i="21" s="1"/>
  <c r="N14" i="16"/>
  <c r="AM2" i="21" s="1"/>
  <c r="H28" i="8"/>
  <c r="H36" i="8" s="1"/>
  <c r="H37" i="8" s="1"/>
  <c r="P21" i="5"/>
  <c r="K43" i="5"/>
  <c r="V43" i="5"/>
  <c r="T44" i="5"/>
  <c r="E43" i="5"/>
  <c r="U43" i="5"/>
  <c r="H44" i="5"/>
  <c r="Y44" i="5"/>
  <c r="AA42" i="5"/>
  <c r="W44" i="5"/>
  <c r="F44" i="5"/>
  <c r="S21" i="5"/>
  <c r="V22" i="5"/>
  <c r="Q22" i="5"/>
  <c r="G22" i="5"/>
  <c r="P14" i="5"/>
  <c r="J23" i="5"/>
  <c r="U23" i="5"/>
  <c r="AA21" i="5"/>
  <c r="AA22" i="5"/>
  <c r="V23" i="5"/>
  <c r="O14" i="5"/>
  <c r="L21" i="5"/>
  <c r="R21" i="5"/>
  <c r="V44" i="5"/>
  <c r="L43" i="5"/>
  <c r="J43" i="5"/>
  <c r="J44" i="5"/>
  <c r="O42" i="5"/>
  <c r="K44" i="5"/>
  <c r="E42" i="5"/>
  <c r="T22" i="5"/>
  <c r="Z22" i="5"/>
  <c r="H20" i="5"/>
  <c r="F14" i="5"/>
  <c r="I23" i="5"/>
  <c r="Y42" i="5"/>
  <c r="T42" i="5"/>
  <c r="D22" i="5"/>
  <c r="V21" i="5"/>
  <c r="J21" i="5"/>
  <c r="I43" i="5"/>
  <c r="T43" i="5"/>
  <c r="R43" i="5"/>
  <c r="L44" i="5"/>
  <c r="N44" i="5"/>
  <c r="Q43" i="5"/>
  <c r="F42" i="5"/>
  <c r="W42" i="5"/>
  <c r="S44" i="5"/>
  <c r="U42" i="5"/>
  <c r="X42" i="5"/>
  <c r="N22" i="5"/>
  <c r="S20" i="5"/>
  <c r="X20" i="5"/>
  <c r="J14" i="5"/>
  <c r="Q23" i="5"/>
  <c r="G42" i="5"/>
  <c r="U44" i="5"/>
  <c r="V14" i="5"/>
  <c r="D21" i="5"/>
  <c r="N21" i="5"/>
  <c r="R42" i="5"/>
  <c r="F43" i="5"/>
  <c r="Z43" i="5"/>
  <c r="R44" i="5"/>
  <c r="W43" i="5"/>
  <c r="Z42" i="5"/>
  <c r="N42" i="5"/>
  <c r="I44" i="5"/>
  <c r="K42" i="5"/>
  <c r="G44" i="5"/>
  <c r="AA20" i="5"/>
  <c r="E22" i="5"/>
  <c r="W14" i="5"/>
  <c r="D23" i="5"/>
  <c r="K23" i="5"/>
  <c r="Z44" i="5"/>
  <c r="J22" i="5"/>
  <c r="W20" i="5"/>
  <c r="F22" i="5"/>
  <c r="Y20" i="5"/>
  <c r="L20" i="5"/>
  <c r="U21" i="5"/>
  <c r="K20" i="5"/>
  <c r="Y22" i="5"/>
  <c r="P20" i="5"/>
  <c r="O22" i="5"/>
  <c r="G14" i="5"/>
  <c r="X14" i="5"/>
  <c r="F23" i="5"/>
  <c r="Y23" i="5"/>
  <c r="M21" i="5"/>
  <c r="G43" i="5"/>
  <c r="AA44" i="5"/>
  <c r="M42" i="5"/>
  <c r="R22" i="5"/>
  <c r="E20" i="5"/>
  <c r="H22" i="5"/>
  <c r="V20" i="5"/>
  <c r="M22" i="5"/>
  <c r="Q14" i="5"/>
  <c r="T14" i="5"/>
  <c r="AA14" i="5"/>
  <c r="L23" i="5"/>
  <c r="G23" i="5"/>
  <c r="AA23" i="5"/>
  <c r="Z14" i="5"/>
  <c r="U20" i="5"/>
  <c r="O20" i="5"/>
  <c r="D20" i="5"/>
  <c r="T20" i="5"/>
  <c r="P22" i="5"/>
  <c r="K22" i="5"/>
  <c r="U22" i="5"/>
  <c r="R14" i="5"/>
  <c r="L14" i="5"/>
  <c r="E14" i="5"/>
  <c r="P23" i="5"/>
  <c r="O23" i="5"/>
  <c r="E23" i="5"/>
  <c r="T23" i="5"/>
  <c r="E21" i="5"/>
  <c r="Q20" i="5"/>
  <c r="K21" i="5"/>
  <c r="X22" i="5"/>
  <c r="S22" i="5"/>
  <c r="R20" i="5"/>
  <c r="I14" i="5"/>
  <c r="Y14" i="5"/>
  <c r="M14" i="5"/>
  <c r="H23" i="5"/>
  <c r="W23" i="5"/>
  <c r="M23" i="5"/>
  <c r="X23" i="5"/>
  <c r="G20" i="5"/>
  <c r="S19" i="5"/>
  <c r="G19" i="5"/>
  <c r="W19" i="5"/>
  <c r="O41" i="5"/>
  <c r="S41" i="5"/>
  <c r="N41" i="5"/>
  <c r="AA19" i="5"/>
  <c r="R41" i="5"/>
  <c r="K19" i="5"/>
  <c r="P11" i="5"/>
  <c r="A12" i="5"/>
  <c r="S11" i="5"/>
  <c r="Q11" i="5"/>
  <c r="A33" i="5"/>
  <c r="R11" i="5"/>
  <c r="Z39" i="5"/>
  <c r="Z17" i="5"/>
  <c r="V19" i="5"/>
  <c r="N39" i="5"/>
  <c r="T29" i="5"/>
  <c r="L29" i="5"/>
  <c r="D29" i="5"/>
  <c r="X29" i="5"/>
  <c r="P29" i="5"/>
  <c r="H29" i="5"/>
  <c r="Z41" i="5"/>
  <c r="F17" i="5"/>
  <c r="J19" i="5"/>
  <c r="G17" i="5"/>
  <c r="V17" i="5"/>
  <c r="K32" i="5"/>
  <c r="AA32" i="5"/>
  <c r="S32" i="5"/>
  <c r="O32" i="5"/>
  <c r="G32" i="5"/>
  <c r="W32" i="5"/>
  <c r="T45" i="5"/>
  <c r="L45" i="5"/>
  <c r="D45" i="5"/>
  <c r="Z45" i="5"/>
  <c r="R45" i="5"/>
  <c r="J45" i="5"/>
  <c r="X45" i="5"/>
  <c r="P45" i="5"/>
  <c r="H45" i="5"/>
  <c r="V45" i="5"/>
  <c r="N45" i="5"/>
  <c r="F45" i="5"/>
  <c r="U45" i="5"/>
  <c r="M45" i="5"/>
  <c r="E45" i="5"/>
  <c r="O45" i="5"/>
  <c r="AA45" i="5"/>
  <c r="Y45" i="5"/>
  <c r="K45" i="5"/>
  <c r="I45" i="5"/>
  <c r="G45" i="5"/>
  <c r="W45" i="5"/>
  <c r="Q45" i="5"/>
  <c r="S45" i="5"/>
  <c r="K41" i="5"/>
  <c r="F41" i="5"/>
  <c r="AA36" i="5"/>
  <c r="S36" i="5"/>
  <c r="K36" i="5"/>
  <c r="Y36" i="5"/>
  <c r="Q36" i="5"/>
  <c r="I36" i="5"/>
  <c r="W36" i="5"/>
  <c r="O36" i="5"/>
  <c r="G36" i="5"/>
  <c r="U36" i="5"/>
  <c r="M36" i="5"/>
  <c r="E36" i="5"/>
  <c r="T36" i="5"/>
  <c r="L36" i="5"/>
  <c r="D36" i="5"/>
  <c r="H36" i="5"/>
  <c r="R36" i="5"/>
  <c r="Z36" i="5"/>
  <c r="F36" i="5"/>
  <c r="V36" i="5"/>
  <c r="X36" i="5"/>
  <c r="P36" i="5"/>
  <c r="J36" i="5"/>
  <c r="N36" i="5"/>
  <c r="R19" i="5"/>
  <c r="O19" i="5"/>
  <c r="N17" i="5"/>
  <c r="R17" i="5"/>
  <c r="AA41" i="5"/>
  <c r="V41" i="5"/>
  <c r="O17" i="5"/>
  <c r="K17" i="5"/>
  <c r="J17" i="5"/>
  <c r="R39" i="5"/>
  <c r="A30" i="5"/>
  <c r="M8" i="5"/>
  <c r="Y8" i="5"/>
  <c r="U8" i="5"/>
  <c r="Q8" i="5"/>
  <c r="A18" i="5"/>
  <c r="I8" i="5"/>
  <c r="E8" i="5"/>
  <c r="G41" i="5"/>
  <c r="S17" i="5"/>
  <c r="Y46" i="5"/>
  <c r="Q46" i="5"/>
  <c r="I46" i="5"/>
  <c r="W46" i="5"/>
  <c r="O46" i="5"/>
  <c r="G46" i="5"/>
  <c r="U46" i="5"/>
  <c r="M46" i="5"/>
  <c r="E46" i="5"/>
  <c r="AA46" i="5"/>
  <c r="S46" i="5"/>
  <c r="K46" i="5"/>
  <c r="Z46" i="5"/>
  <c r="R46" i="5"/>
  <c r="J46" i="5"/>
  <c r="F46" i="5"/>
  <c r="X46" i="5"/>
  <c r="D46" i="5"/>
  <c r="T46" i="5"/>
  <c r="V46" i="5"/>
  <c r="P46" i="5"/>
  <c r="N46" i="5"/>
  <c r="H46" i="5"/>
  <c r="L46" i="5"/>
  <c r="V39" i="5"/>
  <c r="W41" i="5"/>
  <c r="W17" i="5"/>
  <c r="N19" i="5"/>
  <c r="F19" i="5"/>
  <c r="F39" i="5"/>
  <c r="Z19" i="5"/>
  <c r="AA17" i="5"/>
  <c r="Y20" i="16" l="1"/>
  <c r="Y18" i="16" s="1"/>
  <c r="AJ18" i="16" s="1"/>
  <c r="AT2" i="21" s="1"/>
  <c r="AZ20" i="16"/>
  <c r="N13" i="16"/>
  <c r="G40" i="8"/>
  <c r="H40" i="8" s="1"/>
  <c r="G41" i="8"/>
  <c r="H41" i="8" s="1"/>
  <c r="AA93" i="15"/>
  <c r="AA39" i="5"/>
  <c r="P33" i="5"/>
  <c r="R33" i="5"/>
  <c r="Q33" i="5"/>
  <c r="S33" i="5"/>
  <c r="K39" i="5"/>
  <c r="A34" i="5"/>
  <c r="AA12" i="5"/>
  <c r="X12" i="5"/>
  <c r="V12" i="5"/>
  <c r="A13" i="5"/>
  <c r="U12" i="5"/>
  <c r="T12" i="5"/>
  <c r="Z12" i="5"/>
  <c r="Y12" i="5"/>
  <c r="W12" i="5"/>
  <c r="A40" i="5"/>
  <c r="Q18" i="5"/>
  <c r="M18" i="5"/>
  <c r="X18" i="5"/>
  <c r="H18" i="5"/>
  <c r="L18" i="5"/>
  <c r="A24" i="5"/>
  <c r="A46" i="5" s="1"/>
  <c r="I18" i="5"/>
  <c r="E18" i="5"/>
  <c r="D18" i="5"/>
  <c r="Y18" i="5"/>
  <c r="U18" i="5"/>
  <c r="T18" i="5"/>
  <c r="P18" i="5"/>
  <c r="W39" i="5"/>
  <c r="G39" i="5"/>
  <c r="O39" i="5"/>
  <c r="Q30" i="5"/>
  <c r="I30" i="5"/>
  <c r="Y30" i="5"/>
  <c r="U30" i="5"/>
  <c r="M30" i="5"/>
  <c r="E30" i="5"/>
  <c r="S39" i="5"/>
  <c r="D17" i="10" l="1"/>
  <c r="H44" i="8"/>
  <c r="D18" i="10"/>
  <c r="H45" i="8"/>
  <c r="J13" i="5"/>
  <c r="K13" i="5"/>
  <c r="I13" i="5"/>
  <c r="H13" i="5"/>
  <c r="A35" i="5"/>
  <c r="A15" i="5"/>
  <c r="Q40" i="5"/>
  <c r="M40" i="5"/>
  <c r="Y40" i="5"/>
  <c r="I40" i="5"/>
  <c r="U40" i="5"/>
  <c r="E40" i="5"/>
  <c r="T40" i="5"/>
  <c r="D40" i="5"/>
  <c r="P40" i="5"/>
  <c r="L40" i="5"/>
  <c r="H40" i="5"/>
  <c r="X40" i="5"/>
  <c r="U34" i="5"/>
  <c r="AA34" i="5"/>
  <c r="Y34" i="5"/>
  <c r="W34" i="5"/>
  <c r="V34" i="5"/>
  <c r="X34" i="5"/>
  <c r="T34" i="5"/>
  <c r="Z34" i="5"/>
  <c r="AD2" i="21" l="1"/>
  <c r="AA95" i="15"/>
  <c r="AC2" i="21"/>
  <c r="AA94" i="15"/>
  <c r="H46" i="8"/>
  <c r="D19" i="10" s="1"/>
  <c r="J35" i="5"/>
  <c r="H35" i="5"/>
  <c r="K35" i="5"/>
  <c r="I35" i="5"/>
  <c r="AA15" i="5"/>
  <c r="S15" i="5"/>
  <c r="K15" i="5"/>
  <c r="Y15" i="5"/>
  <c r="Q15" i="5"/>
  <c r="I15" i="5"/>
  <c r="A37" i="5"/>
  <c r="V15" i="5"/>
  <c r="N15" i="5"/>
  <c r="F15" i="5"/>
  <c r="W15" i="5"/>
  <c r="J15" i="5"/>
  <c r="U15" i="5"/>
  <c r="H15" i="5"/>
  <c r="D15" i="5"/>
  <c r="T15" i="5"/>
  <c r="G15" i="5"/>
  <c r="R15" i="5"/>
  <c r="E15" i="5"/>
  <c r="P15" i="5"/>
  <c r="A16" i="5"/>
  <c r="O15" i="5"/>
  <c r="Z15" i="5"/>
  <c r="X15" i="5"/>
  <c r="M15" i="5"/>
  <c r="L15" i="5"/>
  <c r="AM15" i="15" l="1"/>
  <c r="D20" i="10"/>
  <c r="AA2" i="21"/>
  <c r="X37" i="5"/>
  <c r="P37" i="5"/>
  <c r="H37" i="5"/>
  <c r="V37" i="5"/>
  <c r="N37" i="5"/>
  <c r="F37" i="5"/>
  <c r="T37" i="5"/>
  <c r="L37" i="5"/>
  <c r="D37" i="5"/>
  <c r="Z37" i="5"/>
  <c r="R37" i="5"/>
  <c r="J37" i="5"/>
  <c r="Y37" i="5"/>
  <c r="Q37" i="5"/>
  <c r="I37" i="5"/>
  <c r="U37" i="5"/>
  <c r="S37" i="5"/>
  <c r="O37" i="5"/>
  <c r="M37" i="5"/>
  <c r="K37" i="5"/>
  <c r="G37" i="5"/>
  <c r="W37" i="5"/>
  <c r="AA37" i="5"/>
  <c r="E37" i="5"/>
  <c r="Y16" i="5"/>
  <c r="Y25" i="5" s="1"/>
  <c r="Y26" i="5" s="1"/>
  <c r="Q16" i="5"/>
  <c r="Q25" i="5" s="1"/>
  <c r="Q26" i="5" s="1"/>
  <c r="I16" i="5"/>
  <c r="I25" i="5" s="1"/>
  <c r="I26" i="5" s="1"/>
  <c r="A38" i="5"/>
  <c r="W16" i="5"/>
  <c r="W25" i="5" s="1"/>
  <c r="W26" i="5" s="1"/>
  <c r="O16" i="5"/>
  <c r="O25" i="5" s="1"/>
  <c r="O26" i="5" s="1"/>
  <c r="G16" i="5"/>
  <c r="G25" i="5" s="1"/>
  <c r="G26" i="5" s="1"/>
  <c r="T16" i="5"/>
  <c r="T25" i="5" s="1"/>
  <c r="T26" i="5" s="1"/>
  <c r="L16" i="5"/>
  <c r="L25" i="5" s="1"/>
  <c r="L26" i="5" s="1"/>
  <c r="D16" i="5"/>
  <c r="D25" i="5" s="1"/>
  <c r="D26" i="5" s="1"/>
  <c r="V16" i="5"/>
  <c r="V25" i="5" s="1"/>
  <c r="V26" i="5" s="1"/>
  <c r="J16" i="5"/>
  <c r="J25" i="5" s="1"/>
  <c r="J26" i="5" s="1"/>
  <c r="U16" i="5"/>
  <c r="U25" i="5" s="1"/>
  <c r="U26" i="5" s="1"/>
  <c r="H16" i="5"/>
  <c r="H25" i="5" s="1"/>
  <c r="H26" i="5" s="1"/>
  <c r="R16" i="5"/>
  <c r="R25" i="5" s="1"/>
  <c r="R26" i="5" s="1"/>
  <c r="P16" i="5"/>
  <c r="P25" i="5" s="1"/>
  <c r="P26" i="5" s="1"/>
  <c r="S16" i="5"/>
  <c r="S25" i="5" s="1"/>
  <c r="S26" i="5" s="1"/>
  <c r="F16" i="5"/>
  <c r="F25" i="5" s="1"/>
  <c r="F26" i="5" s="1"/>
  <c r="E16" i="5"/>
  <c r="E25" i="5" s="1"/>
  <c r="E26" i="5" s="1"/>
  <c r="AA16" i="5"/>
  <c r="AA25" i="5" s="1"/>
  <c r="AA26" i="5" s="1"/>
  <c r="N16" i="5"/>
  <c r="N25" i="5" s="1"/>
  <c r="N26" i="5" s="1"/>
  <c r="Z16" i="5"/>
  <c r="Z25" i="5" s="1"/>
  <c r="Z26" i="5" s="1"/>
  <c r="X16" i="5"/>
  <c r="X25" i="5" s="1"/>
  <c r="X26" i="5" s="1"/>
  <c r="M16" i="5"/>
  <c r="M25" i="5" s="1"/>
  <c r="M26" i="5" s="1"/>
  <c r="K16" i="5"/>
  <c r="K25" i="5" s="1"/>
  <c r="K26" i="5" s="1"/>
  <c r="T11" i="19" l="1"/>
  <c r="BC2" i="21" s="1"/>
  <c r="W12" i="16"/>
  <c r="AB2" i="21"/>
  <c r="D44" i="2"/>
  <c r="D9" i="10" s="1"/>
  <c r="U38" i="5"/>
  <c r="U47" i="5" s="1"/>
  <c r="U48" i="5" s="1"/>
  <c r="M38" i="5"/>
  <c r="M47" i="5" s="1"/>
  <c r="M48" i="5" s="1"/>
  <c r="E38" i="5"/>
  <c r="E47" i="5" s="1"/>
  <c r="E48" i="5" s="1"/>
  <c r="AA38" i="5"/>
  <c r="AA47" i="5" s="1"/>
  <c r="AA48" i="5" s="1"/>
  <c r="S38" i="5"/>
  <c r="S47" i="5" s="1"/>
  <c r="S48" i="5" s="1"/>
  <c r="K38" i="5"/>
  <c r="K47" i="5" s="1"/>
  <c r="K48" i="5" s="1"/>
  <c r="Y38" i="5"/>
  <c r="Y47" i="5" s="1"/>
  <c r="Y48" i="5" s="1"/>
  <c r="Q38" i="5"/>
  <c r="Q47" i="5" s="1"/>
  <c r="Q48" i="5" s="1"/>
  <c r="I38" i="5"/>
  <c r="I47" i="5" s="1"/>
  <c r="I48" i="5" s="1"/>
  <c r="W38" i="5"/>
  <c r="W47" i="5" s="1"/>
  <c r="W48" i="5" s="1"/>
  <c r="O38" i="5"/>
  <c r="O47" i="5" s="1"/>
  <c r="O48" i="5" s="1"/>
  <c r="G38" i="5"/>
  <c r="G47" i="5" s="1"/>
  <c r="G48" i="5" s="1"/>
  <c r="V38" i="5"/>
  <c r="V47" i="5" s="1"/>
  <c r="V48" i="5" s="1"/>
  <c r="N38" i="5"/>
  <c r="N47" i="5" s="1"/>
  <c r="N48" i="5" s="1"/>
  <c r="F38" i="5"/>
  <c r="F47" i="5" s="1"/>
  <c r="F48" i="5" s="1"/>
  <c r="P38" i="5"/>
  <c r="P47" i="5" s="1"/>
  <c r="P48" i="5" s="1"/>
  <c r="H38" i="5"/>
  <c r="H47" i="5" s="1"/>
  <c r="H48" i="5" s="1"/>
  <c r="Z38" i="5"/>
  <c r="Z47" i="5" s="1"/>
  <c r="Z48" i="5" s="1"/>
  <c r="D38" i="5"/>
  <c r="D47" i="5" s="1"/>
  <c r="D48" i="5" s="1"/>
  <c r="L38" i="5"/>
  <c r="L47" i="5" s="1"/>
  <c r="L48" i="5" s="1"/>
  <c r="J38" i="5"/>
  <c r="J47" i="5" s="1"/>
  <c r="J48" i="5" s="1"/>
  <c r="X38" i="5"/>
  <c r="X47" i="5" s="1"/>
  <c r="X48" i="5" s="1"/>
  <c r="R38" i="5"/>
  <c r="R47" i="5" s="1"/>
  <c r="R48" i="5" s="1"/>
  <c r="T38" i="5"/>
  <c r="T47" i="5" s="1"/>
  <c r="T48" i="5" s="1"/>
  <c r="AO2" i="21" l="1"/>
  <c r="AJ12" i="16"/>
  <c r="AS2" i="21" s="1"/>
  <c r="D45" i="2"/>
  <c r="D13" i="10" s="1"/>
  <c r="W2" i="21"/>
  <c r="D10" i="10"/>
  <c r="X2" i="21" s="1"/>
  <c r="D14" i="10" l="1"/>
  <c r="Y2" i="21"/>
  <c r="Z2" i="21" l="1"/>
  <c r="K11" i="19"/>
  <c r="BB2" i="21" s="1"/>
  <c r="N12" i="16"/>
  <c r="AL2" i="21" l="1"/>
  <c r="AJ11" i="16"/>
  <c r="AR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0BF0ED32-A956-4CBC-BCF2-ECB50251E77C}">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46A1B096-0FB2-4C7B-84F5-25BBEDFEEEE4}">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757945D0-89AB-40CC-8FDB-9F6B9E7DBB3D}">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74ED3CB-9FAC-43A0-8224-FFADC89B05D7}">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8" authorId="0" shapeId="0" xr:uid="{EE283C2B-DAEB-4090-ACDE-B210A0F028D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30" authorId="0" shapeId="0" xr:uid="{B04F8D68-89EF-4F0A-962E-B267383BCEB2}">
      <text>
        <r>
          <rPr>
            <sz val="10"/>
            <color indexed="81"/>
            <rFont val="MS P ゴシック"/>
            <family val="3"/>
            <charset val="128"/>
          </rPr>
          <t>区分Ａ・Ｂのどちらかを選択している場合のみ該当。（Ｃ・Ｄは対象外）</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3" authorId="0" shapeId="0" xr:uid="{CC0CC28B-774F-4F79-9973-B96066924A75}">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34" authorId="0" shapeId="0" xr:uid="{258518FF-B47E-4949-A4B1-8FD4F01CDB7D}">
      <text>
        <r>
          <rPr>
            <sz val="12"/>
            <color indexed="81"/>
            <rFont val="MS P ゴシック"/>
            <family val="3"/>
            <charset val="128"/>
          </rPr>
          <t>A：配置であること</t>
        </r>
      </text>
    </comment>
    <comment ref="I39" authorId="0" shapeId="0" xr:uid="{7C949776-F8D9-49B4-ADCC-9ACEC2D57B02}">
      <text>
        <r>
          <rPr>
            <sz val="12"/>
            <color indexed="81"/>
            <rFont val="MS P ゴシック"/>
            <family val="3"/>
            <charset val="128"/>
          </rPr>
          <t>研修修了者の実人数を入力
（実人数を入力しなければ加算見込額が算出されません。）</t>
        </r>
      </text>
    </comment>
    <comment ref="H44" authorId="0" shapeId="0" xr:uid="{8BD53C4F-54DE-4081-8F9C-A0A423D529C2}">
      <text>
        <r>
          <rPr>
            <sz val="11"/>
            <color indexed="81"/>
            <rFont val="MS P ゴシック"/>
            <family val="3"/>
            <charset val="128"/>
          </rPr>
          <t>研修修了者の実人数が算定人数に達していない場合は、実人数が人数Aとなります。</t>
        </r>
      </text>
    </comment>
    <comment ref="H45" authorId="0" shapeId="0" xr:uid="{2C83B5CC-01D0-452E-8583-7849A7B77A88}">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<sst xmlns="http://schemas.openxmlformats.org/spreadsheetml/2006/main" count="1084" uniqueCount="733">
  <si>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</si>
  <si>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</si>
  <si>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</si>
  <si>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【その他の区分】</t>
    <rPh sb="3" eb="4">
      <t>ホカ</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</si>
  <si>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</si>
  <si>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</si>
  <si>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</si>
  <si>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</si>
  <si>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</si>
  <si>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３歳児配置改善</t>
    <rPh sb="1" eb="3">
      <t>サイジ</t>
    </rPh>
    <rPh sb="3" eb="5">
      <t>ハイチ</t>
    </rPh>
    <rPh sb="5" eb="7">
      <t>カイゼン</t>
    </rPh>
    <phoneticPr fontId="6"/>
  </si>
  <si>
    <t>4歳以上児配置改善</t>
    <rPh sb="1" eb="4">
      <t>サイイジョウ</t>
    </rPh>
    <rPh sb="4" eb="5">
      <t>ジ</t>
    </rPh>
    <rPh sb="5" eb="7">
      <t>ハイチ</t>
    </rPh>
    <rPh sb="7" eb="9">
      <t>カイゼン</t>
    </rPh>
    <phoneticPr fontId="6"/>
  </si>
  <si>
    <t>1歳以上児配置改善</t>
    <rPh sb="1" eb="4">
      <t>サイイジョウ</t>
    </rPh>
    <rPh sb="4" eb="5">
      <t>ジ</t>
    </rPh>
    <rPh sb="5" eb="7">
      <t>ハイチ</t>
    </rPh>
    <rPh sb="7" eb="9">
      <t>カイゼン</t>
    </rPh>
    <phoneticPr fontId="6"/>
  </si>
  <si>
    <t>夜間保育</t>
    <rPh sb="0" eb="2">
      <t>ヤカン</t>
    </rPh>
    <rPh sb="2" eb="4">
      <t>ホイク</t>
    </rPh>
    <phoneticPr fontId="6"/>
  </si>
  <si>
    <t>チーム保育推進</t>
    <rPh sb="3" eb="5">
      <t>ホイク</t>
    </rPh>
    <rPh sb="5" eb="7">
      <t>スイシン</t>
    </rPh>
    <phoneticPr fontId="6"/>
  </si>
  <si>
    <t>休日保育加算</t>
    <rPh sb="0" eb="2">
      <t>キュウジツ</t>
    </rPh>
    <rPh sb="2" eb="4">
      <t>ホイク</t>
    </rPh>
    <rPh sb="4" eb="6">
      <t>カサン</t>
    </rPh>
    <phoneticPr fontId="2"/>
  </si>
  <si>
    <t>休日保育加算</t>
    <rPh sb="0" eb="2">
      <t>キュウジツ</t>
    </rPh>
    <rPh sb="2" eb="4">
      <t>ホイク</t>
    </rPh>
    <rPh sb="4" eb="6">
      <t>カサン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</si>
  <si>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</si>
  <si>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</si>
  <si>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</si>
  <si>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</si>
  <si>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</si>
  <si>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</si>
  <si>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</si>
  <si>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</si>
  <si>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</si>
  <si>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４歳以上児</t>
    <rPh sb="1" eb="2">
      <t>サイ</t>
    </rPh>
    <rPh sb="2" eb="4">
      <t>イジョウ</t>
    </rPh>
    <rPh sb="4" eb="5">
      <t>ジ</t>
    </rPh>
    <phoneticPr fontId="6"/>
  </si>
  <si>
    <t>A</t>
    <phoneticPr fontId="6"/>
  </si>
  <si>
    <t>対象外</t>
    <rPh sb="0" eb="3">
      <t>タイショウガイ</t>
    </rPh>
    <phoneticPr fontId="4"/>
  </si>
  <si>
    <t>３歳児</t>
    <rPh sb="1" eb="3">
      <t>サイジ</t>
    </rPh>
    <phoneticPr fontId="6"/>
  </si>
  <si>
    <t>B</t>
    <phoneticPr fontId="6"/>
  </si>
  <si>
    <t>～210人</t>
    <rPh sb="4" eb="5">
      <t>ヒト</t>
    </rPh>
    <phoneticPr fontId="4"/>
  </si>
  <si>
    <t>Ａ</t>
    <phoneticPr fontId="4"/>
  </si>
  <si>
    <t>配置(A)</t>
    <rPh sb="0" eb="2">
      <t>ハイチ</t>
    </rPh>
    <phoneticPr fontId="4"/>
  </si>
  <si>
    <t>１、２歳児</t>
    <rPh sb="3" eb="5">
      <t>サイジ</t>
    </rPh>
    <phoneticPr fontId="6"/>
  </si>
  <si>
    <t>C</t>
    <phoneticPr fontId="6"/>
  </si>
  <si>
    <t>211人～279人</t>
    <rPh sb="3" eb="4">
      <t>ヒト</t>
    </rPh>
    <rPh sb="8" eb="9">
      <t>ヒト</t>
    </rPh>
    <phoneticPr fontId="4"/>
  </si>
  <si>
    <t>B</t>
    <phoneticPr fontId="4"/>
  </si>
  <si>
    <t>兼務(B)</t>
    <rPh sb="0" eb="2">
      <t>ケンム</t>
    </rPh>
    <phoneticPr fontId="4"/>
  </si>
  <si>
    <t>乳児</t>
    <rPh sb="0" eb="2">
      <t>ニュウジ</t>
    </rPh>
    <phoneticPr fontId="6"/>
  </si>
  <si>
    <t>D</t>
    <phoneticPr fontId="6"/>
  </si>
  <si>
    <t>280人～349人</t>
    <rPh sb="3" eb="4">
      <t>ヒト</t>
    </rPh>
    <rPh sb="8" eb="9">
      <t>ヒト</t>
    </rPh>
    <phoneticPr fontId="4"/>
  </si>
  <si>
    <t>嘱託(C)</t>
    <rPh sb="0" eb="2">
      <t>ショクタク</t>
    </rPh>
    <phoneticPr fontId="4"/>
  </si>
  <si>
    <t>20人</t>
    <rPh sb="2" eb="3">
      <t>ヒト</t>
    </rPh>
    <phoneticPr fontId="6"/>
  </si>
  <si>
    <t>350人～419人</t>
    <rPh sb="3" eb="4">
      <t>ヒト</t>
    </rPh>
    <rPh sb="8" eb="9">
      <t>ヒト</t>
    </rPh>
    <phoneticPr fontId="4"/>
  </si>
  <si>
    <t>420人～489人</t>
    <rPh sb="3" eb="4">
      <t>ヒト</t>
    </rPh>
    <rPh sb="8" eb="9">
      <t>ヒト</t>
    </rPh>
    <phoneticPr fontId="4"/>
  </si>
  <si>
    <t>【区分なし】</t>
    <rPh sb="1" eb="3">
      <t>クブン</t>
    </rPh>
    <phoneticPr fontId="4"/>
  </si>
  <si>
    <t>490人～559人</t>
    <rPh sb="3" eb="4">
      <t>ヒト</t>
    </rPh>
    <rPh sb="8" eb="9">
      <t>ヒト</t>
    </rPh>
    <phoneticPr fontId="4"/>
  </si>
  <si>
    <t>560人～629人</t>
    <rPh sb="3" eb="4">
      <t>ヒト</t>
    </rPh>
    <rPh sb="8" eb="9">
      <t>ヒト</t>
    </rPh>
    <phoneticPr fontId="4"/>
  </si>
  <si>
    <t>主任保育士専任</t>
    <rPh sb="0" eb="2">
      <t>シュニン</t>
    </rPh>
    <rPh sb="2" eb="5">
      <t>ホイクシ</t>
    </rPh>
    <rPh sb="5" eb="7">
      <t>センニン</t>
    </rPh>
    <phoneticPr fontId="4"/>
  </si>
  <si>
    <t>21人から25人まで</t>
    <phoneticPr fontId="4"/>
  </si>
  <si>
    <t>630人～699人</t>
    <rPh sb="3" eb="4">
      <t>ヒト</t>
    </rPh>
    <phoneticPr fontId="4"/>
  </si>
  <si>
    <t>事務職員雇上費</t>
    <rPh sb="0" eb="2">
      <t>ジム</t>
    </rPh>
    <rPh sb="2" eb="4">
      <t>ショクイン</t>
    </rPh>
    <rPh sb="4" eb="5">
      <t>ヤトイ</t>
    </rPh>
    <rPh sb="5" eb="6">
      <t>ア</t>
    </rPh>
    <rPh sb="6" eb="7">
      <t>ヒ</t>
    </rPh>
    <phoneticPr fontId="4"/>
  </si>
  <si>
    <t>700人～769人</t>
    <phoneticPr fontId="4"/>
  </si>
  <si>
    <t>処遇改善等加算(人数A)</t>
    <rPh sb="0" eb="2">
      <t>ショグウ</t>
    </rPh>
    <rPh sb="2" eb="4">
      <t>カイゼン</t>
    </rPh>
    <rPh sb="4" eb="5">
      <t>トウ</t>
    </rPh>
    <rPh sb="5" eb="7">
      <t>カサン</t>
    </rPh>
    <rPh sb="8" eb="10">
      <t>ニンズウ</t>
    </rPh>
    <phoneticPr fontId="4"/>
  </si>
  <si>
    <t>処遇改善等加算(人数B)</t>
    <rPh sb="0" eb="2">
      <t>ショグウ</t>
    </rPh>
    <rPh sb="2" eb="4">
      <t>カイゼン</t>
    </rPh>
    <rPh sb="4" eb="5">
      <t>トウ</t>
    </rPh>
    <rPh sb="5" eb="7">
      <t>カサン</t>
    </rPh>
    <rPh sb="8" eb="10">
      <t>ニンズウ</t>
    </rPh>
    <phoneticPr fontId="4"/>
  </si>
  <si>
    <t>840人～909人</t>
    <phoneticPr fontId="4"/>
  </si>
  <si>
    <t>冷暖房費-その他地域</t>
    <rPh sb="0" eb="3">
      <t>レイダンボウ</t>
    </rPh>
    <rPh sb="3" eb="4">
      <t>ヒ</t>
    </rPh>
    <rPh sb="7" eb="8">
      <t>ホカ</t>
    </rPh>
    <rPh sb="8" eb="10">
      <t>チイキ</t>
    </rPh>
    <phoneticPr fontId="4"/>
  </si>
  <si>
    <t>26人から30人まで</t>
    <phoneticPr fontId="4"/>
  </si>
  <si>
    <t>910人～979人</t>
    <phoneticPr fontId="4"/>
  </si>
  <si>
    <t>施設機能強化推進費</t>
    <rPh sb="0" eb="2">
      <t>シセツ</t>
    </rPh>
    <rPh sb="2" eb="4">
      <t>キノウ</t>
    </rPh>
    <rPh sb="4" eb="6">
      <t>キョウカ</t>
    </rPh>
    <rPh sb="6" eb="8">
      <t>スイシン</t>
    </rPh>
    <rPh sb="8" eb="9">
      <t>ヒ</t>
    </rPh>
    <phoneticPr fontId="4"/>
  </si>
  <si>
    <t>980人～1049人</t>
    <phoneticPr fontId="4"/>
  </si>
  <si>
    <t>第三者評価受審</t>
    <rPh sb="0" eb="3">
      <t>ダイサンシャ</t>
    </rPh>
    <rPh sb="3" eb="5">
      <t>ヒョウカ</t>
    </rPh>
    <rPh sb="5" eb="7">
      <t>ジュシン</t>
    </rPh>
    <phoneticPr fontId="4"/>
  </si>
  <si>
    <t>1050人～</t>
    <phoneticPr fontId="4"/>
  </si>
  <si>
    <t>31人から35人まで</t>
    <phoneticPr fontId="4"/>
  </si>
  <si>
    <t>36人から40人まで</t>
    <phoneticPr fontId="4"/>
  </si>
  <si>
    <t>41人から45人まで</t>
    <phoneticPr fontId="4"/>
  </si>
  <si>
    <t>46人から50人まで</t>
    <phoneticPr fontId="4"/>
  </si>
  <si>
    <t>51人から55人まで</t>
    <phoneticPr fontId="4"/>
  </si>
  <si>
    <t>56人から60人まで</t>
    <phoneticPr fontId="4"/>
  </si>
  <si>
    <t>61人から70人まで</t>
  </si>
  <si>
    <t>71人から80人まで</t>
  </si>
  <si>
    <t>81人から90人まで</t>
  </si>
  <si>
    <t>91人から100人まで</t>
  </si>
  <si>
    <t>101人から110人まで</t>
  </si>
  <si>
    <t>111人から120人まで</t>
  </si>
  <si>
    <t>121人から130人まで</t>
  </si>
  <si>
    <t>131人から140人まで</t>
  </si>
  <si>
    <t>141人から150人まで</t>
  </si>
  <si>
    <t>151人から160人まで</t>
  </si>
  <si>
    <t>161人から170人まで</t>
  </si>
  <si>
    <t>171人以上</t>
    <rPh sb="3" eb="4">
      <t>ヒト</t>
    </rPh>
    <rPh sb="4" eb="6">
      <t>イジョウ</t>
    </rPh>
    <phoneticPr fontId="4"/>
  </si>
  <si>
    <t>平均経験年数</t>
    <rPh sb="0" eb="6">
      <t>ヘイキンケイケンネンスウ</t>
    </rPh>
    <phoneticPr fontId="4"/>
  </si>
  <si>
    <t>分園</t>
    <rPh sb="0" eb="1">
      <t>ブン</t>
    </rPh>
    <rPh sb="1" eb="2">
      <t>ソノ</t>
    </rPh>
    <phoneticPr fontId="4"/>
  </si>
  <si>
    <t>分園なし</t>
    <rPh sb="0" eb="2">
      <t>ブンエン</t>
    </rPh>
    <phoneticPr fontId="4"/>
  </si>
  <si>
    <t>分園あり</t>
    <rPh sb="0" eb="2">
      <t>ブンエン</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</si>
  <si>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</si>
  <si>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</si>
  <si>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</si>
  <si>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</si>
  <si>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</si>
  <si>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</si>
  <si>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</si>
  <si>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</si>
  <si>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</si>
  <si>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</si>
  <si>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</si>
  <si>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</si>
  <si>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</si>
  <si>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分園の定員</t>
    <rPh sb="0" eb="2">
      <t>ブンエン</t>
    </rPh>
    <rPh sb="3" eb="5">
      <t>テイイン</t>
    </rPh>
    <phoneticPr fontId="4"/>
  </si>
  <si>
    <t>分園の有無</t>
    <rPh sb="0" eb="2">
      <t>ブンエン</t>
    </rPh>
    <rPh sb="3" eb="5">
      <t>ウム</t>
    </rPh>
    <phoneticPr fontId="4"/>
  </si>
  <si>
    <t>定員（全体）</t>
    <rPh sb="0" eb="2">
      <t>テイイン</t>
    </rPh>
    <rPh sb="3" eb="5">
      <t>ゼンタイ</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</si>
  <si>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</si>
  <si>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</si>
  <si>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</si>
  <si>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</si>
  <si>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※「分園あり」を選ばない限り、分園の情報は反映されません。</t>
    <rPh sb="2" eb="4">
      <t>ブンエン</t>
    </rPh>
    <rPh sb="8" eb="9">
      <t>エラ</t>
    </rPh>
    <rPh sb="12" eb="13">
      <t>カギ</t>
    </rPh>
    <rPh sb="15" eb="17">
      <t>ブンエン</t>
    </rPh>
    <rPh sb="18" eb="20">
      <t>ジョウホウ</t>
    </rPh>
    <rPh sb="21" eb="23">
      <t>ハンエイ</t>
    </rPh>
    <phoneticPr fontId="4"/>
  </si>
  <si>
    <t>計</t>
    <rPh sb="0" eb="1">
      <t>ケイ</t>
    </rPh>
    <phoneticPr fontId="4"/>
  </si>
  <si>
    <t>本園</t>
    <rPh sb="0" eb="2">
      <t>ホンエン</t>
    </rPh>
    <phoneticPr fontId="4"/>
  </si>
  <si>
    <t>分園</t>
    <rPh sb="0" eb="2">
      <t>ブンエン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</si>
  <si>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</si>
  <si>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</si>
  <si>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１歳児配置改善加算</t>
    <rPh sb="1" eb="3">
      <t>サイジ</t>
    </rPh>
    <rPh sb="3" eb="5">
      <t>ハイチ</t>
    </rPh>
    <rPh sb="5" eb="7">
      <t>カイゼン</t>
    </rPh>
    <rPh sb="7" eb="9">
      <t>カサン</t>
    </rPh>
    <phoneticPr fontId="2"/>
  </si>
  <si>
    <t>主任保育士専任加算</t>
    <rPh sb="0" eb="2">
      <t>シュニン</t>
    </rPh>
    <rPh sb="2" eb="5">
      <t>ホイクシ</t>
    </rPh>
    <rPh sb="5" eb="7">
      <t>センニン</t>
    </rPh>
    <rPh sb="7" eb="9">
      <t>カサン</t>
    </rPh>
    <phoneticPr fontId="2"/>
  </si>
  <si>
    <t>事務職員雇上費加算</t>
    <rPh sb="0" eb="2">
      <t>ジム</t>
    </rPh>
    <rPh sb="2" eb="4">
      <t>ショクイン</t>
    </rPh>
    <rPh sb="4" eb="5">
      <t>ヤト</t>
    </rPh>
    <rPh sb="5" eb="6">
      <t>ア</t>
    </rPh>
    <rPh sb="6" eb="7">
      <t>ヒ</t>
    </rPh>
    <rPh sb="7" eb="9">
      <t>カサン</t>
    </rPh>
    <phoneticPr fontId="2"/>
  </si>
  <si>
    <t>チーム保育推進加算</t>
    <rPh sb="3" eb="5">
      <t>ホイク</t>
    </rPh>
    <rPh sb="5" eb="7">
      <t>スイシン</t>
    </rPh>
    <rPh sb="7" eb="9">
      <t>カサン</t>
    </rPh>
    <phoneticPr fontId="2"/>
  </si>
  <si>
    <t>●</t>
    <phoneticPr fontId="4"/>
  </si>
  <si>
    <t>園合計</t>
    <rPh sb="0" eb="1">
      <t>ソノ</t>
    </rPh>
    <rPh sb="1" eb="3">
      <t>ゴウケイ</t>
    </rPh>
    <phoneticPr fontId="4"/>
  </si>
  <si>
    <t>施設長を配置していない場合の調整（減算）</t>
    <rPh sb="0" eb="3">
      <t>シセツチョウ</t>
    </rPh>
    <rPh sb="4" eb="6">
      <t>ハイチ</t>
    </rPh>
    <rPh sb="11" eb="13">
      <t>バアイ</t>
    </rPh>
    <rPh sb="14" eb="16">
      <t>チョウセイ</t>
    </rPh>
    <rPh sb="17" eb="19">
      <t>ゲンサン</t>
    </rPh>
    <phoneticPr fontId="2"/>
  </si>
  <si>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</si>
  <si>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</si>
  <si>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</si>
  <si>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</si>
  <si>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</si>
  <si>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</si>
  <si>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</si>
  <si>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</si>
  <si>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</si>
  <si>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夜間保育加算</t>
    <rPh sb="0" eb="2">
      <t>ヤカン</t>
    </rPh>
    <rPh sb="2" eb="4">
      <t>ホイク</t>
    </rPh>
    <rPh sb="4" eb="6">
      <t>カサン</t>
    </rPh>
    <phoneticPr fontId="2"/>
  </si>
  <si>
    <t>療育支援加算</t>
    <rPh sb="0" eb="6">
      <t>リョウイクシエンカサン</t>
    </rPh>
    <phoneticPr fontId="2"/>
  </si>
  <si>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</si>
  <si>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</si>
  <si>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</si>
  <si>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</si>
  <si>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</si>
  <si>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</si>
  <si>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</si>
  <si>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</si>
  <si>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</si>
  <si>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</si>
  <si>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</si>
  <si>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処遇改善等加算（本園/標準時間）単価</t>
    <rPh sb="0" eb="7">
      <t>ショグウカイゼントウカサン</t>
    </rPh>
    <rPh sb="11" eb="15">
      <t>ヒョウジュンジカン</t>
    </rPh>
    <rPh sb="16" eb="18">
      <t>タンカ</t>
    </rPh>
    <phoneticPr fontId="4"/>
  </si>
  <si>
    <t>処遇改善等加算（本園/短時間）単価</t>
    <rPh sb="0" eb="5">
      <t>ショグウカイゼントウ</t>
    </rPh>
    <rPh sb="5" eb="7">
      <t>カサン</t>
    </rPh>
    <rPh sb="8" eb="10">
      <t>ホンエン</t>
    </rPh>
    <rPh sb="11" eb="14">
      <t>タンジカン</t>
    </rPh>
    <rPh sb="15" eb="17">
      <t>タンカ</t>
    </rPh>
    <phoneticPr fontId="4"/>
  </si>
  <si>
    <t>処遇改善等加算（分園/標準時間）単価</t>
    <rPh sb="0" eb="7">
      <t>ショグウカイゼントウカサン</t>
    </rPh>
    <rPh sb="11" eb="15">
      <t>ヒョウジュンジカン</t>
    </rPh>
    <rPh sb="16" eb="18">
      <t>タンカ</t>
    </rPh>
    <phoneticPr fontId="4"/>
  </si>
  <si>
    <t>処遇改善等加算（分園/短時間）単価</t>
    <rPh sb="0" eb="5">
      <t>ショグウカイゼントウ</t>
    </rPh>
    <rPh sb="5" eb="7">
      <t>カサン</t>
    </rPh>
    <rPh sb="11" eb="14">
      <t>タンジカン</t>
    </rPh>
    <rPh sb="15" eb="17">
      <t>タンカ</t>
    </rPh>
    <phoneticPr fontId="4"/>
  </si>
  <si>
    <t>3歳児配置改善加算単価</t>
    <rPh sb="1" eb="3">
      <t>サイジ</t>
    </rPh>
    <rPh sb="3" eb="9">
      <t>ハイチカイゼンカサン</t>
    </rPh>
    <rPh sb="9" eb="11">
      <t>タンカ</t>
    </rPh>
    <phoneticPr fontId="4"/>
  </si>
  <si>
    <t>1歳児配置改善加算単価</t>
    <rPh sb="1" eb="3">
      <t>サイジ</t>
    </rPh>
    <rPh sb="3" eb="9">
      <t>ハイチカイゼンカサン</t>
    </rPh>
    <rPh sb="9" eb="11">
      <t>タンカ</t>
    </rPh>
    <phoneticPr fontId="4"/>
  </si>
  <si>
    <t>4歳以上児配置改善加算単価</t>
    <rPh sb="1" eb="4">
      <t>サイイジョウ</t>
    </rPh>
    <rPh sb="4" eb="5">
      <t>ジ</t>
    </rPh>
    <rPh sb="5" eb="7">
      <t>ハイチ</t>
    </rPh>
    <rPh sb="7" eb="9">
      <t>カイゼン</t>
    </rPh>
    <rPh sb="9" eb="11">
      <t>カサン</t>
    </rPh>
    <rPh sb="11" eb="13">
      <t>タンカ</t>
    </rPh>
    <phoneticPr fontId="4"/>
  </si>
  <si>
    <t>休日保育</t>
    <rPh sb="0" eb="4">
      <t>キュウジツホイク</t>
    </rPh>
    <phoneticPr fontId="4"/>
  </si>
  <si>
    <t>～210人</t>
  </si>
  <si>
    <t>211人～279人</t>
  </si>
  <si>
    <t>280人～349人</t>
  </si>
  <si>
    <t>350人～419人</t>
  </si>
  <si>
    <t>420人～489人</t>
  </si>
  <si>
    <t>490人～559人</t>
  </si>
  <si>
    <t>560人～629人</t>
  </si>
  <si>
    <t>630人～699人</t>
  </si>
  <si>
    <t>700人～769人</t>
  </si>
  <si>
    <t>770人～839人</t>
  </si>
  <si>
    <t>840人～909人</t>
  </si>
  <si>
    <t>910人～979人</t>
  </si>
  <si>
    <t>980人～1049人</t>
  </si>
  <si>
    <t>1050人～</t>
  </si>
  <si>
    <t>休日保育加算単価</t>
    <rPh sb="0" eb="8">
      <t>キュウジツホイクカサンタンカ</t>
    </rPh>
    <phoneticPr fontId="4"/>
  </si>
  <si>
    <t>770人～839人</t>
    <phoneticPr fontId="4"/>
  </si>
  <si>
    <t>夜間保育加算単価</t>
    <rPh sb="0" eb="6">
      <t>ヤカンホイクカサン</t>
    </rPh>
    <rPh sb="6" eb="8">
      <t>タンカ</t>
    </rPh>
    <phoneticPr fontId="4"/>
  </si>
  <si>
    <t>チーム保育推進加算単価</t>
    <rPh sb="3" eb="5">
      <t>ホイク</t>
    </rPh>
    <rPh sb="5" eb="7">
      <t>スイシン</t>
    </rPh>
    <rPh sb="7" eb="9">
      <t>カサン</t>
    </rPh>
    <rPh sb="9" eb="11">
      <t>タンカ</t>
    </rPh>
    <phoneticPr fontId="4"/>
  </si>
  <si>
    <t>分園の調整</t>
    <rPh sb="0" eb="2">
      <t>ブンエン</t>
    </rPh>
    <rPh sb="3" eb="5">
      <t>チョウセイ</t>
    </rPh>
    <phoneticPr fontId="4"/>
  </si>
  <si>
    <t>施設長未設置</t>
    <rPh sb="0" eb="2">
      <t>シセツ</t>
    </rPh>
    <rPh sb="2" eb="3">
      <t>オサ</t>
    </rPh>
    <rPh sb="3" eb="6">
      <t>ミセッチ</t>
    </rPh>
    <phoneticPr fontId="6"/>
  </si>
  <si>
    <t>主任保育士専任加算単価</t>
    <rPh sb="0" eb="9">
      <t>シュニンホイクシセンニンカサン</t>
    </rPh>
    <rPh sb="9" eb="11">
      <t>タンカ</t>
    </rPh>
    <phoneticPr fontId="4"/>
  </si>
  <si>
    <t>事務職員雇上費加算単価</t>
    <rPh sb="9" eb="11">
      <t>タンカ</t>
    </rPh>
    <phoneticPr fontId="4"/>
  </si>
  <si>
    <t>療育支援加算単価</t>
    <rPh sb="0" eb="6">
      <t>リョウイクシエンカサン</t>
    </rPh>
    <rPh sb="6" eb="8">
      <t>タンカ</t>
    </rPh>
    <phoneticPr fontId="2"/>
  </si>
  <si>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</si>
  <si>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</si>
  <si>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</si>
  <si>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</si>
  <si>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</si>
  <si>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</si>
  <si>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</si>
  <si>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</si>
  <si>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</si>
  <si>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</si>
  <si>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</si>
  <si>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</si>
  <si>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チーム保育</t>
    <rPh sb="3" eb="5">
      <t>ホイク</t>
    </rPh>
    <phoneticPr fontId="4"/>
  </si>
  <si>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</si>
  <si>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</si>
  <si>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</si>
  <si>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</si>
  <si>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</si>
  <si>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土曜閉所</t>
    <rPh sb="0" eb="2">
      <t>ドヨウ</t>
    </rPh>
    <rPh sb="2" eb="4">
      <t>ヘイショ</t>
    </rPh>
    <phoneticPr fontId="6"/>
  </si>
  <si>
    <t>flag</t>
    <phoneticPr fontId="4"/>
  </si>
  <si>
    <t>土曜閉所減算単価</t>
    <rPh sb="0" eb="4">
      <t>ドヨウヘイショ</t>
    </rPh>
    <rPh sb="4" eb="6">
      <t>ゲンサン</t>
    </rPh>
    <rPh sb="6" eb="8">
      <t>タンカ</t>
    </rPh>
    <phoneticPr fontId="4"/>
  </si>
  <si>
    <t>施設長を設置していない場合の調整（本園）</t>
    <rPh sb="0" eb="2">
      <t>シセツ</t>
    </rPh>
    <rPh sb="2" eb="3">
      <t>オサ</t>
    </rPh>
    <rPh sb="4" eb="6">
      <t>セッチ</t>
    </rPh>
    <rPh sb="11" eb="13">
      <t>バアイ</t>
    </rPh>
    <rPh sb="14" eb="16">
      <t>チョウセイ</t>
    </rPh>
    <rPh sb="17" eb="18">
      <t>ホン</t>
    </rPh>
    <rPh sb="18" eb="19">
      <t>エン</t>
    </rPh>
    <phoneticPr fontId="4"/>
  </si>
  <si>
    <t>施設長を設置していない場合の調整（分園）</t>
    <rPh sb="0" eb="2">
      <t>シセツ</t>
    </rPh>
    <rPh sb="2" eb="3">
      <t>オサ</t>
    </rPh>
    <rPh sb="4" eb="6">
      <t>セッチ</t>
    </rPh>
    <rPh sb="11" eb="13">
      <t>バアイ</t>
    </rPh>
    <rPh sb="14" eb="16">
      <t>チョウセイ</t>
    </rPh>
    <rPh sb="17" eb="19">
      <t>ブンエン</t>
    </rPh>
    <phoneticPr fontId="4"/>
  </si>
  <si>
    <t>【保育所用】処遇改善等加算区分1・2加算額見込み計算表</t>
    <rPh sb="1" eb="5">
      <t>ホイクショヨウ</t>
    </rPh>
    <rPh sb="6" eb="13">
      <t>ショグウカイゼントウカサン</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</si>
  <si>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</si>
  <si>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</si>
  <si>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</si>
  <si>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</si>
  <si>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</si>
  <si>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</si>
  <si>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</si>
  <si>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</si>
  <si>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</si>
  <si>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</si>
  <si>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</si>
  <si>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</si>
  <si>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</si>
  <si>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</si>
  <si>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</si>
  <si>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</si>
  <si>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</si>
  <si>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</si>
  <si>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</si>
  <si>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</si>
  <si>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</si>
  <si>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加算率(a)</t>
    <rPh sb="0" eb="2">
      <t>カサン</t>
    </rPh>
    <rPh sb="2" eb="3">
      <t>リツ</t>
    </rPh>
    <phoneticPr fontId="4"/>
  </si>
  <si>
    <t>加算率(b)</t>
    <rPh sb="0" eb="2">
      <t>カサン</t>
    </rPh>
    <rPh sb="2" eb="3">
      <t>リツ</t>
    </rPh>
    <phoneticPr fontId="4"/>
  </si>
  <si>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</si>
  <si>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</si>
  <si>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</si>
  <si>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</si>
  <si>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</si>
  <si>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</si>
  <si>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</si>
  <si>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</si>
  <si>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</si>
  <si>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</si>
  <si>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</si>
  <si>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</si>
  <si>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</si>
  <si>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</si>
  <si>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</si>
  <si>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</si>
  <si>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２歳児</t>
    <rPh sb="1" eb="3">
      <t>サイジ</t>
    </rPh>
    <phoneticPr fontId="4"/>
  </si>
  <si>
    <t>１歳児</t>
    <rPh sb="1" eb="3">
      <t>サイジ</t>
    </rPh>
    <phoneticPr fontId="4"/>
  </si>
  <si>
    <t>０歳児</t>
    <rPh sb="1" eb="3">
      <t>サイジ</t>
    </rPh>
    <phoneticPr fontId="4"/>
  </si>
  <si>
    <t>合計</t>
    <rPh sb="0" eb="2">
      <t>ゴウケイ</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</si>
  <si>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</si>
  <si>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</si>
  <si>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</si>
  <si>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</si>
  <si>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</si>
  <si>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</si>
  <si>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</si>
  <si>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平均年齢別児童数計算表（保育所）</t>
    <rPh sb="0" eb="2">
      <t>ヘイキン</t>
    </rPh>
    <rPh sb="2" eb="5">
      <t>ネンレイベツ</t>
    </rPh>
    <rPh sb="5" eb="8">
      <t>ジドウスウ</t>
    </rPh>
    <rPh sb="8" eb="11">
      <t>ケイサンヒョウ</t>
    </rPh>
    <rPh sb="12" eb="14">
      <t>ホイク</t>
    </rPh>
    <rPh sb="14" eb="15">
      <t>ショ</t>
    </rPh>
    <phoneticPr fontId="4"/>
  </si>
  <si>
    <t>平均年齢別児童数計算表（保育所／分園）</t>
    <rPh sb="0" eb="2">
      <t>ヘイキン</t>
    </rPh>
    <rPh sb="2" eb="5">
      <t>ネンレイベツ</t>
    </rPh>
    <rPh sb="5" eb="8">
      <t>ジドウスウ</t>
    </rPh>
    <rPh sb="8" eb="11">
      <t>ケイサンヒョウ</t>
    </rPh>
    <rPh sb="12" eb="14">
      <t>ホイク</t>
    </rPh>
    <rPh sb="14" eb="15">
      <t>ショ</t>
    </rPh>
    <rPh sb="16" eb="18">
      <t>ブンエン</t>
    </rPh>
    <phoneticPr fontId="4"/>
  </si>
  <si>
    <t>処遇改善等加算区分３　加算算定対象人数計算表（保育所）</t>
    <rPh sb="0" eb="2">
      <t>ショグウ</t>
    </rPh>
    <rPh sb="2" eb="5">
      <t>カイゼンナド</t>
    </rPh>
    <rPh sb="5" eb="7">
      <t>カサン</t>
    </rPh>
    <rPh sb="7" eb="9">
      <t>クブン</t>
    </rPh>
    <rPh sb="11" eb="13">
      <t>カサン</t>
    </rPh>
    <rPh sb="13" eb="15">
      <t>サンテイ</t>
    </rPh>
    <rPh sb="15" eb="17">
      <t>タイショウ</t>
    </rPh>
    <rPh sb="17" eb="19">
      <t>ニンズウ</t>
    </rPh>
    <rPh sb="19" eb="21">
      <t>ケイサン</t>
    </rPh>
    <rPh sb="21" eb="22">
      <t>ヒョウ</t>
    </rPh>
    <rPh sb="22" eb="24">
      <t>ケイサン</t>
    </rPh>
    <rPh sb="24" eb="25">
      <t>オモテホイクショ</t>
    </rPh>
    <phoneticPr fontId="4"/>
  </si>
  <si>
    <t>0．基礎情報</t>
    <rPh sb="2" eb="4">
      <t>キソ</t>
    </rPh>
    <rPh sb="4" eb="6">
      <t>ジョウホウ</t>
    </rPh>
    <phoneticPr fontId="4"/>
  </si>
  <si>
    <t>選択項目</t>
    <rPh sb="0" eb="2">
      <t>センタク</t>
    </rPh>
    <rPh sb="2" eb="4">
      <t>コウモク</t>
    </rPh>
    <phoneticPr fontId="4"/>
  </si>
  <si>
    <t>入力項目</t>
    <rPh sb="0" eb="2">
      <t>ニュウリョク</t>
    </rPh>
    <rPh sb="2" eb="4">
      <t>コウモク</t>
    </rPh>
    <phoneticPr fontId="4"/>
  </si>
  <si>
    <t>本園分を
記入</t>
    <rPh sb="0" eb="1">
      <t>ホン</t>
    </rPh>
    <rPh sb="1" eb="2">
      <t>エン</t>
    </rPh>
    <rPh sb="2" eb="3">
      <t>ブン</t>
    </rPh>
    <rPh sb="5" eb="7">
      <t>キニュウ</t>
    </rPh>
    <phoneticPr fontId="4"/>
  </si>
  <si>
    <t>利用定員数</t>
    <rPh sb="0" eb="2">
      <t>リヨウ</t>
    </rPh>
    <rPh sb="2" eb="4">
      <t>テイイン</t>
    </rPh>
    <rPh sb="4" eb="5">
      <t>スウ</t>
    </rPh>
    <phoneticPr fontId="4"/>
  </si>
  <si>
    <t>年齢別児童数</t>
    <rPh sb="0" eb="3">
      <t>ネンレイベツ</t>
    </rPh>
    <rPh sb="3" eb="6">
      <t>ジドウスウ</t>
    </rPh>
    <phoneticPr fontId="4"/>
  </si>
  <si>
    <t>４歳児以上児</t>
    <rPh sb="1" eb="3">
      <t>サイジ</t>
    </rPh>
    <rPh sb="3" eb="5">
      <t>イジョウ</t>
    </rPh>
    <rPh sb="5" eb="6">
      <t>ジ</t>
    </rPh>
    <phoneticPr fontId="4"/>
  </si>
  <si>
    <t>３歳児</t>
    <rPh sb="1" eb="2">
      <t>サイ</t>
    </rPh>
    <rPh sb="2" eb="3">
      <t>ジ</t>
    </rPh>
    <phoneticPr fontId="4"/>
  </si>
  <si>
    <t>１，２歳児</t>
    <rPh sb="3" eb="5">
      <t>サイジ</t>
    </rPh>
    <phoneticPr fontId="4"/>
  </si>
  <si>
    <t>　うち１歳児</t>
    <rPh sb="4" eb="6">
      <t>サイジ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</si>
  <si>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</si>
  <si>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</si>
  <si>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１．加算対象人数の基礎となる職員数（人）</t>
    <rPh sb="2" eb="4">
      <t>カサン</t>
    </rPh>
    <rPh sb="4" eb="6">
      <t>タイショウ</t>
    </rPh>
    <rPh sb="6" eb="8">
      <t>ニンズウ</t>
    </rPh>
    <rPh sb="9" eb="11">
      <t>キソ</t>
    </rPh>
    <rPh sb="14" eb="17">
      <t>ショクインスウ</t>
    </rPh>
    <rPh sb="18" eb="19">
      <t>ニン</t>
    </rPh>
    <phoneticPr fontId="4"/>
  </si>
  <si>
    <t>本園分</t>
    <rPh sb="0" eb="1">
      <t>ホン</t>
    </rPh>
    <rPh sb="1" eb="2">
      <t>エン</t>
    </rPh>
    <rPh sb="2" eb="3">
      <t>ブン</t>
    </rPh>
    <phoneticPr fontId="4"/>
  </si>
  <si>
    <t>選択
項目</t>
    <rPh sb="0" eb="2">
      <t>センタク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</si>
  <si>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</si>
  <si>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</si>
  <si>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</si>
  <si>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t>4歳以上児</t>
    <rPh sb="1" eb="4">
      <t>サイイジョウ</t>
    </rPh>
    <rPh sb="2" eb="4">
      <t>イジョウ</t>
    </rPh>
    <rPh sb="4" eb="5">
      <t>ジ</t>
    </rPh>
    <phoneticPr fontId="4"/>
  </si>
  <si>
    <t xml:space="preserve">  4歳以上児配置改善加算</t>
    <rPh sb="4" eb="6">
      <t>イジョウ</t>
    </rPh>
    <phoneticPr fontId="4"/>
  </si>
  <si>
    <t>3歳児</t>
    <rPh sb="1" eb="3">
      <t>サイジ</t>
    </rPh>
    <phoneticPr fontId="4"/>
  </si>
  <si>
    <t xml:space="preserve">  3歳児配置改善加算</t>
    <rPh sb="3" eb="5">
      <t>サイジ</t>
    </rPh>
    <rPh sb="5" eb="7">
      <t>ハイチ</t>
    </rPh>
    <rPh sb="7" eb="9">
      <t>カイゼン</t>
    </rPh>
    <rPh sb="9" eb="11">
      <t>カサン</t>
    </rPh>
    <phoneticPr fontId="4"/>
  </si>
  <si>
    <t xml:space="preserve">  1歳児配置改善加算</t>
    <rPh sb="3" eb="5">
      <t>サイジ</t>
    </rPh>
    <rPh sb="5" eb="7">
      <t>ハイチ</t>
    </rPh>
    <rPh sb="7" eb="9">
      <t>カイゼン</t>
    </rPh>
    <rPh sb="9" eb="11">
      <t>カサン</t>
    </rPh>
    <phoneticPr fontId="4"/>
  </si>
  <si>
    <t>小計（小数点第一位四捨五入）</t>
    <rPh sb="0" eb="2">
      <t>ショウケイ</t>
    </rPh>
    <rPh sb="3" eb="6">
      <t>ショウスウテン</t>
    </rPh>
    <rPh sb="6" eb="7">
      <t>ダイ</t>
    </rPh>
    <rPh sb="7" eb="9">
      <t>イチイ</t>
    </rPh>
    <rPh sb="9" eb="13">
      <t>シシャゴニュウ</t>
    </rPh>
    <phoneticPr fontId="4"/>
  </si>
  <si>
    <t>ｂ</t>
    <phoneticPr fontId="4"/>
  </si>
  <si>
    <r>
      <t>保育標準時間認定の</t>
    </r>
    <r>
      <rPr>
        <sz val="11"/>
        <rFont val="HG丸ｺﾞｼｯｸM-PRO"/>
        <family val="3"/>
        <charset val="128"/>
      </rPr>
      <t>子ども</t>
    </r>
    <rPh sb="0" eb="2">
      <t>ホイク</t>
    </rPh>
    <rPh sb="2" eb="4">
      <t>ヒョウジュン</t>
    </rPh>
    <rPh sb="4" eb="6">
      <t>ジカン</t>
    </rPh>
    <rPh sb="6" eb="8">
      <t>ニンテイ</t>
    </rPh>
    <rPh sb="9" eb="10">
      <t>コ</t>
    </rPh>
    <phoneticPr fontId="4"/>
  </si>
  <si>
    <t>ｃ</t>
    <phoneticPr fontId="4"/>
  </si>
  <si>
    <t>主任保育士専任加算</t>
    <rPh sb="0" eb="2">
      <t>シュニン</t>
    </rPh>
    <rPh sb="2" eb="5">
      <t>ホイクシ</t>
    </rPh>
    <rPh sb="5" eb="7">
      <t>センニン</t>
    </rPh>
    <rPh sb="7" eb="9">
      <t>カサン</t>
    </rPh>
    <phoneticPr fontId="4"/>
  </si>
  <si>
    <t>ｄ</t>
    <phoneticPr fontId="4"/>
  </si>
  <si>
    <t>事務職員雇上費加算</t>
    <rPh sb="0" eb="2">
      <t>ジム</t>
    </rPh>
    <rPh sb="2" eb="4">
      <t>ショクイン</t>
    </rPh>
    <rPh sb="4" eb="5">
      <t>ヤト</t>
    </rPh>
    <rPh sb="5" eb="6">
      <t>ア</t>
    </rPh>
    <rPh sb="6" eb="7">
      <t>ヒ</t>
    </rPh>
    <rPh sb="7" eb="9">
      <t>カサン</t>
    </rPh>
    <phoneticPr fontId="4"/>
  </si>
  <si>
    <t>ｅ</t>
    <phoneticPr fontId="4"/>
  </si>
  <si>
    <t>ｆ</t>
    <phoneticPr fontId="4"/>
  </si>
  <si>
    <t>チーム保育推進加算</t>
    <rPh sb="3" eb="5">
      <t>ホイク</t>
    </rPh>
    <rPh sb="5" eb="7">
      <t>スイシン</t>
    </rPh>
    <rPh sb="7" eb="9">
      <t>カサン</t>
    </rPh>
    <phoneticPr fontId="4"/>
  </si>
  <si>
    <t>g</t>
    <phoneticPr fontId="4"/>
  </si>
  <si>
    <t>利用定員数に基づく職員数</t>
    <rPh sb="0" eb="2">
      <t>リヨウ</t>
    </rPh>
    <rPh sb="2" eb="4">
      <t>テイイン</t>
    </rPh>
    <rPh sb="4" eb="5">
      <t>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</si>
  <si>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</si>
  <si>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</si>
  <si>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</si>
  <si>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</si>
  <si>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</si>
  <si>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</si>
  <si>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</si>
  <si>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</si>
  <si>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</si>
  <si>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</si>
  <si>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</si>
  <si>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</si>
  <si>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</si>
  <si>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分園</t>
  </si>
  <si>
    <t>4歳以上児</t>
    <rPh sb="1" eb="2">
      <t>サイ</t>
    </rPh>
    <rPh sb="2" eb="4">
      <t>イジョウ</t>
    </rPh>
    <rPh sb="4" eb="5">
      <t>ジ</t>
    </rPh>
    <phoneticPr fontId="4"/>
  </si>
  <si>
    <t>1、2歳児</t>
    <rPh sb="3" eb="5">
      <t>サイジ</t>
    </rPh>
    <phoneticPr fontId="4"/>
  </si>
  <si>
    <t>うち1歳児</t>
    <rPh sb="3" eb="5">
      <t>サイジ</t>
    </rPh>
    <phoneticPr fontId="4"/>
  </si>
  <si>
    <t>0歳児</t>
    <rPh sb="1" eb="3">
      <t>サイジ</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</si>
  <si>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</si>
  <si>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</si>
  <si>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</si>
  <si>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</si>
  <si>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加算率（a）</t>
    <rPh sb="0" eb="2">
      <t>カサン</t>
    </rPh>
    <rPh sb="2" eb="3">
      <t>リツ</t>
    </rPh>
    <phoneticPr fontId="4"/>
  </si>
  <si>
    <t>加算率（b）</t>
    <rPh sb="0" eb="2">
      <t>カサン</t>
    </rPh>
    <rPh sb="2" eb="3">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</si>
  <si>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</si>
  <si>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</si>
  <si>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</si>
  <si>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</si>
  <si>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</si>
  <si>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充てない</t>
    <rPh sb="0" eb="1">
      <t>ア</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</si>
  <si>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</si>
  <si>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</si>
  <si>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</si>
  <si>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</si>
  <si>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</si>
  <si>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</si>
  <si>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</si>
  <si>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</si>
  <si>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</si>
  <si>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</si>
  <si>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</si>
  <si>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</si>
  <si>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</si>
  <si>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</si>
  <si>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</si>
  <si>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</si>
  <si>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</si>
  <si>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</si>
  <si>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</si>
  <si>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</si>
  <si>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</si>
  <si>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</si>
  <si>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</si>
  <si>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</si>
  <si>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</si>
  <si>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</si>
  <si>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</si>
  <si>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</si>
  <si>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</si>
  <si>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</si>
  <si>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</si>
  <si>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</si>
  <si>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</si>
  <si>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</si>
  <si>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</si>
  <si>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入力ありがとうございました。以下で「●」が付いているシートの作成をお願いします。</t>
    <rPh sb="0" eb="2">
      <t>ニュウリョク</t>
    </rPh>
    <rPh sb="30" eb="32">
      <t>サクセイ</t>
    </rPh>
    <rPh sb="34" eb="35">
      <t>ネガ</t>
    </rPh>
    <phoneticPr fontId="4"/>
  </si>
  <si>
    <t>2_区分12加算額計算表</t>
    <rPh sb="2" eb="4">
      <t>クブン</t>
    </rPh>
    <rPh sb="6" eb="9">
      <t>カサンガク</t>
    </rPh>
    <rPh sb="9" eb="11">
      <t>ケイサン</t>
    </rPh>
    <rPh sb="11" eb="12">
      <t>オモテ</t>
    </rPh>
    <phoneticPr fontId="4"/>
  </si>
  <si>
    <t>3_区分3計算表</t>
    <rPh sb="2" eb="4">
      <t>クブン</t>
    </rPh>
    <rPh sb="5" eb="7">
      <t>ケイサン</t>
    </rPh>
    <rPh sb="7" eb="8">
      <t>オモテ</t>
    </rPh>
    <phoneticPr fontId="4"/>
  </si>
  <si>
    <t>1-1_児童数計算表　※ 分園を設置している場合は1-2も作成</t>
    <rPh sb="4" eb="6">
      <t>ジドウ</t>
    </rPh>
    <rPh sb="6" eb="7">
      <t>スウ</t>
    </rPh>
    <rPh sb="7" eb="9">
      <t>ケイサン</t>
    </rPh>
    <rPh sb="9" eb="10">
      <t>オモテ</t>
    </rPh>
    <rPh sb="13" eb="15">
      <t>ブンエン</t>
    </rPh>
    <rPh sb="16" eb="18">
      <t>セッチ</t>
    </rPh>
    <rPh sb="22" eb="24">
      <t>バアイ</t>
    </rPh>
    <rPh sb="29" eb="31">
      <t>サクセイ</t>
    </rPh>
    <phoneticPr fontId="4"/>
  </si>
  <si>
    <t>栄養管理加算（Ａ：配置の場合）</t>
    <rPh sb="0" eb="2">
      <t>エイヨウ</t>
    </rPh>
    <rPh sb="2" eb="4">
      <t>カンリ</t>
    </rPh>
    <rPh sb="4" eb="6">
      <t>カサン</t>
    </rPh>
    <rPh sb="9" eb="11">
      <t>ハイチ</t>
    </rPh>
    <rPh sb="12" eb="14">
      <t>バアイ</t>
    </rPh>
    <phoneticPr fontId="6"/>
  </si>
  <si>
    <t>障害児保育加算</t>
    <rPh sb="0" eb="3">
      <t>ショウガイジ</t>
    </rPh>
    <rPh sb="3" eb="5">
      <t>ホイク</t>
    </rPh>
    <rPh sb="5" eb="7">
      <t>カサン</t>
    </rPh>
    <phoneticPr fontId="6"/>
  </si>
  <si>
    <t>家庭的保育</t>
    <rPh sb="0" eb="3">
      <t>カテイテキ</t>
    </rPh>
    <rPh sb="3" eb="5">
      <t>ホイク</t>
    </rPh>
    <phoneticPr fontId="6"/>
  </si>
  <si>
    <t>休日保育加算</t>
    <rPh sb="0" eb="2">
      <t>キュウジツ</t>
    </rPh>
    <rPh sb="2" eb="4">
      <t>ホイク</t>
    </rPh>
    <rPh sb="4" eb="6">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</si>
  <si>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</si>
  <si>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</si>
  <si>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小規模保育（A型B型）</t>
    <rPh sb="0" eb="3">
      <t>ショウキボ</t>
    </rPh>
    <rPh sb="3" eb="5">
      <t>ホイク</t>
    </rPh>
    <rPh sb="7" eb="8">
      <t>ガタ</t>
    </rPh>
    <rPh sb="9" eb="10">
      <t>ガタ</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</si>
  <si>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</si>
  <si>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</si>
  <si>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</si>
  <si>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</si>
  <si>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</si>
  <si>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</si>
  <si>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</si>
  <si>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</si>
  <si>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満３歳児対応加配加算</t>
    <rPh sb="0" eb="1">
      <t>マン</t>
    </rPh>
    <rPh sb="2" eb="4">
      <t>サイジ</t>
    </rPh>
    <rPh sb="4" eb="6">
      <t>タイオウ</t>
    </rPh>
    <rPh sb="6" eb="8">
      <t>カハイ</t>
    </rPh>
    <rPh sb="8" eb="10">
      <t>カサン</t>
    </rPh>
    <phoneticPr fontId="6"/>
  </si>
  <si>
    <t>１歳児配置改善加算</t>
    <rPh sb="1" eb="3">
      <t>サイジ</t>
    </rPh>
    <rPh sb="3" eb="5">
      <t>ハイチ</t>
    </rPh>
    <rPh sb="5" eb="7">
      <t>カイゼン</t>
    </rPh>
    <rPh sb="7" eb="9">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</si>
  <si>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</si>
  <si>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</si>
  <si>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</si>
  <si>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</si>
  <si>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</si>
  <si>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チーム保育推進加算</t>
    <rPh sb="3" eb="5">
      <t>ホイク</t>
    </rPh>
    <rPh sb="5" eb="7">
      <t>スイシン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</si>
  <si>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</si>
  <si>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</si>
  <si>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</si>
  <si>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</si>
  <si>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</si>
  <si>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</si>
  <si>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t>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</si>
  <si>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</si>
  <si>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</si>
  <si>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</si>
  <si>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</si>
  <si>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</si>
  <si>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</si>
  <si>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</si>
  <si>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施設・事業所コード</t>
    <rPh sb="0" eb="2">
      <t>シセツ</t>
    </rPh>
    <rPh sb="3" eb="6">
      <t>ジギョウショ</t>
    </rPh>
    <phoneticPr fontId="6"/>
  </si>
  <si>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</si>
  <si>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</si>
  <si>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京都市</t>
    <rPh sb="0" eb="3">
      <t>キョウトシ</t>
    </rPh>
    <phoneticPr fontId="6"/>
  </si>
  <si>
    <t>市町村名</t>
    <rPh sb="0" eb="3">
      <t>シチョウソン</t>
    </rPh>
    <rPh sb="3" eb="4">
      <t>メイ</t>
    </rPh>
    <phoneticPr fontId="6"/>
  </si>
  <si>
    <t>京都市長　殿</t>
    <rPh sb="0" eb="2">
      <t>キョウト</t>
    </rPh>
    <rPh sb="2" eb="4">
      <t>シチョウ</t>
    </rPh>
    <rPh sb="5" eb="6">
      <t>ドノ</t>
    </rPh>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</si>
  <si>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</si>
  <si>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</si>
  <si>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</si>
  <si>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</si>
  <si>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</si>
  <si>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</si>
  <si>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</si>
  <si>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</si>
  <si>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</si>
  <si>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</si>
  <si>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</si>
  <si>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</si>
  <si>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</si>
  <si>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</si>
  <si>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</si>
  <si>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</si>
  <si>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</si>
  <si>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</si>
  <si>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</si>
  <si>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</si>
  <si>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</si>
  <si>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</si>
  <si>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</si>
  <si>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〇キャリアパスに関する要件について</t>
    <rPh sb="8" eb="9">
      <t>カン</t>
    </rPh>
    <rPh sb="11" eb="13">
      <t>ヨウケン</t>
    </rPh>
    <phoneticPr fontId="6"/>
  </si>
  <si>
    <t>施設・事業所番号</t>
    <rPh sb="0" eb="2">
      <t>シセツ</t>
    </rPh>
    <rPh sb="3" eb="6">
      <t>ジギョウショ</t>
    </rPh>
    <rPh sb="6" eb="8">
      <t>バンゴウ</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</si>
  <si>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</si>
  <si>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</si>
  <si>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</si>
  <si>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</si>
  <si>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</si>
  <si>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</si>
  <si>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</si>
  <si>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</si>
  <si>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</si>
  <si>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</si>
  <si>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</si>
  <si>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</si>
  <si>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</si>
  <si>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</si>
  <si>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</si>
  <si>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</si>
  <si>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</si>
  <si>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</si>
  <si>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</si>
  <si>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</si>
  <si>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③各種加算の適用状況</t>
    <phoneticPr fontId="6"/>
  </si>
  <si>
    <t>副園長・教頭配置加算を受けている場合の減算</t>
    <rPh sb="6" eb="8">
      <t>ハイチ</t>
    </rPh>
    <rPh sb="11" eb="12">
      <t>ウ</t>
    </rPh>
    <rPh sb="16" eb="18">
      <t>バアイ</t>
    </rPh>
    <rPh sb="19" eb="21">
      <t>ゲンザン</t>
    </rPh>
    <phoneticPr fontId="6"/>
  </si>
  <si>
    <t>給食実施加算（施設内調理）</t>
    <rPh sb="0" eb="2">
      <t>キュウショク</t>
    </rPh>
    <rPh sb="2" eb="4">
      <t>ジッシ</t>
    </rPh>
    <rPh sb="4" eb="6">
      <t>カサン</t>
    </rPh>
    <rPh sb="7" eb="9">
      <t>シセツ</t>
    </rPh>
    <rPh sb="9" eb="10">
      <t>ナイ</t>
    </rPh>
    <rPh sb="10" eb="12">
      <t>チョウリ</t>
    </rPh>
    <phoneticPr fontId="6"/>
  </si>
  <si>
    <t>学級編制調整加配加算</t>
    <rPh sb="0" eb="2">
      <t>ガッキュウ</t>
    </rPh>
    <rPh sb="2" eb="4">
      <t>ヘンセイ</t>
    </rPh>
    <rPh sb="4" eb="6">
      <t>チョウセイ</t>
    </rPh>
    <rPh sb="6" eb="8">
      <t>カハイ</t>
    </rPh>
    <rPh sb="8" eb="10">
      <t>カサン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</si>
  <si>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</si>
  <si>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</si>
  <si>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</si>
  <si>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</si>
  <si>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</si>
  <si>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</si>
  <si>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</si>
  <si>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</si>
  <si>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</si>
  <si>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</si>
  <si>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</si>
  <si>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</si>
  <si>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</si>
  <si>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</si>
  <si>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</si>
  <si>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</si>
  <si>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</si>
  <si>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</si>
  <si>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</si>
  <si>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</si>
  <si>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</si>
  <si>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</si>
  <si>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</si>
  <si>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</si>
  <si>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</si>
  <si>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</si>
  <si>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</si>
  <si>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</si>
  <si>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</si>
  <si>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</si>
  <si>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</si>
  <si>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</si>
  <si>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</si>
  <si>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</si>
  <si>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</si>
  <si>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</si>
  <si>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</si>
  <si>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</si>
  <si>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</si>
  <si>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</si>
  <si>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</si>
  <si>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</si>
  <si>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</si>
  <si>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</si>
  <si>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</si>
  <si>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</si>
  <si>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</si>
  <si>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</si>
  <si>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</si>
  <si>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</si>
  <si>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</si>
  <si>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</si>
  <si>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</si>
  <si>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</si>
  <si>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</si>
  <si>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</si>
  <si>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</si>
  <si>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</si>
  <si>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</si>
  <si>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</si>
  <si>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</si>
  <si>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</si>
  <si>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</si>
  <si>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</si>
  <si>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</si>
  <si>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</si>
  <si>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</si>
  <si>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</si>
  <si>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</si>
  <si>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</si>
  <si>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</si>
  <si>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</si>
  <si>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</si>
  <si>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</si>
  <si>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</si>
  <si>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</si>
  <si>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</si>
  <si>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</si>
  <si>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</si>
  <si>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</si>
  <si>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</si>
  <si>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</si>
  <si>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</si>
  <si>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</si>
  <si>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</si>
  <si>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</si>
  <si>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</si>
  <si>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</si>
  <si>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</si>
  <si>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</si>
  <si>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</si>
  <si>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</si>
  <si>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</si>
  <si>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</si>
  <si>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</si>
  <si>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</si>
  <si>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</si>
  <si>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</si>
  <si>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</si>
  <si>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</si>
  <si>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</si>
  <si>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</si>
  <si>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</si>
  <si>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</si>
  <si>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</si>
  <si>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</si>
  <si>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</si>
  <si>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</si>
  <si>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</si>
  <si>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</si>
  <si>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</si>
  <si>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</si>
  <si>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</si>
  <si>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</si>
  <si>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</si>
  <si>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</si>
  <si>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</si>
  <si>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</si>
  <si>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</si>
  <si>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</si>
  <si>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</si>
  <si>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</si>
  <si>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</si>
  <si>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</si>
  <si>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</si>
  <si>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</si>
  <si>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</si>
  <si>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</si>
  <si>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</si>
  <si>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</si>
  <si>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</si>
  <si>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</si>
  <si>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</si>
  <si>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</si>
  <si>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</si>
  <si>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</si>
  <si>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</si>
  <si>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</si>
  <si>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</si>
  <si>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</si>
  <si>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</si>
  <si>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</si>
  <si>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</si>
  <si>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</si>
  <si>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</si>
  <si>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</si>
  <si>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</si>
  <si>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</si>
  <si>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</si>
  <si>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</si>
  <si>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</si>
  <si>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</si>
  <si>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</si>
  <si>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</si>
  <si>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</si>
  <si>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</si>
  <si>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</si>
  <si>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</si>
  <si>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</si>
  <si>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t>
    <phoneticPr fontId="4"/>
  </si>
  <si>
    <t>園長</t>
    <rPh sb="0" eb="2">
      <t>エンチョウ</t>
    </rPh>
    <phoneticPr fontId="4"/>
  </si>
  <si>
    <t>副園長</t>
    <rPh sb="0" eb="3">
      <t>フクエンチョウ</t>
    </rPh>
    <phoneticPr fontId="4"/>
  </si>
  <si>
    <t>教頭</t>
    <rPh sb="0" eb="2">
      <t>キョウトウ</t>
    </rPh>
    <phoneticPr fontId="4"/>
  </si>
  <si>
    <t>保育士</t>
    <rPh sb="0" eb="3">
      <t>ホイクシ</t>
    </rPh>
    <phoneticPr fontId="4"/>
  </si>
  <si>
    <t>保育教諭</t>
    <rPh sb="0" eb="2">
      <t>ホイク</t>
    </rPh>
    <rPh sb="2" eb="4">
      <t>キョウユ</t>
    </rPh>
    <phoneticPr fontId="4"/>
  </si>
  <si>
    <t>幼稚園教諭</t>
    <rPh sb="0" eb="3">
      <t>ヨウチエン</t>
    </rPh>
    <rPh sb="3" eb="5">
      <t>キョウユ</t>
    </rPh>
    <phoneticPr fontId="4"/>
  </si>
  <si>
    <t>保健師</t>
    <rPh sb="0" eb="3">
      <t>ホケンシ</t>
    </rPh>
    <phoneticPr fontId="4"/>
  </si>
  <si>
    <t>看護師</t>
    <rPh sb="0" eb="3">
      <t>カンゴシ</t>
    </rPh>
    <phoneticPr fontId="4"/>
  </si>
  <si>
    <t>准看護師</t>
    <rPh sb="0" eb="4">
      <t>ジュンカンゴシ</t>
    </rPh>
    <phoneticPr fontId="4"/>
  </si>
  <si>
    <t>保育補助</t>
    <rPh sb="0" eb="2">
      <t>ホイク</t>
    </rPh>
    <rPh sb="2" eb="4">
      <t>ホジョ</t>
    </rPh>
    <phoneticPr fontId="4"/>
  </si>
  <si>
    <t>栄養士</t>
    <rPh sb="0" eb="3">
      <t>エイヨウシ</t>
    </rPh>
    <phoneticPr fontId="4"/>
  </si>
  <si>
    <t>調理師</t>
    <rPh sb="0" eb="3">
      <t>チョウリシ</t>
    </rPh>
    <phoneticPr fontId="4"/>
  </si>
  <si>
    <t>調理補助</t>
    <rPh sb="0" eb="2">
      <t>チョウリ</t>
    </rPh>
    <rPh sb="2" eb="4">
      <t>ホジョ</t>
    </rPh>
    <phoneticPr fontId="4"/>
  </si>
  <si>
    <t>用務員</t>
    <rPh sb="0" eb="3">
      <t>ヨウムイン</t>
    </rPh>
    <phoneticPr fontId="4"/>
  </si>
  <si>
    <t>事務員</t>
    <rPh sb="0" eb="2">
      <t>ジム</t>
    </rPh>
    <rPh sb="2" eb="3">
      <t>イン</t>
    </rPh>
    <phoneticPr fontId="4"/>
  </si>
  <si>
    <t>その他</t>
    <rPh sb="2" eb="3">
      <t>タ</t>
    </rPh>
    <phoneticPr fontId="4"/>
  </si>
  <si>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</si>
  <si>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分類</t>
    <rPh sb="0" eb="2">
      <t>ブンルイ</t>
    </rPh>
    <phoneticPr fontId="6"/>
  </si>
  <si>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</si>
  <si>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様式2_キャリアパス要件届出書</t>
    <rPh sb="0" eb="2">
      <t>ヨウシキ</t>
    </rPh>
    <rPh sb="10" eb="15">
      <t>ヨウケントドケデショ</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</si>
  <si>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</si>
  <si>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</si>
  <si>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</si>
  <si>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</si>
  <si>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</si>
  <si>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様式5_賃金改善の誓約書</t>
    <rPh sb="0" eb="2">
      <t>ヨウシキ</t>
    </rPh>
    <rPh sb="4" eb="8">
      <t>チンギンカイゼン</t>
    </rPh>
    <rPh sb="9" eb="12">
      <t>セイヤクショ</t>
    </rPh>
    <phoneticPr fontId="4"/>
  </si>
  <si>
    <t>様式7_特別な事情に係る届出書</t>
    <rPh sb="0" eb="2">
      <t>ヨウシキ</t>
    </rPh>
    <rPh sb="4" eb="6">
      <t>トクベツ</t>
    </rPh>
    <rPh sb="7" eb="9">
      <t>ジジョウ</t>
    </rPh>
    <rPh sb="10" eb="11">
      <t>カカ</t>
    </rPh>
    <rPh sb="12" eb="15">
      <t>トドケデショ</t>
    </rPh>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</si>
  <si>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</si>
  <si>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</si>
  <si>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</si>
  <si>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</si>
  <si>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</si>
  <si>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</si>
  <si>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</si>
  <si>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</si>
  <si>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</si>
  <si>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</si>
  <si>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</si>
  <si>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コード</t>
    <phoneticPr fontId="4"/>
  </si>
  <si>
    <t>事業所名</t>
    <rPh sb="0" eb="3">
      <t>ジギョウショ</t>
    </rPh>
    <rPh sb="3" eb="4">
      <t>メイ</t>
    </rPh>
    <phoneticPr fontId="4"/>
  </si>
  <si>
    <t>施設類型</t>
    <rPh sb="0" eb="2">
      <t>シセツ</t>
    </rPh>
    <rPh sb="2" eb="4">
      <t>ルイケイ</t>
    </rPh>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</si>
  <si>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</si>
  <si>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</si>
  <si>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</si>
  <si>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</si>
  <si>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</si>
  <si>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</si>
  <si>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</si>
  <si>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</si>
  <si>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</si>
  <si>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</si>
  <si>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</si>
  <si>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</si>
  <si>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</si>
  <si>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</si>
  <si>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</si>
  <si>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</si>
  <si>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</si>
  <si>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</si>
  <si>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</si>
  <si>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</si>
  <si>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</si>
  <si>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</si>
  <si>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</si>
  <si>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</si>
  <si>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</si>
  <si>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計算結果－区分3－人数A</t>
    <rPh sb="5" eb="7">
      <t>クブン</t>
    </rPh>
    <rPh sb="9" eb="11">
      <t>ニンズウ</t>
    </rPh>
    <phoneticPr fontId="4"/>
  </si>
  <si>
    <t>計算結果－区分3－人数B</t>
    <rPh sb="9" eb="11">
      <t>ニンズウ</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</si>
  <si>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</si>
  <si>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</si>
  <si>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</si>
  <si>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</si>
  <si>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</si>
  <si>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</si>
  <si>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</si>
  <si>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</si>
  <si>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</si>
  <si>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</si>
  <si>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様式4－区分3見込額</t>
    <rPh sb="0" eb="2">
      <t>ヨウシキ</t>
    </rPh>
    <rPh sb="4" eb="6">
      <t>クブン</t>
    </rPh>
    <rPh sb="7" eb="9">
      <t>ミコミ</t>
    </rPh>
    <rPh sb="9" eb="10">
      <t>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</si>
  <si>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</si>
  <si>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</si>
  <si>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</si>
  <si>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</si>
  <si>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</si>
  <si>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</si>
  <si>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</si>
  <si>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</si>
  <si>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</si>
  <si>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</si>
  <si>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</si>
  <si>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区分1・2・3総定員</t>
    <rPh sb="0" eb="2">
      <t>クブン</t>
    </rPh>
    <rPh sb="7" eb="10">
      <t>ソウテイイン</t>
    </rPh>
    <rPh sb="8" eb="10">
      <t>テイイン</t>
    </rPh>
    <phoneticPr fontId="4"/>
  </si>
  <si>
    <t>区分1・2総児童数</t>
    <rPh sb="5" eb="6">
      <t>ソウ</t>
    </rPh>
    <rPh sb="6" eb="8">
      <t>ジドウ</t>
    </rPh>
    <rPh sb="8" eb="9">
      <t>スウウン</t>
    </rPh>
    <phoneticPr fontId="4"/>
  </si>
  <si>
    <t>区分3総児童数</t>
    <rPh sb="3" eb="4">
      <t>ソウ</t>
    </rPh>
    <rPh sb="4" eb="6">
      <t>ジドウ</t>
    </rPh>
    <rPh sb="6" eb="7">
      <t>スウウン</t>
    </rPh>
    <phoneticPr fontId="4"/>
  </si>
  <si>
    <t>３歳児配置改善加算</t>
    <rPh sb="1" eb="3">
      <t>サイジ</t>
    </rPh>
    <rPh sb="3" eb="5">
      <t>ハイチ</t>
    </rPh>
    <rPh sb="5" eb="7">
      <t>カイゼン</t>
    </rPh>
    <rPh sb="7" eb="9">
      <t>カサン</t>
    </rPh>
    <phoneticPr fontId="4"/>
  </si>
  <si>
    <t>４歳以上児配置改善加算</t>
    <rPh sb="1" eb="2">
      <t>サイ</t>
    </rPh>
    <rPh sb="4" eb="5">
      <t>ジ</t>
    </rPh>
    <rPh sb="5" eb="7">
      <t>ハイチ</t>
    </rPh>
    <rPh sb="7" eb="9">
      <t>カイゼン</t>
    </rPh>
    <rPh sb="9" eb="11">
      <t>カサン</t>
    </rPh>
    <phoneticPr fontId="4"/>
  </si>
  <si>
    <t>１歳児配置改善加算</t>
    <rPh sb="1" eb="3">
      <t>サイジ</t>
    </rPh>
    <rPh sb="3" eb="5">
      <t>ハイチ</t>
    </rPh>
    <rPh sb="5" eb="7">
      <t>カイゼン</t>
    </rPh>
    <rPh sb="7" eb="9">
      <t>カサン</t>
    </rPh>
    <phoneticPr fontId="4"/>
  </si>
  <si>
    <t>夜間保育加算</t>
    <rPh sb="0" eb="2">
      <t>ヤカン</t>
    </rPh>
    <rPh sb="2" eb="4">
      <t>ホイク</t>
    </rPh>
    <rPh sb="4" eb="6">
      <t>カサン</t>
    </rPh>
    <phoneticPr fontId="4"/>
  </si>
  <si>
    <t>施設長を配置していない場合の調整（減算）</t>
    <rPh sb="0" eb="3">
      <t>シセツチョウ</t>
    </rPh>
    <rPh sb="4" eb="6">
      <t>ハイチ</t>
    </rPh>
    <rPh sb="11" eb="13">
      <t>バアイ</t>
    </rPh>
    <rPh sb="14" eb="16">
      <t>チョウセイ</t>
    </rPh>
    <rPh sb="17" eb="19">
      <t>ゲンサン</t>
    </rPh>
    <phoneticPr fontId="4"/>
  </si>
  <si>
    <t>療育支援加算</t>
    <rPh sb="0" eb="6">
      <t>リョウイクシエンカサン</t>
    </rPh>
    <phoneticPr fontId="4"/>
  </si>
  <si>
    <t>栄養管理加算</t>
    <rPh sb="0" eb="6">
      <t>エイヨウカンリカサン</t>
    </rPh>
    <phoneticPr fontId="4"/>
  </si>
  <si>
    <t>休日保育のべ利用子ども数</t>
    <rPh sb="0" eb="2">
      <t>キュウジツ</t>
    </rPh>
    <rPh sb="2" eb="4">
      <t>ホイク</t>
    </rPh>
    <rPh sb="6" eb="8">
      <t>リヨウ</t>
    </rPh>
    <rPh sb="8" eb="9">
      <t>コ</t>
    </rPh>
    <rPh sb="11" eb="12">
      <t>スウ</t>
    </rPh>
    <phoneticPr fontId="4"/>
  </si>
  <si>
    <t>チーム保育推進加算加配人数</t>
    <rPh sb="3" eb="5">
      <t>ホイク</t>
    </rPh>
    <rPh sb="5" eb="7">
      <t>スイシン</t>
    </rPh>
    <rPh sb="7" eb="9">
      <t>カサン</t>
    </rPh>
    <rPh sb="9" eb="11">
      <t>カハイ</t>
    </rPh>
    <rPh sb="11" eb="13">
      <t>ニンズウ</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</si>
  <si>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</si>
  <si>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</si>
  <si>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土曜日に閉所する場合</t>
    <rPh sb="0" eb="3">
      <t>ドヨウビ</t>
    </rPh>
    <rPh sb="4" eb="6">
      <t>ヘイショ</t>
    </rPh>
    <rPh sb="8" eb="10">
      <t>バアイ</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</si>
  <si>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</si>
  <si>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（１）令和７年度実績</t>
    <phoneticPr fontId="4"/>
  </si>
  <si>
    <t>（２）前年実績による令和８年度見込み年齢別平均児童数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</si>
  <si>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８年度</t>
    <rPh sb="1" eb="3">
      <t>ネンド</t>
    </rPh>
    <phoneticPr fontId="4"/>
  </si>
  <si>
    <t>８</t>
    <phoneticPr fontId="6"/>
  </si>
  <si>
    <t>支払いを終えていない場合は、加算当年度の前年度に支払うべき残額を記載すること。</t>
    <phoneticPr fontId="4"/>
  </si>
  <si>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</si>
  <si>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基準年度の処遇改善等加算の加算額</t>
    <rPh sb="0" eb="2">
      <t>キジュン</t>
    </rPh>
    <rPh sb="2" eb="4">
      <t>ネンド</t>
    </rPh>
    <rPh sb="5" eb="9">
      <t>ショグウカイゼン</t>
    </rPh>
    <rPh sb="9" eb="10">
      <t>トウ</t>
    </rPh>
    <rPh sb="10" eb="12">
      <t>カサン</t>
    </rPh>
    <rPh sb="13" eb="16">
      <t>カサンガク</t>
    </rPh>
    <phoneticPr fontId="6"/>
  </si>
  <si>
    <t>※4</t>
    <phoneticPr fontId="4"/>
  </si>
  <si>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</si>
  <si>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</si>
  <si>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</si>
  <si>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副主任保育士・専門リーダー等</t>
  </si>
  <si>
    <t>職務分野別リーダー等</t>
  </si>
  <si>
    <t>配分対象者（園長を除く管理職）</t>
  </si>
  <si>
    <t>園長配分フラグ</t>
    <rPh sb="0" eb="2">
      <t>エンチョウ</t>
    </rPh>
    <rPh sb="2" eb="4">
      <t>ハイブン</t>
    </rPh>
    <phoneticPr fontId="4"/>
  </si>
  <si>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</si>
  <si>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</si>
  <si>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</si>
  <si>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</si>
  <si>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</si>
  <si>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⑥(⑤が「はい」の場合)⑤の賃金改善の内容を職員に対して周知している。</t>
    <rPh sb="9" eb="11">
      <t>バアイ</t>
    </rPh>
    <rPh sb="19" eb="21">
      <t>ナイヨウ</t>
    </rPh>
    <rPh sb="22" eb="24">
      <t>ショクイン</t>
    </rPh>
    <rPh sb="25" eb="26">
      <t>タイ</t>
    </rPh>
    <rPh sb="28" eb="30">
      <t>シュウチ</t>
    </rPh>
    <phoneticPr fontId="4"/>
  </si>
  <si>
    <t>④(③が「はい」の場合)③の賃金改善の内容を職員に対して周知している。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</si>
  <si>
    <t>令和　年　月　日</t>
    <rPh sb="0" eb="2">
      <t>レイワ</t>
    </rPh>
    <rPh sb="3" eb="4">
      <t>ネン</t>
    </rPh>
    <rPh sb="5" eb="6">
      <t>ツキ</t>
    </rPh>
    <rPh sb="7" eb="8">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</si>
</sst>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quot;月&quot;\ "/>
    <numFmt numFmtId="185" formatCode="#,##0&quot;人&quot;\ "/>
    <numFmt numFmtId="186" formatCode="0.00_ "/>
    <numFmt numFmtId="187" formatCode="#,##0.0&quot;人&quot;\ "/>
    <numFmt numFmtId="188" formatCode="0_);[Red]\(0\)"/>
    <numFmt numFmtId="189" formatCode="0.0_);[Red]\(0.0\)"/>
    <numFmt numFmtId="190" formatCode="0.00_);[Red]\(0.00\)"/>
    <numFmt numFmtId="191" formatCode="0.000_);[Red]\(0.000\)"/>
    <numFmt numFmtId="192" formatCode="#,##0_ "/>
    <numFmt numFmtId="193" formatCode="#,##0_ ;[Red]\-#,##0\ "/>
    <numFmt numFmtId="194" formatCode="0.0%"/>
    <numFmt numFmtId="195" formatCode="#,##0_);[Red]\(#,##0\)"/>
    <numFmt numFmtId="196" formatCode="0.0_ "/>
    <numFmt numFmtId="197" formatCode="#,###"/>
    <numFmt numFmtId="198" formatCode="0_ "/>
  </numFmts>
  <fonts count="104">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14"/>
      <name val="HG丸ｺﾞｼｯｸM-PRO"/>
      <family val="3"/>
      <charset val="128"/>
    </font>
    <font>
      <sz val="14"/>
      <color theme="1"/>
      <name val="HG丸ｺﾞｼｯｸM-PRO"/>
      <family val="3"/>
      <charset val="128"/>
    </font>
    <font>
      <sz val="14"/>
      <color theme="1"/>
      <name val="游ゴシック"/>
      <family val="2"/>
      <charset val="128"/>
      <scheme val="minor"/>
    </font>
    <font>
      <sz val="11"/>
      <color theme="1"/>
      <name val="HG丸ｺﾞｼｯｸM-PRO"/>
      <family val="3"/>
      <charset val="128"/>
    </font>
    <font>
      <b/>
      <sz val="12"/>
      <color theme="1"/>
      <name val="HG丸ｺﾞｼｯｸM-PRO"/>
      <family val="3"/>
      <charset val="128"/>
    </font>
    <font>
      <sz val="11"/>
      <name val="HG丸ｺﾞｼｯｸM-PRO"/>
      <family val="3"/>
      <charset val="128"/>
    </font>
    <font>
      <sz val="11"/>
      <color rgb="FFFF0000"/>
      <name val="HG丸ｺﾞｼｯｸM-PRO"/>
      <family val="3"/>
      <charset val="128"/>
    </font>
    <font>
      <sz val="11"/>
      <color theme="0"/>
      <name val="HG丸ｺﾞｼｯｸM-PRO"/>
      <family val="3"/>
      <charset val="128"/>
    </font>
    <font>
      <sz val="11"/>
      <color theme="2" tint="-0.499984740745262"/>
      <name val="HG丸ｺﾞｼｯｸM-PRO"/>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name val="HG丸ｺﾞｼｯｸM-PRO"/>
      <family val="3"/>
      <charset val="128"/>
    </font>
    <font>
      <b/>
      <sz val="11"/>
      <color theme="1"/>
      <name val="HG丸ｺﾞｼｯｸM-PRO"/>
      <family val="3"/>
      <charset val="128"/>
    </font>
    <font>
      <sz val="12"/>
      <color indexed="81"/>
      <name val="ＭＳ Ｐゴシック"/>
      <family val="3"/>
      <charset val="128"/>
    </font>
    <font>
      <sz val="10"/>
      <color indexed="81"/>
      <name val="ＭＳ Ｐゴシック"/>
      <family val="3"/>
      <charset val="128"/>
    </font>
    <font>
      <sz val="12"/>
      <color indexed="81"/>
      <name val="MS P ゴシック"/>
      <family val="3"/>
      <charset val="128"/>
    </font>
    <font>
      <sz val="11"/>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M"/>
      <family val="3"/>
      <charset val="128"/>
    </font>
    <font>
      <sz val="9"/>
      <name val="HGｺﾞｼｯｸM"/>
      <family val="3"/>
      <charset val="128"/>
    </font>
    <font>
      <sz val="10.5"/>
      <name val="HGｺﾞｼｯｸM"/>
      <family val="3"/>
      <charset val="128"/>
    </font>
    <font>
      <sz val="11"/>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trike/>
      <sz val="12"/>
      <name val="ＭＳ Ｐゴシック"/>
      <family val="3"/>
      <charset val="128"/>
    </font>
    <font>
      <strike/>
      <sz val="12"/>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b/>
      <sz val="12"/>
      <color rgb="FFFF0000"/>
      <name val="HGｺﾞｼｯｸM"/>
      <family val="3"/>
      <charset val="128"/>
    </font>
    <font>
      <sz val="12"/>
      <name val="ＭＳ Ｐ明朝"/>
      <family val="1"/>
      <charset val="128"/>
    </font>
    <font>
      <sz val="9"/>
      <color theme="1"/>
      <name val="游ゴシック"/>
      <family val="2"/>
      <charset val="128"/>
      <scheme val="minor"/>
    </font>
    <font>
      <sz val="9"/>
      <color indexed="81"/>
      <name val="MS P 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rgb="FF000000"/>
      </patternFill>
    </fill>
    <fill>
      <patternFill patternType="solid">
        <fgColor rgb="FFFFC000"/>
        <bgColor indexed="64"/>
      </patternFill>
    </fill>
  </fills>
  <borders count="235">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Up="1">
      <left style="thin">
        <color indexed="64"/>
      </left>
      <right style="thin">
        <color indexed="64"/>
      </right>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dotted">
        <color indexed="64"/>
      </top>
      <bottom/>
      <diagonal/>
    </border>
    <border>
      <left/>
      <right/>
      <top style="dotted">
        <color indexed="64"/>
      </top>
      <bottom/>
      <diagonal/>
    </border>
    <border>
      <left style="medium">
        <color indexed="64"/>
      </left>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diagonal style="thin">
        <color indexed="64"/>
      </diagonal>
    </border>
    <border diagonalUp="1">
      <left style="medium">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medium">
        <color indexed="64"/>
      </left>
      <right/>
      <top style="dotted">
        <color indexed="64"/>
      </top>
      <bottom style="medium">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2" fillId="0" borderId="0"/>
    <xf numFmtId="0" fontId="72" fillId="0" borderId="0"/>
    <xf numFmtId="0" fontId="77" fillId="0" borderId="0">
      <alignment vertical="center"/>
    </xf>
    <xf numFmtId="0" fontId="7" fillId="0" borderId="0"/>
  </cellStyleXfs>
  <cellXfs count="1250">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5" xfId="0" applyFont="1" applyBorder="1" applyAlignment="1">
      <alignment horizontal="centerContinuous" vertical="center" wrapText="1"/>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0" fontId="9" fillId="0" borderId="18" xfId="0" applyFont="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0" fontId="8" fillId="0" borderId="20" xfId="2" applyFont="1" applyBorder="1" applyAlignment="1">
      <alignment vertical="center" shrinkToFit="1"/>
    </xf>
    <xf numFmtId="0" fontId="9" fillId="0" borderId="21" xfId="2" applyFont="1" applyBorder="1" applyAlignment="1">
      <alignment vertical="center" shrinkToFit="1"/>
    </xf>
    <xf numFmtId="0" fontId="5" fillId="5" borderId="22" xfId="0" applyFont="1" applyFill="1" applyBorder="1" applyAlignment="1">
      <alignment vertical="center" shrinkToFit="1"/>
    </xf>
    <xf numFmtId="0" fontId="9" fillId="0" borderId="23" xfId="0" applyFont="1" applyBorder="1" applyAlignment="1">
      <alignment vertical="center" shrinkToFit="1"/>
    </xf>
    <xf numFmtId="176" fontId="9" fillId="0" borderId="20" xfId="2" applyNumberFormat="1" applyFont="1" applyBorder="1" applyAlignment="1">
      <alignment vertical="center" shrinkToFit="1"/>
    </xf>
    <xf numFmtId="0" fontId="9" fillId="0" borderId="22" xfId="0" applyFont="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4" xfId="2" applyNumberFormat="1" applyFont="1" applyFill="1" applyBorder="1" applyAlignment="1">
      <alignment vertical="center" shrinkToFit="1"/>
    </xf>
    <xf numFmtId="177" fontId="8" fillId="5" borderId="24" xfId="2" applyNumberFormat="1" applyFont="1" applyFill="1" applyBorder="1" applyAlignment="1">
      <alignment vertical="center" shrinkToFit="1"/>
    </xf>
    <xf numFmtId="0" fontId="8" fillId="0" borderId="9" xfId="2" applyFont="1" applyBorder="1" applyAlignment="1">
      <alignment vertical="center" shrinkToFit="1"/>
    </xf>
    <xf numFmtId="0" fontId="8" fillId="0" borderId="24" xfId="2" applyFont="1" applyBorder="1" applyAlignment="1">
      <alignment vertical="center" shrinkToFit="1"/>
    </xf>
    <xf numFmtId="0" fontId="9" fillId="0" borderId="25" xfId="2" applyFont="1" applyBorder="1" applyAlignment="1">
      <alignment vertical="center" shrinkToFit="1"/>
    </xf>
    <xf numFmtId="0" fontId="5" fillId="5" borderId="26" xfId="0" applyFont="1" applyFill="1" applyBorder="1" applyAlignment="1">
      <alignment vertical="center" shrinkToFit="1"/>
    </xf>
    <xf numFmtId="0" fontId="9" fillId="0" borderId="27" xfId="0" applyFont="1" applyBorder="1" applyAlignment="1">
      <alignment vertical="center" shrinkToFit="1"/>
    </xf>
    <xf numFmtId="176" fontId="9" fillId="0" borderId="24" xfId="2" applyNumberFormat="1" applyFont="1" applyBorder="1" applyAlignment="1">
      <alignment vertical="center" shrinkToFit="1"/>
    </xf>
    <xf numFmtId="0" fontId="9" fillId="0" borderId="26"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8" fillId="5" borderId="17" xfId="0" applyFont="1" applyFill="1" applyBorder="1" applyAlignment="1">
      <alignment vertical="center" shrinkToFit="1"/>
    </xf>
    <xf numFmtId="0" fontId="9" fillId="0" borderId="20" xfId="2" applyFont="1" applyBorder="1" applyAlignment="1">
      <alignment vertical="center" shrinkToFit="1"/>
    </xf>
    <xf numFmtId="0" fontId="8" fillId="5" borderId="22" xfId="0" applyFont="1" applyFill="1" applyBorder="1" applyAlignment="1">
      <alignment vertical="center" shrinkToFit="1"/>
    </xf>
    <xf numFmtId="177" fontId="9" fillId="0" borderId="20" xfId="2" applyNumberFormat="1" applyFont="1" applyBorder="1" applyAlignment="1">
      <alignment vertical="center" shrinkToFit="1"/>
    </xf>
    <xf numFmtId="0" fontId="5" fillId="0" borderId="5" xfId="0" applyFont="1" applyBorder="1" applyAlignment="1">
      <alignment vertical="center" shrinkToFit="1"/>
    </xf>
    <xf numFmtId="0" fontId="9" fillId="0" borderId="24" xfId="2" applyFont="1" applyBorder="1" applyAlignment="1">
      <alignment vertical="center" shrinkToFit="1"/>
    </xf>
    <xf numFmtId="0" fontId="8" fillId="5" borderId="26" xfId="0" applyFont="1" applyFill="1" applyBorder="1" applyAlignment="1">
      <alignment vertical="center" shrinkToFit="1"/>
    </xf>
    <xf numFmtId="177" fontId="9" fillId="0" borderId="24"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3" fontId="8" fillId="0" borderId="13" xfId="2" applyNumberFormat="1" applyFont="1" applyBorder="1" applyAlignment="1">
      <alignment vertical="center" shrinkToFit="1"/>
    </xf>
    <xf numFmtId="0" fontId="9" fillId="0" borderId="28" xfId="0"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176" fontId="8" fillId="0" borderId="20" xfId="2" applyNumberFormat="1" applyFont="1" applyBorder="1" applyAlignment="1">
      <alignment vertical="center" shrinkToFit="1"/>
    </xf>
    <xf numFmtId="176" fontId="8" fillId="0" borderId="24" xfId="2" applyNumberFormat="1" applyFont="1" applyBorder="1" applyAlignment="1">
      <alignment vertical="center" shrinkToFit="1"/>
    </xf>
    <xf numFmtId="0" fontId="9" fillId="0" borderId="29" xfId="0" applyFont="1" applyBorder="1" applyAlignment="1">
      <alignment vertical="center" shrinkToFit="1"/>
    </xf>
    <xf numFmtId="176" fontId="8" fillId="5" borderId="30" xfId="2" applyNumberFormat="1" applyFont="1" applyFill="1" applyBorder="1" applyAlignment="1">
      <alignment vertical="center" shrinkToFit="1"/>
    </xf>
    <xf numFmtId="177" fontId="8" fillId="5" borderId="30" xfId="2" applyNumberFormat="1" applyFont="1" applyFill="1" applyBorder="1" applyAlignment="1">
      <alignment vertical="center" shrinkToFit="1"/>
    </xf>
    <xf numFmtId="176" fontId="9" fillId="0" borderId="30" xfId="2" applyNumberFormat="1" applyFont="1" applyBorder="1" applyAlignment="1">
      <alignment vertical="center" shrinkToFit="1"/>
    </xf>
    <xf numFmtId="177" fontId="9" fillId="0" borderId="30" xfId="2" applyNumberFormat="1" applyFont="1" applyBorder="1" applyAlignment="1">
      <alignment vertical="center" shrinkToFit="1"/>
    </xf>
    <xf numFmtId="176" fontId="8" fillId="0" borderId="30"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8" fillId="5" borderId="0" xfId="2" applyFont="1" applyFill="1" applyAlignment="1">
      <alignment vertical="center" shrinkToFit="1"/>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31" xfId="0" applyNumberFormat="1" applyFont="1" applyFill="1" applyBorder="1">
      <alignment vertical="center"/>
    </xf>
    <xf numFmtId="0" fontId="13" fillId="8" borderId="31" xfId="0" applyFont="1" applyFill="1" applyBorder="1" applyAlignment="1">
      <alignment horizontal="center" vertical="center"/>
    </xf>
    <xf numFmtId="182" fontId="13" fillId="8" borderId="31"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9" xfId="0" applyBorder="1" applyAlignment="1">
      <alignment vertical="center" shrinkToFi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Border="1">
      <alignment vertical="center"/>
    </xf>
    <xf numFmtId="0" fontId="0" fillId="0" borderId="37"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5" xfId="1" applyFont="1" applyBorder="1" applyAlignment="1">
      <alignment vertical="center" shrinkToFit="1"/>
    </xf>
    <xf numFmtId="38" fontId="0" fillId="0" borderId="42" xfId="1" applyFont="1" applyBorder="1" applyAlignment="1">
      <alignment vertical="center" shrinkToFit="1"/>
    </xf>
    <xf numFmtId="38" fontId="0" fillId="0" borderId="43" xfId="1" applyFont="1" applyBorder="1" applyAlignment="1">
      <alignment vertical="center" shrinkToFit="1"/>
    </xf>
    <xf numFmtId="38" fontId="0" fillId="0" borderId="33" xfId="1" applyFont="1" applyBorder="1" applyAlignment="1">
      <alignment vertical="center" shrinkToFit="1"/>
    </xf>
    <xf numFmtId="38" fontId="0" fillId="0" borderId="44" xfId="1" applyFont="1" applyBorder="1" applyAlignment="1">
      <alignment vertical="center" shrinkToFit="1"/>
    </xf>
    <xf numFmtId="38" fontId="0" fillId="0" borderId="34" xfId="1" applyFont="1" applyBorder="1" applyAlignment="1">
      <alignment vertical="center" shrinkToFit="1"/>
    </xf>
    <xf numFmtId="38" fontId="0" fillId="0" borderId="45" xfId="1" applyFont="1" applyBorder="1" applyAlignment="1">
      <alignment vertical="center" shrinkToFit="1"/>
    </xf>
    <xf numFmtId="38" fontId="0" fillId="0" borderId="36" xfId="1" applyFont="1" applyBorder="1" applyAlignment="1">
      <alignment vertical="center" shrinkToFit="1"/>
    </xf>
    <xf numFmtId="38" fontId="0" fillId="0" borderId="41" xfId="1" applyFont="1" applyBorder="1" applyAlignment="1">
      <alignment vertical="center" shrinkToFit="1"/>
    </xf>
    <xf numFmtId="38" fontId="0" fillId="0" borderId="46" xfId="1" applyFont="1" applyBorder="1" applyAlignment="1">
      <alignment vertical="center" shrinkToFit="1"/>
    </xf>
    <xf numFmtId="38" fontId="0" fillId="0" borderId="47" xfId="1" applyFont="1" applyBorder="1" applyAlignment="1">
      <alignment vertical="center" shrinkToFit="1"/>
    </xf>
    <xf numFmtId="38" fontId="0" fillId="0" borderId="48"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9" fillId="0" borderId="20" xfId="2" applyNumberFormat="1" applyFont="1" applyBorder="1" applyAlignment="1">
      <alignment vertical="center" shrinkToFit="1"/>
    </xf>
    <xf numFmtId="183" fontId="8" fillId="5" borderId="20" xfId="2" applyNumberFormat="1" applyFont="1" applyFill="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179" fontId="0" fillId="0" borderId="9" xfId="0" applyNumberFormat="1" applyBorder="1" applyAlignment="1">
      <alignment horizontal="center" vertical="center"/>
    </xf>
    <xf numFmtId="0" fontId="19" fillId="0" borderId="0" xfId="0" applyFont="1">
      <alignment vertical="center"/>
    </xf>
    <xf numFmtId="0" fontId="5" fillId="4" borderId="8" xfId="0" applyFont="1" applyFill="1" applyBorder="1">
      <alignment vertical="center"/>
    </xf>
    <xf numFmtId="0" fontId="21"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184" fontId="21" fillId="0" borderId="54" xfId="0" applyNumberFormat="1" applyFont="1" applyBorder="1" applyAlignment="1">
      <alignment horizontal="center" vertical="center"/>
    </xf>
    <xf numFmtId="184" fontId="21" fillId="0" borderId="55" xfId="0" applyNumberFormat="1" applyFont="1" applyBorder="1" applyAlignment="1">
      <alignment horizontal="center" vertical="center"/>
    </xf>
    <xf numFmtId="184" fontId="21" fillId="0" borderId="56" xfId="0" applyNumberFormat="1" applyFont="1" applyBorder="1" applyAlignment="1">
      <alignment horizontal="center" vertical="center"/>
    </xf>
    <xf numFmtId="0" fontId="21" fillId="0" borderId="16" xfId="0" applyFont="1" applyBorder="1" applyAlignment="1">
      <alignment horizontal="center" vertical="center"/>
    </xf>
    <xf numFmtId="185" fontId="21" fillId="2" borderId="63" xfId="0" applyNumberFormat="1" applyFont="1" applyFill="1" applyBorder="1" applyAlignment="1" applyProtection="1">
      <alignment vertical="center" shrinkToFit="1"/>
      <protection locked="0"/>
    </xf>
    <xf numFmtId="185" fontId="21" fillId="2" borderId="19" xfId="0" applyNumberFormat="1" applyFont="1" applyFill="1" applyBorder="1" applyAlignment="1" applyProtection="1">
      <alignment vertical="center" shrinkToFit="1"/>
      <protection locked="0"/>
    </xf>
    <xf numFmtId="185" fontId="21" fillId="2" borderId="64" xfId="0" applyNumberFormat="1" applyFont="1" applyFill="1" applyBorder="1" applyAlignment="1" applyProtection="1">
      <alignment vertical="center" shrinkToFit="1"/>
      <protection locked="0"/>
    </xf>
    <xf numFmtId="185" fontId="17" fillId="0" borderId="65" xfId="0" applyNumberFormat="1" applyFont="1" applyBorder="1" applyAlignment="1">
      <alignment vertical="center" shrinkToFit="1"/>
    </xf>
    <xf numFmtId="0" fontId="21" fillId="0" borderId="25" xfId="0" applyFont="1" applyBorder="1" applyAlignment="1">
      <alignment horizontal="center" vertical="center"/>
    </xf>
    <xf numFmtId="0" fontId="21" fillId="0" borderId="66" xfId="0" applyFont="1" applyBorder="1" applyAlignment="1">
      <alignment vertical="center" shrinkToFit="1"/>
    </xf>
    <xf numFmtId="186" fontId="21" fillId="0" borderId="24" xfId="0" applyNumberFormat="1" applyFont="1" applyBorder="1" applyAlignment="1">
      <alignment vertical="center" shrinkToFit="1"/>
    </xf>
    <xf numFmtId="186" fontId="21" fillId="0" borderId="67" xfId="0" applyNumberFormat="1" applyFont="1" applyBorder="1" applyAlignment="1">
      <alignment vertical="center" shrinkToFit="1"/>
    </xf>
    <xf numFmtId="185" fontId="17" fillId="0" borderId="68" xfId="0" applyNumberFormat="1" applyFont="1" applyBorder="1" applyAlignment="1">
      <alignment vertical="center" shrinkToFit="1"/>
    </xf>
    <xf numFmtId="0" fontId="21" fillId="0" borderId="73" xfId="0" applyFont="1" applyBorder="1" applyAlignment="1">
      <alignment horizontal="center" vertical="center"/>
    </xf>
    <xf numFmtId="0" fontId="21" fillId="0" borderId="74" xfId="0" applyFont="1" applyBorder="1" applyAlignment="1">
      <alignment vertical="center" shrinkToFit="1"/>
    </xf>
    <xf numFmtId="186" fontId="21" fillId="0" borderId="75" xfId="0" applyNumberFormat="1" applyFont="1" applyBorder="1" applyAlignment="1">
      <alignment vertical="center" shrinkToFit="1"/>
    </xf>
    <xf numFmtId="186" fontId="21" fillId="0" borderId="76" xfId="0" applyNumberFormat="1" applyFont="1" applyBorder="1" applyAlignment="1">
      <alignment vertical="center" shrinkToFit="1"/>
    </xf>
    <xf numFmtId="185" fontId="17" fillId="0" borderId="77" xfId="0" applyNumberFormat="1" applyFont="1" applyBorder="1" applyAlignment="1">
      <alignment vertical="center" shrinkToFit="1"/>
    </xf>
    <xf numFmtId="0" fontId="21" fillId="0" borderId="80" xfId="0" applyFont="1" applyBorder="1" applyAlignment="1">
      <alignment horizontal="center" vertical="center"/>
    </xf>
    <xf numFmtId="185" fontId="21" fillId="0" borderId="81" xfId="0" applyNumberFormat="1" applyFont="1" applyBorder="1" applyAlignment="1">
      <alignment vertical="center" shrinkToFit="1"/>
    </xf>
    <xf numFmtId="185" fontId="21" fillId="0" borderId="82" xfId="0" applyNumberFormat="1" applyFont="1" applyBorder="1" applyAlignment="1">
      <alignment vertical="center" shrinkToFit="1"/>
    </xf>
    <xf numFmtId="185" fontId="21" fillId="0" borderId="83" xfId="0" applyNumberFormat="1" applyFont="1" applyBorder="1" applyAlignment="1">
      <alignment vertical="center" shrinkToFit="1"/>
    </xf>
    <xf numFmtId="185" fontId="17" fillId="0" borderId="84" xfId="0" applyNumberFormat="1" applyFont="1" applyBorder="1" applyAlignment="1">
      <alignment vertical="center" shrinkToFit="1"/>
    </xf>
    <xf numFmtId="186" fontId="21" fillId="0" borderId="0" xfId="0" applyNumberFormat="1" applyFont="1">
      <alignment vertical="center"/>
    </xf>
    <xf numFmtId="0" fontId="21" fillId="0" borderId="85" xfId="0" applyFont="1" applyBorder="1" applyAlignment="1">
      <alignment horizontal="center" vertical="center"/>
    </xf>
    <xf numFmtId="184" fontId="21" fillId="0" borderId="86" xfId="0" applyNumberFormat="1" applyFont="1" applyBorder="1" applyAlignment="1">
      <alignment horizontal="center" vertical="center"/>
    </xf>
    <xf numFmtId="184" fontId="21" fillId="0" borderId="87" xfId="0" applyNumberFormat="1" applyFont="1" applyBorder="1" applyAlignment="1">
      <alignment horizontal="center" vertical="center"/>
    </xf>
    <xf numFmtId="0" fontId="21" fillId="0" borderId="64" xfId="0" applyFont="1" applyBorder="1" applyAlignment="1">
      <alignment horizontal="center" vertical="center"/>
    </xf>
    <xf numFmtId="185" fontId="21" fillId="2" borderId="8" xfId="0" applyNumberFormat="1" applyFont="1" applyFill="1" applyBorder="1" applyAlignment="1" applyProtection="1">
      <alignment vertical="center" shrinkToFit="1"/>
      <protection locked="0"/>
    </xf>
    <xf numFmtId="185" fontId="21" fillId="2" borderId="91"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91" xfId="0" applyNumberFormat="1" applyFont="1" applyBorder="1" applyAlignment="1">
      <alignment vertical="center" shrinkToFit="1"/>
    </xf>
    <xf numFmtId="185" fontId="17" fillId="8" borderId="92" xfId="0" applyNumberFormat="1" applyFont="1" applyFill="1" applyBorder="1" applyAlignment="1">
      <alignment vertical="center" shrinkToFit="1"/>
    </xf>
    <xf numFmtId="0" fontId="21" fillId="0" borderId="91" xfId="0" applyFont="1" applyBorder="1" applyAlignment="1">
      <alignment horizontal="center" vertical="center"/>
    </xf>
    <xf numFmtId="185" fontId="21" fillId="2" borderId="6" xfId="0" applyNumberFormat="1" applyFont="1" applyFill="1" applyBorder="1" applyAlignment="1" applyProtection="1">
      <alignment vertical="center" shrinkToFit="1"/>
      <protection locked="0"/>
    </xf>
    <xf numFmtId="0" fontId="21" fillId="0" borderId="95" xfId="0" applyFont="1" applyBorder="1" applyAlignment="1">
      <alignment horizontal="center" vertical="center"/>
    </xf>
    <xf numFmtId="185" fontId="21" fillId="2" borderId="94" xfId="0" applyNumberFormat="1" applyFont="1" applyFill="1" applyBorder="1" applyAlignment="1" applyProtection="1">
      <alignment vertical="center" shrinkToFit="1"/>
      <protection locked="0"/>
    </xf>
    <xf numFmtId="185" fontId="21" fillId="2" borderId="95" xfId="0" applyNumberFormat="1" applyFont="1" applyFill="1" applyBorder="1" applyAlignment="1" applyProtection="1">
      <alignment vertical="center" shrinkToFit="1"/>
      <protection locked="0"/>
    </xf>
    <xf numFmtId="185" fontId="17" fillId="0" borderId="97" xfId="0" applyNumberFormat="1" applyFont="1" applyBorder="1" applyAlignment="1">
      <alignment vertical="center" shrinkToFit="1"/>
    </xf>
    <xf numFmtId="185" fontId="17" fillId="0" borderId="95" xfId="0" applyNumberFormat="1" applyFont="1" applyBorder="1" applyAlignment="1">
      <alignment vertical="center" shrinkToFit="1"/>
    </xf>
    <xf numFmtId="185" fontId="17" fillId="8" borderId="98" xfId="0" applyNumberFormat="1" applyFont="1" applyFill="1" applyBorder="1" applyAlignment="1">
      <alignment vertical="center" shrinkToFit="1"/>
    </xf>
    <xf numFmtId="0" fontId="21" fillId="0" borderId="83" xfId="0" applyFont="1" applyBorder="1">
      <alignment vertical="center"/>
    </xf>
    <xf numFmtId="185" fontId="21" fillId="0" borderId="101" xfId="0" applyNumberFormat="1" applyFont="1" applyBorder="1" applyAlignment="1">
      <alignment vertical="center" shrinkToFit="1"/>
    </xf>
    <xf numFmtId="185" fontId="21" fillId="0" borderId="100" xfId="0" applyNumberFormat="1" applyFont="1" applyBorder="1" applyAlignment="1">
      <alignment vertical="center" shrinkToFit="1"/>
    </xf>
    <xf numFmtId="185" fontId="21" fillId="0" borderId="80" xfId="0" applyNumberFormat="1" applyFont="1" applyBorder="1" applyAlignment="1">
      <alignment vertical="center" shrinkToFit="1"/>
    </xf>
    <xf numFmtId="185" fontId="21" fillId="0" borderId="102" xfId="0" applyNumberFormat="1" applyFont="1" applyBorder="1" applyAlignment="1">
      <alignment vertical="center" shrinkToFit="1"/>
    </xf>
    <xf numFmtId="187" fontId="21" fillId="0" borderId="100" xfId="0" applyNumberFormat="1" applyFont="1" applyBorder="1" applyAlignment="1">
      <alignment vertical="center" shrinkToFit="1"/>
    </xf>
    <xf numFmtId="187" fontId="21" fillId="0" borderId="82" xfId="0" applyNumberFormat="1" applyFont="1" applyBorder="1" applyAlignment="1">
      <alignment vertical="center" shrinkToFit="1"/>
    </xf>
    <xf numFmtId="187" fontId="21" fillId="0" borderId="83" xfId="0" applyNumberFormat="1" applyFont="1" applyBorder="1" applyAlignment="1">
      <alignment vertical="center" shrinkToFit="1"/>
    </xf>
    <xf numFmtId="185" fontId="17" fillId="8" borderId="103" xfId="0" applyNumberFormat="1" applyFont="1" applyFill="1" applyBorder="1" applyAlignment="1">
      <alignment vertical="center" shrinkToFit="1"/>
    </xf>
    <xf numFmtId="0" fontId="21" fillId="0" borderId="104" xfId="0" applyFont="1" applyBorder="1">
      <alignment vertical="center"/>
    </xf>
    <xf numFmtId="0" fontId="21" fillId="0" borderId="19" xfId="0" applyFont="1" applyBorder="1" applyAlignment="1">
      <alignment horizontal="center" vertical="center"/>
    </xf>
    <xf numFmtId="185" fontId="13" fillId="0" borderId="90"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91" xfId="0" applyNumberFormat="1" applyFont="1" applyBorder="1" applyAlignment="1">
      <alignment vertical="center" shrinkToFit="1"/>
    </xf>
    <xf numFmtId="185" fontId="13" fillId="0" borderId="6" xfId="0" applyNumberFormat="1" applyFont="1" applyBorder="1" applyAlignment="1">
      <alignment vertical="center" shrinkToFit="1"/>
    </xf>
    <xf numFmtId="0" fontId="21" fillId="0" borderId="97" xfId="0" applyFont="1" applyBorder="1" applyAlignment="1">
      <alignment horizontal="center" vertical="center"/>
    </xf>
    <xf numFmtId="185" fontId="13" fillId="0" borderId="96" xfId="0" applyNumberFormat="1" applyFont="1" applyBorder="1" applyAlignment="1">
      <alignment vertical="center" shrinkToFit="1"/>
    </xf>
    <xf numFmtId="185" fontId="13" fillId="0" borderId="94" xfId="0" applyNumberFormat="1" applyFont="1" applyBorder="1" applyAlignment="1">
      <alignment vertical="center" shrinkToFit="1"/>
    </xf>
    <xf numFmtId="185" fontId="13" fillId="0" borderId="95" xfId="0" applyNumberFormat="1" applyFont="1" applyBorder="1" applyAlignment="1">
      <alignment vertical="center" shrinkToFit="1"/>
    </xf>
    <xf numFmtId="185" fontId="21" fillId="2" borderId="97" xfId="0" applyNumberFormat="1" applyFont="1" applyFill="1" applyBorder="1" applyAlignment="1" applyProtection="1">
      <alignment vertical="center" shrinkToFit="1"/>
      <protection locked="0"/>
    </xf>
    <xf numFmtId="0" fontId="21" fillId="0" borderId="80" xfId="0" applyFont="1" applyBorder="1">
      <alignment vertical="center"/>
    </xf>
    <xf numFmtId="185" fontId="21" fillId="0" borderId="105" xfId="0" applyNumberFormat="1" applyFont="1" applyBorder="1" applyAlignment="1">
      <alignment vertical="center" shrinkToFit="1"/>
    </xf>
    <xf numFmtId="185" fontId="21" fillId="0" borderId="0" xfId="0" applyNumberFormat="1" applyFont="1">
      <alignment vertical="center"/>
    </xf>
    <xf numFmtId="0" fontId="24" fillId="0" borderId="104" xfId="0" applyFont="1" applyBorder="1">
      <alignment vertical="center"/>
    </xf>
    <xf numFmtId="0" fontId="24" fillId="0" borderId="0" xfId="0" applyFont="1">
      <alignment vertical="center"/>
    </xf>
    <xf numFmtId="185" fontId="13" fillId="0" borderId="97" xfId="0" applyNumberFormat="1" applyFont="1" applyBorder="1" applyAlignment="1">
      <alignment vertical="center" shrinkToFit="1"/>
    </xf>
    <xf numFmtId="38" fontId="41" fillId="8" borderId="31" xfId="1" applyFont="1" applyFill="1" applyBorder="1" applyAlignment="1" applyProtection="1">
      <alignment vertical="center"/>
    </xf>
    <xf numFmtId="38" fontId="41" fillId="8" borderId="88" xfId="1" applyFont="1" applyFill="1" applyBorder="1" applyAlignment="1" applyProtection="1">
      <alignment vertical="center"/>
    </xf>
    <xf numFmtId="38" fontId="42" fillId="8" borderId="142" xfId="1" applyFont="1" applyFill="1" applyBorder="1" applyProtection="1">
      <alignment vertical="center"/>
    </xf>
    <xf numFmtId="0" fontId="29" fillId="10" borderId="109" xfId="0" applyFont="1" applyFill="1" applyBorder="1" applyAlignment="1" applyProtection="1">
      <alignment horizontal="right" vertical="center"/>
      <protection locked="0"/>
    </xf>
    <xf numFmtId="0" fontId="29" fillId="10" borderId="110" xfId="0" applyFont="1" applyFill="1" applyBorder="1" applyAlignment="1" applyProtection="1">
      <alignment horizontal="right" vertical="center"/>
      <protection locked="0"/>
    </xf>
    <xf numFmtId="0" fontId="31" fillId="10" borderId="110" xfId="0" applyFont="1" applyFill="1" applyBorder="1" applyAlignment="1" applyProtection="1">
      <alignment horizontal="right" vertical="center"/>
      <protection locked="0"/>
    </xf>
    <xf numFmtId="0" fontId="31" fillId="10" borderId="111" xfId="0" applyFont="1" applyFill="1" applyBorder="1" applyAlignment="1" applyProtection="1">
      <alignment horizontal="right" vertical="center"/>
      <protection locked="0"/>
    </xf>
    <xf numFmtId="0" fontId="29" fillId="10" borderId="114" xfId="0" applyFont="1" applyFill="1" applyBorder="1" applyAlignment="1" applyProtection="1">
      <alignment horizontal="right" vertical="center"/>
      <protection locked="0"/>
    </xf>
    <xf numFmtId="0" fontId="31" fillId="10" borderId="114" xfId="0" applyFont="1" applyFill="1" applyBorder="1" applyAlignment="1" applyProtection="1">
      <alignment horizontal="right" vertical="center"/>
      <protection locked="0"/>
    </xf>
    <xf numFmtId="179" fontId="0" fillId="0" borderId="31" xfId="0" applyNumberFormat="1" applyBorder="1" applyAlignment="1">
      <alignment horizontal="center"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9" fillId="0" borderId="8" xfId="0" applyFont="1" applyBorder="1">
      <alignment vertical="center"/>
    </xf>
    <xf numFmtId="180" fontId="49" fillId="0" borderId="8" xfId="0" applyNumberFormat="1" applyFont="1" applyBorder="1">
      <alignment vertical="center"/>
    </xf>
    <xf numFmtId="182" fontId="49" fillId="0" borderId="8" xfId="1" applyNumberFormat="1" applyFont="1" applyBorder="1">
      <alignment vertical="center"/>
    </xf>
    <xf numFmtId="179" fontId="49" fillId="0" borderId="8" xfId="0" applyNumberFormat="1" applyFont="1" applyBorder="1">
      <alignment vertical="center"/>
    </xf>
    <xf numFmtId="0" fontId="26" fillId="0" borderId="0" xfId="0" applyFont="1" applyProtection="1">
      <alignment vertical="center"/>
    </xf>
    <xf numFmtId="0" fontId="27" fillId="0" borderId="0" xfId="0" applyFont="1" applyProtection="1">
      <alignment vertical="center"/>
    </xf>
    <xf numFmtId="188" fontId="27" fillId="0" borderId="0" xfId="0" applyNumberFormat="1" applyFont="1" applyProtection="1">
      <alignment vertical="center"/>
    </xf>
    <xf numFmtId="0" fontId="28" fillId="0" borderId="0" xfId="0" applyFont="1" applyProtection="1">
      <alignment vertical="center"/>
    </xf>
    <xf numFmtId="0" fontId="0" fillId="0" borderId="0" xfId="0" applyProtection="1">
      <alignment vertical="center"/>
    </xf>
    <xf numFmtId="0" fontId="29" fillId="0" borderId="0" xfId="0" applyFont="1" applyProtection="1">
      <alignment vertical="center"/>
    </xf>
    <xf numFmtId="188" fontId="29" fillId="0" borderId="0" xfId="0" applyNumberFormat="1" applyFont="1" applyProtection="1">
      <alignment vertical="center"/>
    </xf>
    <xf numFmtId="0" fontId="29" fillId="0" borderId="0" xfId="0" applyFont="1" applyAlignment="1" applyProtection="1">
      <alignment horizontal="center" vertical="center"/>
    </xf>
    <xf numFmtId="0" fontId="30" fillId="0" borderId="0" xfId="0" applyFont="1" applyProtection="1">
      <alignment vertical="center"/>
    </xf>
    <xf numFmtId="0" fontId="29" fillId="0" borderId="5" xfId="0" applyFont="1" applyBorder="1" applyProtection="1">
      <alignment vertical="center"/>
    </xf>
    <xf numFmtId="0" fontId="29" fillId="0" borderId="7" xfId="0" applyFont="1" applyBorder="1" applyProtection="1">
      <alignment vertical="center"/>
    </xf>
    <xf numFmtId="0" fontId="29" fillId="0" borderId="91" xfId="0" applyFont="1" applyBorder="1" applyAlignment="1" applyProtection="1">
      <alignment horizontal="center" vertical="center"/>
    </xf>
    <xf numFmtId="0" fontId="29" fillId="0" borderId="88" xfId="0" applyFont="1" applyBorder="1" applyAlignment="1" applyProtection="1">
      <alignment horizontal="center" vertical="center"/>
    </xf>
    <xf numFmtId="0" fontId="29" fillId="0" borderId="67" xfId="0" applyFont="1" applyFill="1" applyBorder="1" applyAlignment="1" applyProtection="1">
      <alignment horizontal="center" vertical="center"/>
    </xf>
    <xf numFmtId="0" fontId="29" fillId="0" borderId="88" xfId="0" applyFont="1" applyBorder="1" applyAlignment="1" applyProtection="1">
      <alignment horizontal="center" vertical="center" wrapText="1"/>
    </xf>
    <xf numFmtId="188" fontId="29" fillId="0" borderId="31" xfId="0" applyNumberFormat="1" applyFont="1" applyFill="1" applyBorder="1" applyAlignment="1" applyProtection="1">
      <alignment horizontal="right" vertical="center"/>
    </xf>
    <xf numFmtId="0" fontId="29" fillId="6" borderId="106" xfId="0" applyFont="1" applyFill="1" applyBorder="1" applyAlignment="1" applyProtection="1">
      <alignment horizontal="righ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center" vertical="center"/>
    </xf>
    <xf numFmtId="0" fontId="0" fillId="0" borderId="8" xfId="0" applyBorder="1" applyAlignment="1" applyProtection="1">
      <alignment horizontal="left" vertical="center"/>
    </xf>
    <xf numFmtId="0" fontId="29" fillId="0" borderId="13" xfId="0" applyFont="1" applyBorder="1" applyAlignment="1" applyProtection="1">
      <alignment horizontal="left" vertical="center"/>
    </xf>
    <xf numFmtId="0" fontId="29" fillId="0" borderId="23" xfId="0" applyFont="1" applyBorder="1" applyProtection="1">
      <alignment vertical="center"/>
    </xf>
    <xf numFmtId="178" fontId="0" fillId="0" borderId="11" xfId="0" applyNumberFormat="1" applyBorder="1" applyAlignment="1" applyProtection="1">
      <alignment horizontal="left" vertical="center"/>
    </xf>
    <xf numFmtId="178" fontId="0" fillId="0" borderId="60" xfId="0" applyNumberFormat="1" applyBorder="1" applyAlignment="1" applyProtection="1">
      <alignment horizontal="left" vertical="center"/>
    </xf>
    <xf numFmtId="179" fontId="0" fillId="0" borderId="31" xfId="0" applyNumberFormat="1" applyBorder="1" applyAlignment="1" applyProtection="1">
      <alignment horizontal="center" vertical="center"/>
    </xf>
    <xf numFmtId="178" fontId="0" fillId="0" borderId="5" xfId="0" applyNumberFormat="1" applyBorder="1" applyAlignment="1" applyProtection="1">
      <alignment horizontal="left" vertical="center"/>
    </xf>
    <xf numFmtId="178" fontId="0" fillId="0" borderId="61" xfId="0" applyNumberFormat="1" applyBorder="1" applyAlignment="1" applyProtection="1">
      <alignment horizontal="left" vertical="center"/>
    </xf>
    <xf numFmtId="0" fontId="29" fillId="0" borderId="29" xfId="0" applyFont="1" applyBorder="1" applyProtection="1">
      <alignment vertical="center"/>
    </xf>
    <xf numFmtId="0" fontId="29" fillId="0" borderId="11" xfId="0" applyFont="1" applyBorder="1" applyProtection="1">
      <alignment vertical="center"/>
    </xf>
    <xf numFmtId="0" fontId="29" fillId="0" borderId="27" xfId="0" applyFont="1" applyBorder="1" applyProtection="1">
      <alignment vertical="center"/>
    </xf>
    <xf numFmtId="0" fontId="29" fillId="0" borderId="0" xfId="0" applyFont="1" applyAlignment="1" applyProtection="1">
      <alignment horizontal="left" vertical="top" wrapText="1"/>
    </xf>
    <xf numFmtId="0" fontId="29" fillId="0" borderId="0" xfId="0" applyFont="1" applyAlignment="1" applyProtection="1">
      <alignment vertical="center" wrapText="1"/>
    </xf>
    <xf numFmtId="0" fontId="29" fillId="0" borderId="0" xfId="0" applyFont="1" applyAlignment="1" applyProtection="1">
      <alignment vertical="top" wrapText="1"/>
    </xf>
    <xf numFmtId="0" fontId="29" fillId="0" borderId="115" xfId="0" applyFont="1" applyBorder="1" applyAlignment="1" applyProtection="1">
      <alignment horizontal="center" vertical="center" wrapText="1"/>
    </xf>
    <xf numFmtId="0" fontId="29" fillId="0" borderId="56" xfId="0" applyFont="1" applyBorder="1" applyAlignment="1" applyProtection="1">
      <alignment horizontal="center" vertical="center"/>
    </xf>
    <xf numFmtId="0" fontId="29" fillId="0" borderId="10" xfId="0" applyFont="1" applyBorder="1" applyAlignment="1" applyProtection="1">
      <alignment horizontal="center" vertical="center" wrapText="1"/>
    </xf>
    <xf numFmtId="0" fontId="0" fillId="0" borderId="117" xfId="0" applyBorder="1" applyProtection="1">
      <alignment vertical="center"/>
    </xf>
    <xf numFmtId="0" fontId="29" fillId="0" borderId="3" xfId="0" applyFont="1" applyBorder="1" applyAlignment="1" applyProtection="1">
      <alignment horizontal="right" vertical="center"/>
    </xf>
    <xf numFmtId="0" fontId="29" fillId="0" borderId="7" xfId="0" applyFont="1" applyBorder="1" applyAlignment="1" applyProtection="1">
      <alignment horizontal="right" vertical="center"/>
    </xf>
    <xf numFmtId="0" fontId="29" fillId="0" borderId="59" xfId="0" applyFont="1" applyBorder="1" applyProtection="1">
      <alignment vertical="center"/>
    </xf>
    <xf numFmtId="188" fontId="29" fillId="0" borderId="91" xfId="0" applyNumberFormat="1" applyFont="1" applyBorder="1" applyProtection="1">
      <alignment vertical="center"/>
    </xf>
    <xf numFmtId="188" fontId="29" fillId="0" borderId="59" xfId="0" applyNumberFormat="1" applyFont="1" applyBorder="1" applyProtection="1">
      <alignment vertical="center"/>
    </xf>
    <xf numFmtId="189" fontId="33" fillId="0" borderId="60" xfId="0" applyNumberFormat="1" applyFont="1" applyBorder="1" applyProtection="1">
      <alignment vertical="center"/>
    </xf>
    <xf numFmtId="0" fontId="0" fillId="0" borderId="91" xfId="0" applyBorder="1" applyProtection="1">
      <alignment vertical="center"/>
    </xf>
    <xf numFmtId="0" fontId="0" fillId="0" borderId="59" xfId="0" applyBorder="1" applyProtection="1">
      <alignment vertical="center"/>
    </xf>
    <xf numFmtId="0" fontId="0" fillId="0" borderId="60" xfId="0" applyBorder="1" applyProtection="1">
      <alignment vertical="center"/>
    </xf>
    <xf numFmtId="0" fontId="29" fillId="0" borderId="14" xfId="0" applyFont="1" applyBorder="1" applyAlignment="1" applyProtection="1">
      <alignment horizontal="right" vertical="center"/>
    </xf>
    <xf numFmtId="0" fontId="29" fillId="0" borderId="118" xfId="0" applyFont="1" applyBorder="1" applyProtection="1">
      <alignment vertical="center"/>
    </xf>
    <xf numFmtId="0" fontId="29" fillId="0" borderId="18" xfId="0" applyFont="1" applyBorder="1" applyAlignment="1" applyProtection="1">
      <alignment horizontal="right" vertical="center"/>
    </xf>
    <xf numFmtId="0" fontId="29" fillId="0" borderId="119" xfId="0" applyFont="1" applyBorder="1" applyProtection="1">
      <alignment vertical="center"/>
    </xf>
    <xf numFmtId="188" fontId="34" fillId="6" borderId="120" xfId="0" applyNumberFormat="1" applyFont="1" applyFill="1" applyBorder="1" applyAlignment="1" applyProtection="1">
      <alignment horizontal="right" vertical="center"/>
    </xf>
    <xf numFmtId="190" fontId="35" fillId="6" borderId="121" xfId="0" applyNumberFormat="1" applyFont="1" applyFill="1" applyBorder="1" applyProtection="1">
      <alignment vertical="center"/>
    </xf>
    <xf numFmtId="189" fontId="36" fillId="0" borderId="122" xfId="0" applyNumberFormat="1" applyFont="1" applyFill="1" applyBorder="1" applyProtection="1">
      <alignment vertical="center"/>
    </xf>
    <xf numFmtId="190" fontId="35" fillId="6" borderId="119" xfId="0" applyNumberFormat="1" applyFont="1" applyFill="1" applyBorder="1" applyProtection="1">
      <alignment vertical="center"/>
    </xf>
    <xf numFmtId="0" fontId="29" fillId="0" borderId="121" xfId="0" applyFont="1" applyFill="1" applyBorder="1" applyAlignment="1" applyProtection="1">
      <alignment horizontal="center" vertical="center"/>
    </xf>
    <xf numFmtId="188" fontId="34" fillId="0" borderId="120" xfId="0" applyNumberFormat="1" applyFont="1" applyBorder="1" applyAlignment="1" applyProtection="1">
      <alignment horizontal="right" vertical="center"/>
    </xf>
    <xf numFmtId="190" fontId="35" fillId="0" borderId="119" xfId="0" applyNumberFormat="1" applyFont="1" applyBorder="1" applyProtection="1">
      <alignment vertical="center"/>
    </xf>
    <xf numFmtId="189" fontId="36" fillId="0" borderId="122" xfId="0" applyNumberFormat="1" applyFont="1" applyBorder="1" applyProtection="1">
      <alignment vertical="center"/>
    </xf>
    <xf numFmtId="0" fontId="29" fillId="6" borderId="21" xfId="0" applyFont="1" applyFill="1" applyBorder="1" applyAlignment="1" applyProtection="1">
      <alignment horizontal="center" vertical="center"/>
    </xf>
    <xf numFmtId="0" fontId="29" fillId="0" borderId="21" xfId="0" applyFont="1" applyBorder="1" applyProtection="1">
      <alignment vertical="center"/>
    </xf>
    <xf numFmtId="0" fontId="29" fillId="0" borderId="23" xfId="0" applyFont="1" applyBorder="1" applyAlignment="1" applyProtection="1">
      <alignment horizontal="right" vertical="center"/>
    </xf>
    <xf numFmtId="0" fontId="29" fillId="0" borderId="69" xfId="0" applyFont="1" applyBorder="1" applyProtection="1">
      <alignment vertical="center"/>
    </xf>
    <xf numFmtId="188" fontId="34" fillId="6" borderId="123" xfId="0" applyNumberFormat="1" applyFont="1" applyFill="1" applyBorder="1" applyAlignment="1" applyProtection="1">
      <alignment horizontal="right" vertical="center"/>
    </xf>
    <xf numFmtId="189" fontId="36" fillId="0" borderId="124" xfId="0" applyNumberFormat="1" applyFont="1" applyFill="1" applyBorder="1" applyProtection="1">
      <alignment vertical="center"/>
    </xf>
    <xf numFmtId="188" fontId="34" fillId="0" borderId="123" xfId="0" applyNumberFormat="1" applyFont="1" applyBorder="1" applyAlignment="1" applyProtection="1">
      <alignment horizontal="right" vertical="center"/>
    </xf>
    <xf numFmtId="190" fontId="35" fillId="0" borderId="121" xfId="0" applyNumberFormat="1" applyFont="1" applyBorder="1" applyProtection="1">
      <alignment vertical="center"/>
    </xf>
    <xf numFmtId="189" fontId="36" fillId="0" borderId="124" xfId="0" applyNumberFormat="1" applyFont="1" applyBorder="1" applyProtection="1">
      <alignment vertical="center"/>
    </xf>
    <xf numFmtId="0" fontId="29" fillId="0" borderId="121" xfId="0" applyFont="1" applyBorder="1" applyProtection="1">
      <alignment vertical="center"/>
    </xf>
    <xf numFmtId="189" fontId="35" fillId="6" borderId="121" xfId="0" applyNumberFormat="1" applyFont="1" applyFill="1" applyBorder="1" applyAlignment="1" applyProtection="1">
      <alignment horizontal="right" vertical="center"/>
    </xf>
    <xf numFmtId="0" fontId="31" fillId="0" borderId="21" xfId="0" applyFont="1" applyBorder="1" applyProtection="1">
      <alignment vertical="center"/>
    </xf>
    <xf numFmtId="0" fontId="29" fillId="0" borderId="29" xfId="0" applyFont="1" applyBorder="1" applyAlignment="1" applyProtection="1">
      <alignment horizontal="right" vertical="center"/>
    </xf>
    <xf numFmtId="0" fontId="31" fillId="0" borderId="121" xfId="0" applyFont="1" applyFill="1" applyBorder="1" applyAlignment="1" applyProtection="1">
      <alignment horizontal="center" vertical="center"/>
    </xf>
    <xf numFmtId="188" fontId="34" fillId="0" borderId="125" xfId="0" applyNumberFormat="1" applyFont="1" applyBorder="1" applyAlignment="1" applyProtection="1">
      <alignment horizontal="right" vertical="center"/>
    </xf>
    <xf numFmtId="190" fontId="35" fillId="0" borderId="126" xfId="0" applyNumberFormat="1" applyFont="1" applyBorder="1" applyProtection="1">
      <alignment vertical="center"/>
    </xf>
    <xf numFmtId="189" fontId="36" fillId="0" borderId="127" xfId="0" applyNumberFormat="1" applyFont="1" applyBorder="1" applyProtection="1">
      <alignment vertical="center"/>
    </xf>
    <xf numFmtId="188" fontId="34" fillId="0" borderId="128" xfId="0" applyNumberFormat="1" applyFont="1" applyBorder="1" applyAlignment="1" applyProtection="1">
      <alignment horizontal="right" vertical="center"/>
    </xf>
    <xf numFmtId="0" fontId="29" fillId="0" borderId="73" xfId="0" applyFont="1" applyBorder="1" applyProtection="1">
      <alignment vertical="center"/>
    </xf>
    <xf numFmtId="0" fontId="29" fillId="0" borderId="129" xfId="0" applyFont="1" applyBorder="1" applyAlignment="1" applyProtection="1">
      <alignment horizontal="right" vertical="center"/>
    </xf>
    <xf numFmtId="0" fontId="29" fillId="0" borderId="130" xfId="0" applyFont="1" applyBorder="1" applyProtection="1">
      <alignment vertical="center"/>
    </xf>
    <xf numFmtId="188" fontId="34" fillId="6" borderId="76" xfId="0" applyNumberFormat="1" applyFont="1" applyFill="1" applyBorder="1" applyAlignment="1" applyProtection="1">
      <alignment horizontal="right" vertical="center"/>
    </xf>
    <xf numFmtId="190" fontId="35" fillId="6" borderId="130" xfId="0" applyNumberFormat="1" applyFont="1" applyFill="1" applyBorder="1" applyProtection="1">
      <alignment vertical="center"/>
    </xf>
    <xf numFmtId="189" fontId="36" fillId="0" borderId="77" xfId="0" applyNumberFormat="1" applyFont="1" applyFill="1" applyBorder="1" applyProtection="1">
      <alignment vertical="center"/>
    </xf>
    <xf numFmtId="0" fontId="29" fillId="0" borderId="13" xfId="0" applyFont="1" applyBorder="1" applyAlignment="1" applyProtection="1">
      <alignment horizontal="right" vertical="center"/>
    </xf>
    <xf numFmtId="0" fontId="29" fillId="0" borderId="70" xfId="0" applyFont="1" applyBorder="1" applyProtection="1">
      <alignment vertical="center"/>
    </xf>
    <xf numFmtId="0" fontId="29" fillId="0" borderId="117" xfId="0" applyFont="1" applyBorder="1" applyProtection="1">
      <alignment vertical="center"/>
    </xf>
    <xf numFmtId="191" fontId="35" fillId="0" borderId="58" xfId="0" applyNumberFormat="1" applyFont="1" applyBorder="1" applyProtection="1">
      <alignment vertical="center"/>
    </xf>
    <xf numFmtId="189" fontId="31" fillId="0" borderId="61" xfId="0" applyNumberFormat="1" applyFont="1" applyFill="1" applyBorder="1" applyProtection="1">
      <alignment vertical="center"/>
    </xf>
    <xf numFmtId="0" fontId="37" fillId="0" borderId="128" xfId="0" applyFont="1" applyBorder="1" applyAlignment="1" applyProtection="1">
      <alignment horizontal="left" vertical="center"/>
    </xf>
    <xf numFmtId="0" fontId="29" fillId="0" borderId="5" xfId="0" applyFont="1" applyBorder="1" applyAlignment="1" applyProtection="1">
      <alignment horizontal="right" vertical="center"/>
    </xf>
    <xf numFmtId="0" fontId="29" fillId="0" borderId="7" xfId="0" applyFont="1" applyBorder="1" applyAlignment="1" applyProtection="1">
      <alignment horizontal="left" vertical="center"/>
    </xf>
    <xf numFmtId="0" fontId="29" fillId="0" borderId="90" xfId="0" applyFont="1" applyFill="1" applyBorder="1" applyAlignment="1" applyProtection="1">
      <alignment horizontal="center" vertical="center"/>
    </xf>
    <xf numFmtId="188" fontId="35" fillId="0" borderId="59" xfId="0" applyNumberFormat="1" applyFont="1" applyBorder="1" applyProtection="1">
      <alignment vertical="center"/>
    </xf>
    <xf numFmtId="189" fontId="29" fillId="0" borderId="60" xfId="0" applyNumberFormat="1" applyFont="1" applyFill="1" applyBorder="1" applyProtection="1">
      <alignment vertical="center"/>
    </xf>
    <xf numFmtId="0" fontId="29" fillId="0" borderId="5" xfId="0" applyFont="1" applyFill="1" applyBorder="1" applyAlignment="1" applyProtection="1">
      <alignment horizontal="center" vertical="center"/>
    </xf>
    <xf numFmtId="0" fontId="31" fillId="0" borderId="7" xfId="0" applyFont="1" applyBorder="1" applyAlignment="1" applyProtection="1">
      <alignment horizontal="left" vertical="center"/>
    </xf>
    <xf numFmtId="188" fontId="29" fillId="0" borderId="131" xfId="0" applyNumberFormat="1" applyFont="1" applyBorder="1" applyProtection="1">
      <alignment vertical="center"/>
    </xf>
    <xf numFmtId="0" fontId="29" fillId="0" borderId="59" xfId="0" applyFont="1" applyFill="1" applyBorder="1" applyAlignment="1" applyProtection="1">
      <alignment horizontal="center" vertical="center"/>
    </xf>
    <xf numFmtId="188" fontId="29" fillId="0" borderId="61" xfId="0" applyNumberFormat="1" applyFont="1" applyBorder="1" applyProtection="1">
      <alignment vertical="center"/>
    </xf>
    <xf numFmtId="0" fontId="0" fillId="0" borderId="62" xfId="0" applyBorder="1" applyProtection="1">
      <alignment vertical="center"/>
    </xf>
    <xf numFmtId="0" fontId="0" fillId="0" borderId="132" xfId="0" applyBorder="1" applyProtection="1">
      <alignment vertical="center"/>
    </xf>
    <xf numFmtId="0" fontId="29" fillId="0" borderId="133" xfId="0" applyFont="1" applyBorder="1" applyAlignment="1" applyProtection="1">
      <alignment horizontal="left" vertical="center"/>
    </xf>
    <xf numFmtId="0" fontId="29" fillId="0" borderId="134" xfId="0" applyFont="1" applyBorder="1" applyAlignment="1" applyProtection="1">
      <alignment horizontal="left" vertical="center"/>
    </xf>
    <xf numFmtId="0" fontId="29" fillId="0" borderId="71" xfId="0" applyFont="1" applyBorder="1" applyProtection="1">
      <alignment vertical="center"/>
    </xf>
    <xf numFmtId="0" fontId="29" fillId="0" borderId="135" xfId="0" applyFont="1" applyBorder="1" applyProtection="1">
      <alignment vertical="center"/>
    </xf>
    <xf numFmtId="188" fontId="35" fillId="0" borderId="71" xfId="0" applyNumberFormat="1" applyFont="1" applyBorder="1" applyProtection="1">
      <alignment vertical="center"/>
    </xf>
    <xf numFmtId="189" fontId="29" fillId="0" borderId="135" xfId="0" applyNumberFormat="1" applyFont="1" applyFill="1" applyBorder="1" applyProtection="1">
      <alignment vertical="center"/>
    </xf>
    <xf numFmtId="188" fontId="29" fillId="0" borderId="136" xfId="0" applyNumberFormat="1" applyFont="1" applyBorder="1" applyAlignment="1" applyProtection="1">
      <alignment horizontal="center" vertical="center"/>
    </xf>
    <xf numFmtId="0" fontId="0" fillId="0" borderId="137" xfId="0" applyBorder="1" applyProtection="1">
      <alignment vertical="center"/>
    </xf>
    <xf numFmtId="0" fontId="0" fillId="0" borderId="93" xfId="0" applyBorder="1" applyProtection="1">
      <alignment vertical="center"/>
    </xf>
    <xf numFmtId="0" fontId="31" fillId="0" borderId="13" xfId="0" applyFont="1" applyBorder="1" applyProtection="1">
      <alignment vertical="center"/>
    </xf>
    <xf numFmtId="0" fontId="31" fillId="0" borderId="0" xfId="0" applyFont="1" applyProtection="1">
      <alignment vertical="center"/>
    </xf>
    <xf numFmtId="0" fontId="29" fillId="0" borderId="138" xfId="0" applyFont="1" applyBorder="1" applyProtection="1">
      <alignment vertical="center"/>
    </xf>
    <xf numFmtId="188" fontId="35" fillId="0" borderId="69" xfId="0" applyNumberFormat="1" applyFont="1" applyBorder="1" applyProtection="1">
      <alignment vertical="center"/>
    </xf>
    <xf numFmtId="189" fontId="31" fillId="0" borderId="138" xfId="0" applyNumberFormat="1" applyFont="1" applyFill="1" applyBorder="1" applyProtection="1">
      <alignment vertical="center"/>
    </xf>
    <xf numFmtId="0" fontId="0" fillId="0" borderId="138" xfId="0" applyBorder="1" applyProtection="1">
      <alignment vertical="center"/>
    </xf>
    <xf numFmtId="0" fontId="0" fillId="0" borderId="69" xfId="0" applyBorder="1" applyProtection="1">
      <alignment vertical="center"/>
    </xf>
    <xf numFmtId="0" fontId="38" fillId="0" borderId="49" xfId="0" applyFont="1" applyBorder="1" applyProtection="1">
      <alignment vertical="center"/>
    </xf>
    <xf numFmtId="0" fontId="38" fillId="0" borderId="50" xfId="0" applyFont="1" applyBorder="1" applyProtection="1">
      <alignment vertical="center"/>
    </xf>
    <xf numFmtId="0" fontId="39" fillId="0" borderId="49" xfId="0" applyFont="1" applyBorder="1" applyProtection="1">
      <alignment vertical="center"/>
    </xf>
    <xf numFmtId="0" fontId="39" fillId="0" borderId="51" xfId="0" applyFont="1" applyBorder="1" applyProtection="1">
      <alignment vertical="center"/>
    </xf>
    <xf numFmtId="188" fontId="40" fillId="0" borderId="49" xfId="0" applyNumberFormat="1" applyFont="1" applyBorder="1" applyProtection="1">
      <alignment vertical="center"/>
    </xf>
    <xf numFmtId="188" fontId="30" fillId="8" borderId="51" xfId="0" applyNumberFormat="1" applyFont="1" applyFill="1" applyBorder="1" applyProtection="1">
      <alignment vertical="center"/>
    </xf>
    <xf numFmtId="188" fontId="29" fillId="0" borderId="49" xfId="0" applyNumberFormat="1" applyFont="1" applyBorder="1" applyProtection="1">
      <alignment vertical="center"/>
    </xf>
    <xf numFmtId="0" fontId="0" fillId="0" borderId="51" xfId="0" applyBorder="1" applyProtection="1">
      <alignment vertical="center"/>
    </xf>
    <xf numFmtId="0" fontId="0" fillId="0" borderId="49" xfId="0" applyBorder="1" applyProtection="1">
      <alignment vertical="center"/>
    </xf>
    <xf numFmtId="188" fontId="35" fillId="0" borderId="0" xfId="0" applyNumberFormat="1" applyFont="1" applyProtection="1">
      <alignment vertical="center"/>
    </xf>
    <xf numFmtId="189" fontId="29" fillId="0" borderId="0" xfId="0" applyNumberFormat="1" applyFont="1" applyProtection="1">
      <alignment vertical="center"/>
    </xf>
    <xf numFmtId="0" fontId="38" fillId="0" borderId="0" xfId="0" applyFont="1" applyProtection="1">
      <alignment vertical="center"/>
    </xf>
    <xf numFmtId="188" fontId="37" fillId="0" borderId="0" xfId="0" applyNumberFormat="1" applyFont="1" applyProtection="1">
      <alignment vertical="center"/>
    </xf>
    <xf numFmtId="188" fontId="41" fillId="0" borderId="0" xfId="0" applyNumberFormat="1" applyFont="1" applyAlignment="1" applyProtection="1">
      <alignment horizontal="center" vertical="center"/>
    </xf>
    <xf numFmtId="189" fontId="41" fillId="0" borderId="0" xfId="0" applyNumberFormat="1" applyFont="1" applyAlignment="1" applyProtection="1">
      <alignment horizontal="center" vertical="center"/>
    </xf>
    <xf numFmtId="0" fontId="30" fillId="0" borderId="49" xfId="0" applyFont="1" applyBorder="1" applyProtection="1">
      <alignment vertical="center"/>
    </xf>
    <xf numFmtId="0" fontId="30" fillId="0" borderId="50" xfId="0" applyFont="1" applyBorder="1" applyProtection="1">
      <alignment vertical="center"/>
    </xf>
    <xf numFmtId="0" fontId="39" fillId="0" borderId="50" xfId="0" applyFont="1" applyBorder="1" applyProtection="1">
      <alignment vertical="center"/>
    </xf>
    <xf numFmtId="188" fontId="29" fillId="0" borderId="51" xfId="0" applyNumberFormat="1" applyFont="1" applyBorder="1" applyProtection="1">
      <alignment vertical="center"/>
    </xf>
    <xf numFmtId="190" fontId="35" fillId="6" borderId="49" xfId="0" applyNumberFormat="1" applyFont="1" applyFill="1" applyBorder="1" applyProtection="1">
      <alignment vertical="center"/>
    </xf>
    <xf numFmtId="188" fontId="38" fillId="8" borderId="51" xfId="0" applyNumberFormat="1" applyFont="1" applyFill="1" applyBorder="1" applyProtection="1">
      <alignment vertical="center"/>
    </xf>
    <xf numFmtId="0" fontId="30" fillId="0" borderId="99" xfId="0" applyFont="1" applyBorder="1" applyProtection="1">
      <alignment vertical="center"/>
    </xf>
    <xf numFmtId="0" fontId="30" fillId="0" borderId="139" xfId="0" applyFont="1" applyBorder="1" applyProtection="1">
      <alignment vertical="center"/>
    </xf>
    <xf numFmtId="0" fontId="39" fillId="0" borderId="139" xfId="0" applyFont="1" applyBorder="1" applyProtection="1">
      <alignment vertical="center"/>
    </xf>
    <xf numFmtId="188" fontId="29" fillId="0" borderId="84" xfId="0" applyNumberFormat="1" applyFont="1" applyBorder="1" applyProtection="1">
      <alignment vertical="center"/>
    </xf>
    <xf numFmtId="190" fontId="35" fillId="6" borderId="99" xfId="0" applyNumberFormat="1" applyFont="1" applyFill="1" applyBorder="1" applyProtection="1">
      <alignment vertical="center"/>
    </xf>
    <xf numFmtId="188" fontId="38" fillId="8" borderId="84" xfId="0" applyNumberFormat="1" applyFont="1" applyFill="1" applyBorder="1" applyProtection="1">
      <alignment vertical="center"/>
    </xf>
    <xf numFmtId="38" fontId="38" fillId="0" borderId="50" xfId="1" applyFont="1" applyBorder="1" applyProtection="1">
      <alignment vertical="center"/>
    </xf>
    <xf numFmtId="188" fontId="39" fillId="0" borderId="50" xfId="0" applyNumberFormat="1" applyFont="1" applyBorder="1" applyProtection="1">
      <alignment vertical="center"/>
    </xf>
    <xf numFmtId="188" fontId="29" fillId="0" borderId="50" xfId="0" applyNumberFormat="1" applyFont="1" applyBorder="1" applyProtection="1">
      <alignment vertical="center"/>
    </xf>
    <xf numFmtId="0" fontId="30" fillId="0" borderId="140" xfId="0" applyFont="1" applyBorder="1" applyProtection="1">
      <alignment vertical="center"/>
    </xf>
    <xf numFmtId="38" fontId="30" fillId="0" borderId="141" xfId="1" applyFont="1" applyBorder="1" applyProtection="1">
      <alignment vertical="center"/>
    </xf>
    <xf numFmtId="0" fontId="30" fillId="0" borderId="141" xfId="0" applyFont="1" applyBorder="1" applyProtection="1">
      <alignment vertical="center"/>
    </xf>
    <xf numFmtId="0" fontId="39" fillId="0" borderId="141" xfId="0" applyFont="1" applyBorder="1" applyProtection="1">
      <alignment vertical="center"/>
    </xf>
    <xf numFmtId="188" fontId="39" fillId="0" borderId="141" xfId="0" applyNumberFormat="1" applyFont="1" applyBorder="1" applyProtection="1">
      <alignment vertical="center"/>
    </xf>
    <xf numFmtId="188" fontId="29" fillId="0" borderId="141" xfId="0" applyNumberFormat="1" applyFont="1" applyBorder="1" applyProtection="1">
      <alignment vertical="center"/>
    </xf>
    <xf numFmtId="0" fontId="42" fillId="0" borderId="99" xfId="0" applyFont="1" applyBorder="1" applyProtection="1">
      <alignment vertical="center"/>
    </xf>
    <xf numFmtId="0" fontId="30" fillId="0" borderId="139" xfId="0" applyFont="1" applyBorder="1" applyAlignment="1" applyProtection="1">
      <alignment horizontal="center" vertical="center"/>
    </xf>
    <xf numFmtId="0" fontId="42" fillId="0" borderId="139" xfId="0" applyFont="1" applyBorder="1" applyProtection="1">
      <alignment vertical="center"/>
    </xf>
    <xf numFmtId="188" fontId="42" fillId="0" borderId="139" xfId="0" applyNumberFormat="1" applyFont="1" applyBorder="1" applyProtection="1">
      <alignment vertical="center"/>
    </xf>
    <xf numFmtId="188" fontId="30" fillId="10" borderId="31" xfId="0" applyNumberFormat="1" applyFont="1" applyFill="1" applyBorder="1" applyProtection="1">
      <alignment vertical="center"/>
      <protection locked="0"/>
    </xf>
    <xf numFmtId="185" fontId="16" fillId="2" borderId="90" xfId="0" applyNumberFormat="1" applyFont="1" applyFill="1" applyBorder="1" applyAlignment="1" applyProtection="1">
      <alignment vertical="center" shrinkToFit="1"/>
      <protection locked="0"/>
    </xf>
    <xf numFmtId="185" fontId="16" fillId="2" borderId="96" xfId="0" applyNumberFormat="1" applyFont="1" applyFill="1" applyBorder="1" applyAlignment="1" applyProtection="1">
      <alignment vertical="center" shrinkToFit="1"/>
      <protection locked="0"/>
    </xf>
    <xf numFmtId="0" fontId="0" fillId="2" borderId="31" xfId="0" applyFill="1" applyBorder="1" applyAlignment="1" applyProtection="1">
      <alignment horizontal="center" vertical="center"/>
      <protection locked="0"/>
    </xf>
    <xf numFmtId="179" fontId="0" fillId="2" borderId="31" xfId="0" applyNumberFormat="1" applyFill="1" applyBorder="1" applyAlignment="1" applyProtection="1">
      <alignment horizontal="center" vertical="center"/>
      <protection locked="0"/>
    </xf>
    <xf numFmtId="179" fontId="0" fillId="7" borderId="31" xfId="0" applyNumberFormat="1" applyFill="1" applyBorder="1" applyAlignment="1" applyProtection="1">
      <alignment horizontal="center" vertical="center"/>
      <protection locked="0"/>
    </xf>
    <xf numFmtId="0" fontId="0" fillId="2" borderId="31" xfId="0" applyFill="1" applyBorder="1" applyProtection="1">
      <alignment vertical="center"/>
      <protection locked="0"/>
    </xf>
    <xf numFmtId="0" fontId="0" fillId="7" borderId="31" xfId="0" applyFill="1" applyBorder="1" applyAlignment="1" applyProtection="1">
      <alignment horizontal="center" vertical="center"/>
      <protection locked="0"/>
    </xf>
    <xf numFmtId="181" fontId="0" fillId="2" borderId="31" xfId="0" applyNumberFormat="1" applyFill="1" applyBorder="1" applyProtection="1">
      <alignment vertical="center"/>
      <protection locked="0"/>
    </xf>
    <xf numFmtId="0" fontId="50" fillId="0" borderId="0" xfId="0" applyFont="1">
      <alignment vertical="center"/>
    </xf>
    <xf numFmtId="0" fontId="51" fillId="0" borderId="0" xfId="0" applyFont="1">
      <alignment vertical="center"/>
    </xf>
    <xf numFmtId="0" fontId="23" fillId="0" borderId="31" xfId="0" applyFont="1" applyBorder="1" applyAlignment="1">
      <alignment horizontal="center" vertical="center"/>
    </xf>
    <xf numFmtId="0" fontId="0" fillId="9" borderId="51" xfId="0" applyFill="1" applyBorder="1">
      <alignment vertical="center"/>
    </xf>
    <xf numFmtId="0" fontId="0" fillId="9" borderId="50" xfId="0" applyFill="1" applyBorder="1">
      <alignment vertical="center"/>
    </xf>
    <xf numFmtId="0" fontId="21" fillId="9" borderId="50" xfId="0" applyFont="1" applyFill="1" applyBorder="1">
      <alignment vertical="center"/>
    </xf>
    <xf numFmtId="0" fontId="24" fillId="9" borderId="49" xfId="0" applyFont="1" applyFill="1" applyBorder="1">
      <alignment vertical="center"/>
    </xf>
    <xf numFmtId="0" fontId="51" fillId="0" borderId="0" xfId="0" applyFont="1" applyAlignment="1">
      <alignment vertical="center" wrapText="1"/>
    </xf>
    <xf numFmtId="0" fontId="52" fillId="0" borderId="0" xfId="0" applyFont="1">
      <alignment vertical="center"/>
    </xf>
    <xf numFmtId="0" fontId="54" fillId="0" borderId="0" xfId="0" applyFont="1">
      <alignment vertical="center"/>
    </xf>
    <xf numFmtId="0" fontId="51" fillId="0" borderId="7" xfId="0" applyFont="1" applyBorder="1" applyAlignment="1">
      <alignment horizontal="centerContinuous" vertical="center"/>
    </xf>
    <xf numFmtId="0" fontId="51" fillId="0" borderId="5" xfId="0" applyFont="1" applyBorder="1" applyAlignment="1">
      <alignment horizontal="centerContinuous" vertical="center"/>
    </xf>
    <xf numFmtId="0" fontId="10" fillId="0" borderId="0" xfId="0" applyFont="1">
      <alignment vertical="center"/>
    </xf>
    <xf numFmtId="0" fontId="55" fillId="0" borderId="0" xfId="2" applyFont="1">
      <alignment vertical="center"/>
    </xf>
    <xf numFmtId="0" fontId="55" fillId="0" borderId="0" xfId="2" applyFont="1" applyAlignment="1">
      <alignment horizontal="left" vertical="center"/>
    </xf>
    <xf numFmtId="0" fontId="56" fillId="0" borderId="0" xfId="2" applyFont="1" applyAlignment="1">
      <alignment horizontal="left" vertical="center"/>
    </xf>
    <xf numFmtId="0" fontId="55" fillId="0" borderId="0" xfId="2" applyFont="1" applyAlignment="1">
      <alignment horizontal="left" vertical="center" wrapText="1"/>
    </xf>
    <xf numFmtId="0" fontId="55" fillId="0" borderId="0" xfId="2" applyFont="1" applyAlignment="1">
      <alignment horizontal="center" vertical="center" wrapText="1"/>
    </xf>
    <xf numFmtId="0" fontId="55" fillId="0" borderId="0" xfId="2" applyFont="1" applyAlignment="1">
      <alignment horizontal="distributed" vertical="center"/>
    </xf>
    <xf numFmtId="0" fontId="55" fillId="0" borderId="149" xfId="2" applyFont="1" applyBorder="1">
      <alignment vertical="center"/>
    </xf>
    <xf numFmtId="0" fontId="55" fillId="0" borderId="150" xfId="2" applyFont="1" applyBorder="1">
      <alignment vertical="center"/>
    </xf>
    <xf numFmtId="0" fontId="55" fillId="0" borderId="152" xfId="2" applyFont="1" applyBorder="1">
      <alignment vertical="center"/>
    </xf>
    <xf numFmtId="0" fontId="7" fillId="0" borderId="0" xfId="2">
      <alignment vertical="center"/>
    </xf>
    <xf numFmtId="0" fontId="55" fillId="0" borderId="155" xfId="2" applyFont="1" applyBorder="1">
      <alignment vertical="center"/>
    </xf>
    <xf numFmtId="0" fontId="55" fillId="0" borderId="138" xfId="2" applyFont="1" applyBorder="1">
      <alignment vertical="center"/>
    </xf>
    <xf numFmtId="0" fontId="58" fillId="0" borderId="0" xfId="2" applyFont="1" applyAlignment="1">
      <alignment horizontal="right" vertical="center" wrapText="1"/>
    </xf>
    <xf numFmtId="0" fontId="58" fillId="0" borderId="0" xfId="2" applyFont="1" applyAlignment="1">
      <alignment horizontal="center" vertical="center" wrapText="1"/>
    </xf>
    <xf numFmtId="0" fontId="59" fillId="0" borderId="0" xfId="2" applyFont="1">
      <alignment vertical="center"/>
    </xf>
    <xf numFmtId="0" fontId="58" fillId="0" borderId="0" xfId="2" applyFont="1">
      <alignment vertical="center"/>
    </xf>
    <xf numFmtId="0" fontId="56" fillId="0" borderId="0" xfId="2" applyFont="1" applyAlignment="1">
      <alignment horizontal="center" vertical="center"/>
    </xf>
    <xf numFmtId="0" fontId="55" fillId="9" borderId="0" xfId="2" applyFont="1" applyFill="1" applyAlignment="1">
      <alignment horizontal="right" vertical="center"/>
    </xf>
    <xf numFmtId="0" fontId="58" fillId="0" borderId="0" xfId="2" applyFont="1" applyAlignment="1">
      <alignment horizontal="right" vertical="center"/>
    </xf>
    <xf numFmtId="0" fontId="56" fillId="0" borderId="0" xfId="2" applyFont="1" applyAlignment="1">
      <alignment vertical="top"/>
    </xf>
    <xf numFmtId="0" fontId="56" fillId="0" borderId="0" xfId="2" applyFont="1" applyAlignment="1">
      <alignment horizontal="left" vertical="top"/>
    </xf>
    <xf numFmtId="0" fontId="56" fillId="0" borderId="0" xfId="2" applyFont="1" applyAlignment="1">
      <alignment vertical="top" wrapText="1"/>
    </xf>
    <xf numFmtId="0" fontId="58" fillId="0" borderId="0" xfId="2" applyFont="1" applyAlignment="1">
      <alignment horizontal="center" vertical="center"/>
    </xf>
    <xf numFmtId="0" fontId="58" fillId="0" borderId="0" xfId="2" applyFont="1" applyAlignment="1">
      <alignment horizontal="left" vertical="center"/>
    </xf>
    <xf numFmtId="0" fontId="58" fillId="0" borderId="0" xfId="2" applyFont="1" applyAlignment="1">
      <alignment vertical="center" wrapText="1"/>
    </xf>
    <xf numFmtId="0" fontId="55" fillId="0" borderId="0" xfId="2" applyFont="1" applyAlignment="1">
      <alignment vertical="center" wrapText="1"/>
    </xf>
    <xf numFmtId="49" fontId="58" fillId="0" borderId="0" xfId="2" applyNumberFormat="1" applyFont="1" applyAlignment="1">
      <alignment vertical="center" shrinkToFit="1"/>
    </xf>
    <xf numFmtId="0" fontId="61" fillId="0" borderId="0" xfId="2" applyFont="1">
      <alignment vertical="center"/>
    </xf>
    <xf numFmtId="0" fontId="56" fillId="0" borderId="0" xfId="2" applyFont="1">
      <alignment vertical="center"/>
    </xf>
    <xf numFmtId="0" fontId="55" fillId="0" borderId="161" xfId="2" applyFont="1" applyBorder="1" applyAlignment="1">
      <alignment horizontal="right" vertical="center"/>
    </xf>
    <xf numFmtId="0" fontId="61" fillId="0" borderId="0" xfId="2" applyFont="1" applyAlignment="1">
      <alignment horizontal="left" vertical="center"/>
    </xf>
    <xf numFmtId="0" fontId="55" fillId="0" borderId="53" xfId="2" applyFont="1" applyBorder="1" applyAlignment="1">
      <alignment horizontal="distributed" vertical="center"/>
    </xf>
    <xf numFmtId="0" fontId="55" fillId="0" borderId="0" xfId="2" applyFont="1" applyAlignment="1">
      <alignment horizontal="right" vertical="center"/>
    </xf>
    <xf numFmtId="58" fontId="55" fillId="0" borderId="139" xfId="2" applyNumberFormat="1" applyFont="1" applyBorder="1">
      <alignment vertical="center"/>
    </xf>
    <xf numFmtId="0" fontId="62" fillId="0" borderId="0" xfId="2" applyFont="1" applyAlignment="1">
      <alignment horizontal="center" vertical="center"/>
    </xf>
    <xf numFmtId="0" fontId="62" fillId="0" borderId="0" xfId="2" applyFont="1" applyAlignment="1">
      <alignment horizontal="left" vertical="center"/>
    </xf>
    <xf numFmtId="49" fontId="63" fillId="0" borderId="0" xfId="2" applyNumberFormat="1" applyFont="1">
      <alignment vertical="center"/>
    </xf>
    <xf numFmtId="0" fontId="63" fillId="0" borderId="0" xfId="2" applyFont="1">
      <alignment vertical="center"/>
    </xf>
    <xf numFmtId="0" fontId="65" fillId="0" borderId="0" xfId="2" applyFont="1">
      <alignment vertical="center"/>
    </xf>
    <xf numFmtId="0" fontId="56" fillId="0" borderId="8" xfId="2" applyFont="1" applyBorder="1" applyAlignment="1">
      <alignment horizontal="center" vertical="center" wrapText="1"/>
    </xf>
    <xf numFmtId="0" fontId="56" fillId="0" borderId="12" xfId="2" applyFont="1" applyBorder="1" applyAlignment="1">
      <alignment horizontal="center" vertical="center" wrapText="1"/>
    </xf>
    <xf numFmtId="0" fontId="58" fillId="0" borderId="139" xfId="2" applyFont="1" applyBorder="1">
      <alignment vertical="center"/>
    </xf>
    <xf numFmtId="0" fontId="61" fillId="0" borderId="139" xfId="2" applyFont="1" applyBorder="1">
      <alignment vertical="center"/>
    </xf>
    <xf numFmtId="0" fontId="58" fillId="0" borderId="2" xfId="2" applyFont="1" applyBorder="1">
      <alignment vertical="center"/>
    </xf>
    <xf numFmtId="0" fontId="61" fillId="0" borderId="62" xfId="2" applyFont="1" applyBorder="1" applyAlignment="1">
      <alignment horizontal="left" vertical="center"/>
    </xf>
    <xf numFmtId="0" fontId="58" fillId="0" borderId="53" xfId="2" applyFont="1" applyBorder="1">
      <alignment vertical="center"/>
    </xf>
    <xf numFmtId="0" fontId="58" fillId="0" borderId="10" xfId="2" applyFont="1" applyBorder="1">
      <alignment vertical="center"/>
    </xf>
    <xf numFmtId="0" fontId="55" fillId="0" borderId="0" xfId="2" applyFont="1" applyAlignment="1">
      <alignment horizontal="distributed" vertical="center" wrapText="1"/>
    </xf>
    <xf numFmtId="0" fontId="58" fillId="0" borderId="148" xfId="2" applyFont="1" applyBorder="1">
      <alignment vertical="center"/>
    </xf>
    <xf numFmtId="0" fontId="58" fillId="0" borderId="51" xfId="2" applyFont="1" applyBorder="1">
      <alignment vertical="center"/>
    </xf>
    <xf numFmtId="0" fontId="55" fillId="0" borderId="50" xfId="2" applyFont="1" applyBorder="1">
      <alignment vertical="center"/>
    </xf>
    <xf numFmtId="0" fontId="55" fillId="0" borderId="49" xfId="2" applyFont="1" applyBorder="1">
      <alignment vertical="center"/>
    </xf>
    <xf numFmtId="0" fontId="66" fillId="0" borderId="0" xfId="2" applyFont="1">
      <alignment vertical="center"/>
    </xf>
    <xf numFmtId="0" fontId="67" fillId="0" borderId="0" xfId="2" applyFont="1">
      <alignment vertical="center"/>
    </xf>
    <xf numFmtId="0" fontId="58" fillId="0" borderId="100" xfId="2" applyFont="1" applyBorder="1">
      <alignment vertical="center"/>
    </xf>
    <xf numFmtId="0" fontId="66" fillId="0" borderId="82" xfId="2" applyFont="1" applyBorder="1">
      <alignment vertical="center"/>
    </xf>
    <xf numFmtId="0" fontId="66" fillId="0" borderId="14" xfId="2" applyFont="1" applyBorder="1">
      <alignment vertical="center"/>
    </xf>
    <xf numFmtId="0" fontId="58" fillId="0" borderId="6" xfId="2" applyFont="1" applyBorder="1">
      <alignment vertical="center"/>
    </xf>
    <xf numFmtId="0" fontId="58" fillId="0" borderId="57" xfId="2" applyFont="1" applyBorder="1" applyAlignment="1">
      <alignment horizontal="right" vertical="center"/>
    </xf>
    <xf numFmtId="0" fontId="7" fillId="0" borderId="0" xfId="2" applyAlignment="1">
      <alignment vertical="center" wrapText="1"/>
    </xf>
    <xf numFmtId="0" fontId="58" fillId="0" borderId="84" xfId="2" applyFont="1" applyBorder="1">
      <alignment vertical="center"/>
    </xf>
    <xf numFmtId="0" fontId="58" fillId="0" borderId="146" xfId="2" applyFont="1" applyBorder="1">
      <alignment vertical="center"/>
    </xf>
    <xf numFmtId="0" fontId="7" fillId="0" borderId="152" xfId="2" applyBorder="1">
      <alignment vertical="center"/>
    </xf>
    <xf numFmtId="0" fontId="56" fillId="0" borderId="0" xfId="2" applyFont="1" applyAlignment="1">
      <alignment vertical="center" wrapText="1"/>
    </xf>
    <xf numFmtId="0" fontId="7" fillId="0" borderId="149" xfId="2" applyBorder="1">
      <alignment vertical="center"/>
    </xf>
    <xf numFmtId="0" fontId="68" fillId="11" borderId="51" xfId="2" applyFont="1" applyFill="1" applyBorder="1">
      <alignment vertical="center"/>
    </xf>
    <xf numFmtId="0" fontId="58" fillId="0" borderId="50" xfId="2" applyFont="1" applyBorder="1">
      <alignment vertical="center"/>
    </xf>
    <xf numFmtId="0" fontId="55" fillId="0" borderId="0" xfId="2" applyFont="1" applyAlignment="1">
      <alignment vertical="center" shrinkToFit="1"/>
    </xf>
    <xf numFmtId="0" fontId="58" fillId="0" borderId="0" xfId="2" applyFont="1" applyAlignment="1">
      <alignment horizontal="distributed" vertical="center"/>
    </xf>
    <xf numFmtId="0" fontId="70" fillId="0" borderId="0" xfId="2" applyFont="1" applyAlignment="1">
      <alignment horizontal="center" vertical="center"/>
    </xf>
    <xf numFmtId="0" fontId="61" fillId="0" borderId="0" xfId="2" applyFont="1" applyAlignment="1">
      <alignment horizontal="left" vertical="top"/>
    </xf>
    <xf numFmtId="0" fontId="58" fillId="0" borderId="6" xfId="2" applyFont="1" applyBorder="1" applyAlignment="1">
      <alignment horizontal="right" vertical="center"/>
    </xf>
    <xf numFmtId="192" fontId="55" fillId="0" borderId="8" xfId="2" applyNumberFormat="1" applyFont="1" applyBorder="1" applyProtection="1">
      <alignment vertical="center"/>
      <protection locked="0"/>
    </xf>
    <xf numFmtId="0" fontId="73" fillId="0" borderId="0" xfId="4" applyFont="1"/>
    <xf numFmtId="0" fontId="53" fillId="0" borderId="0" xfId="4" applyFont="1"/>
    <xf numFmtId="0" fontId="16" fillId="0" borderId="0" xfId="4" applyFont="1"/>
    <xf numFmtId="0" fontId="16" fillId="0" borderId="0" xfId="4" applyFont="1" applyAlignment="1">
      <alignment vertical="top"/>
    </xf>
    <xf numFmtId="0" fontId="74" fillId="0" borderId="0" xfId="4" applyFont="1"/>
    <xf numFmtId="0" fontId="75" fillId="0" borderId="0" xfId="4" applyFont="1"/>
    <xf numFmtId="0" fontId="76" fillId="0" borderId="0" xfId="4" applyFont="1" applyAlignment="1">
      <alignment vertical="top"/>
    </xf>
    <xf numFmtId="0" fontId="76" fillId="0" borderId="0" xfId="5" applyFont="1" applyAlignment="1">
      <alignment vertical="top"/>
    </xf>
    <xf numFmtId="0" fontId="76" fillId="0" borderId="0" xfId="4" applyFont="1"/>
    <xf numFmtId="0" fontId="76" fillId="0" borderId="0" xfId="4" applyFont="1" applyAlignment="1">
      <alignment horizontal="left" vertical="top"/>
    </xf>
    <xf numFmtId="0" fontId="76" fillId="0" borderId="0" xfId="4" applyFont="1" applyAlignment="1">
      <alignment vertical="top" wrapText="1"/>
    </xf>
    <xf numFmtId="0" fontId="76" fillId="0" borderId="0" xfId="4" applyFont="1" applyAlignment="1">
      <alignment horizontal="left" vertical="top" wrapText="1"/>
    </xf>
    <xf numFmtId="176" fontId="76" fillId="0" borderId="0" xfId="6" applyNumberFormat="1" applyFont="1" applyAlignment="1">
      <alignment vertical="top" shrinkToFit="1"/>
    </xf>
    <xf numFmtId="176" fontId="76" fillId="9" borderId="0" xfId="6" applyNumberFormat="1" applyFont="1" applyFill="1" applyAlignment="1">
      <alignment vertical="center" wrapText="1" shrinkToFit="1"/>
    </xf>
    <xf numFmtId="0" fontId="76" fillId="0" borderId="0" xfId="6" applyFont="1" applyAlignment="1">
      <alignment vertical="top" shrinkToFit="1"/>
    </xf>
    <xf numFmtId="0" fontId="76" fillId="0" borderId="0" xfId="6" applyFont="1" applyAlignment="1">
      <alignment horizontal="left" vertical="top" shrinkToFit="1"/>
    </xf>
    <xf numFmtId="0" fontId="76" fillId="0" borderId="0" xfId="6" applyFont="1" applyAlignment="1">
      <alignment horizontal="left" vertical="top" wrapText="1" shrinkToFit="1"/>
    </xf>
    <xf numFmtId="0" fontId="76" fillId="0" borderId="0" xfId="6" applyFont="1" applyAlignment="1">
      <alignment vertical="top" wrapText="1" shrinkToFit="1"/>
    </xf>
    <xf numFmtId="0" fontId="78" fillId="0" borderId="0" xfId="4" applyFont="1"/>
    <xf numFmtId="0" fontId="79" fillId="0" borderId="0" xfId="4" applyFont="1" applyAlignment="1">
      <alignment horizontal="left" vertical="top"/>
    </xf>
    <xf numFmtId="193" fontId="76" fillId="0" borderId="0" xfId="4" applyNumberFormat="1" applyFont="1" applyAlignment="1">
      <alignment vertical="top"/>
    </xf>
    <xf numFmtId="0" fontId="79" fillId="0" borderId="0" xfId="4" applyFont="1" applyAlignment="1">
      <alignment vertical="top"/>
    </xf>
    <xf numFmtId="0" fontId="79" fillId="0" borderId="0" xfId="4" applyFont="1" applyAlignment="1">
      <alignment horizontal="center" vertical="top"/>
    </xf>
    <xf numFmtId="0" fontId="80" fillId="11" borderId="51" xfId="2" applyFont="1" applyFill="1" applyBorder="1" applyAlignment="1">
      <alignment horizontal="center" vertical="center"/>
    </xf>
    <xf numFmtId="0" fontId="80" fillId="11" borderId="31" xfId="2" applyFont="1" applyFill="1" applyBorder="1" applyAlignment="1">
      <alignment horizontal="center" vertical="center"/>
    </xf>
    <xf numFmtId="194" fontId="81" fillId="8" borderId="8" xfId="4" applyNumberFormat="1" applyFont="1" applyFill="1" applyBorder="1" applyAlignment="1">
      <alignment horizontal="center" vertical="center"/>
    </xf>
    <xf numFmtId="0" fontId="82" fillId="0" borderId="0" xfId="4" applyFont="1"/>
    <xf numFmtId="176" fontId="74" fillId="0" borderId="0" xfId="6" applyNumberFormat="1" applyFont="1" applyAlignment="1">
      <alignment vertical="center" shrinkToFit="1"/>
    </xf>
    <xf numFmtId="38" fontId="76" fillId="8" borderId="156" xfId="6" applyNumberFormat="1" applyFont="1" applyFill="1" applyBorder="1" applyAlignment="1">
      <alignment vertical="center" shrinkToFit="1"/>
    </xf>
    <xf numFmtId="38" fontId="76" fillId="8" borderId="158" xfId="6" applyNumberFormat="1" applyFont="1" applyFill="1" applyBorder="1" applyAlignment="1">
      <alignment vertical="center" shrinkToFit="1"/>
    </xf>
    <xf numFmtId="38" fontId="76" fillId="8" borderId="163" xfId="6" applyNumberFormat="1" applyFont="1" applyFill="1" applyBorder="1" applyAlignment="1">
      <alignment vertical="center" shrinkToFit="1"/>
    </xf>
    <xf numFmtId="38" fontId="76" fillId="0" borderId="190" xfId="6" applyNumberFormat="1" applyFont="1" applyBorder="1" applyAlignment="1">
      <alignment vertical="center" shrinkToFit="1"/>
    </xf>
    <xf numFmtId="38" fontId="76" fillId="8" borderId="162" xfId="6" applyNumberFormat="1" applyFont="1" applyFill="1" applyBorder="1" applyAlignment="1">
      <alignment vertical="center" shrinkToFit="1"/>
    </xf>
    <xf numFmtId="0" fontId="76" fillId="0" borderId="5" xfId="6" applyFont="1" applyBorder="1" applyAlignment="1">
      <alignment vertical="center" shrinkToFit="1"/>
    </xf>
    <xf numFmtId="38" fontId="76" fillId="0" borderId="13" xfId="6" applyNumberFormat="1" applyFont="1" applyBorder="1" applyAlignment="1" applyProtection="1">
      <alignment vertical="center" shrinkToFit="1"/>
      <protection locked="0"/>
    </xf>
    <xf numFmtId="38" fontId="76" fillId="0" borderId="1" xfId="6" applyNumberFormat="1" applyFont="1" applyBorder="1" applyAlignment="1" applyProtection="1">
      <alignment vertical="center" shrinkToFit="1"/>
      <protection locked="0"/>
    </xf>
    <xf numFmtId="38" fontId="76" fillId="0" borderId="8" xfId="6" applyNumberFormat="1" applyFont="1" applyBorder="1" applyAlignment="1" applyProtection="1">
      <alignment vertical="center" shrinkToFit="1"/>
      <protection locked="0"/>
    </xf>
    <xf numFmtId="38" fontId="76" fillId="8" borderId="8" xfId="6" applyNumberFormat="1" applyFont="1" applyFill="1" applyBorder="1" applyAlignment="1">
      <alignment vertical="center" shrinkToFit="1"/>
    </xf>
    <xf numFmtId="38" fontId="76" fillId="0" borderId="69" xfId="6" applyNumberFormat="1" applyFont="1" applyBorder="1" applyAlignment="1" applyProtection="1">
      <alignment vertical="center" shrinkToFit="1"/>
      <protection locked="0"/>
    </xf>
    <xf numFmtId="38" fontId="76" fillId="0" borderId="90" xfId="6" applyNumberFormat="1" applyFont="1" applyBorder="1" applyAlignment="1" applyProtection="1">
      <alignment vertical="center" shrinkToFit="1"/>
      <protection locked="0"/>
    </xf>
    <xf numFmtId="0" fontId="76" fillId="0" borderId="197" xfId="6" applyFont="1" applyBorder="1" applyAlignment="1">
      <alignment vertical="center" shrinkToFit="1"/>
    </xf>
    <xf numFmtId="38" fontId="76" fillId="0" borderId="5" xfId="6" applyNumberFormat="1" applyFont="1" applyBorder="1" applyAlignment="1" applyProtection="1">
      <alignment vertical="center" shrinkToFit="1"/>
      <protection locked="0"/>
    </xf>
    <xf numFmtId="38" fontId="76" fillId="0" borderId="59" xfId="6" applyNumberFormat="1" applyFont="1" applyBorder="1" applyAlignment="1" applyProtection="1">
      <alignment vertical="center" shrinkToFit="1"/>
      <protection locked="0"/>
    </xf>
    <xf numFmtId="0" fontId="76" fillId="0" borderId="90" xfId="6" applyFont="1" applyBorder="1" applyAlignment="1">
      <alignment vertical="center" shrinkToFit="1"/>
    </xf>
    <xf numFmtId="0" fontId="76" fillId="0" borderId="8" xfId="6" applyFont="1" applyBorder="1" applyAlignment="1" applyProtection="1">
      <alignment horizontal="center" vertical="center" shrinkToFit="1"/>
      <protection locked="0"/>
    </xf>
    <xf numFmtId="38" fontId="76" fillId="0" borderId="9" xfId="6" applyNumberFormat="1" applyFont="1" applyBorder="1" applyAlignment="1" applyProtection="1">
      <alignment vertical="center" shrinkToFit="1"/>
      <protection locked="0"/>
    </xf>
    <xf numFmtId="38" fontId="76" fillId="0" borderId="10" xfId="6" applyNumberFormat="1" applyFont="1" applyBorder="1" applyAlignment="1" applyProtection="1">
      <alignment vertical="center" shrinkToFit="1"/>
      <protection locked="0"/>
    </xf>
    <xf numFmtId="38" fontId="76" fillId="0" borderId="58" xfId="6" applyNumberFormat="1" applyFont="1" applyBorder="1" applyAlignment="1" applyProtection="1">
      <alignment vertical="center" shrinkToFit="1"/>
      <protection locked="0"/>
    </xf>
    <xf numFmtId="0" fontId="76" fillId="0" borderId="9" xfId="6" applyFont="1" applyBorder="1" applyAlignment="1" applyProtection="1">
      <alignment horizontal="center" vertical="center" shrinkToFit="1"/>
      <protection locked="0"/>
    </xf>
    <xf numFmtId="0" fontId="76" fillId="0" borderId="70" xfId="6" applyFont="1" applyBorder="1" applyAlignment="1">
      <alignment vertical="center" shrinkToFit="1"/>
    </xf>
    <xf numFmtId="0" fontId="0" fillId="0" borderId="0" xfId="7" applyFont="1" applyAlignment="1">
      <alignment horizontal="center" vertical="center" wrapText="1" shrinkToFit="1"/>
    </xf>
    <xf numFmtId="197" fontId="84" fillId="9" borderId="1" xfId="6" applyNumberFormat="1" applyFont="1" applyFill="1" applyBorder="1" applyAlignment="1">
      <alignment horizontal="center" vertical="center" wrapText="1" shrinkToFit="1"/>
    </xf>
    <xf numFmtId="0" fontId="81"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86" fillId="9" borderId="91" xfId="4" applyFont="1" applyFill="1" applyBorder="1" applyAlignment="1">
      <alignment horizontal="center" vertical="center" wrapText="1"/>
    </xf>
    <xf numFmtId="0" fontId="86" fillId="9" borderId="5" xfId="4" applyFont="1" applyFill="1" applyBorder="1" applyAlignment="1">
      <alignment horizontal="center" vertical="center"/>
    </xf>
    <xf numFmtId="0" fontId="86" fillId="9" borderId="8" xfId="4" applyFont="1" applyFill="1" applyBorder="1" applyAlignment="1">
      <alignment horizontal="center" vertical="center"/>
    </xf>
    <xf numFmtId="0" fontId="86" fillId="9" borderId="59" xfId="4" applyFont="1" applyFill="1" applyBorder="1" applyAlignment="1">
      <alignment horizontal="center" vertical="center"/>
    </xf>
    <xf numFmtId="0" fontId="86" fillId="9" borderId="8" xfId="6" applyFont="1" applyFill="1" applyBorder="1" applyAlignment="1">
      <alignment horizontal="center" vertical="center"/>
    </xf>
    <xf numFmtId="0" fontId="86" fillId="9" borderId="5" xfId="6" applyFont="1" applyFill="1" applyBorder="1" applyAlignment="1">
      <alignment horizontal="center" vertical="center"/>
    </xf>
    <xf numFmtId="0" fontId="86" fillId="9" borderId="90" xfId="6" applyFont="1" applyFill="1" applyBorder="1" applyAlignment="1">
      <alignment horizontal="center" vertical="center"/>
    </xf>
    <xf numFmtId="0" fontId="87" fillId="0" borderId="0" xfId="4" applyFont="1"/>
    <xf numFmtId="0" fontId="86" fillId="0" borderId="0" xfId="6" applyFont="1" applyAlignment="1">
      <alignment horizontal="left" vertical="center"/>
    </xf>
    <xf numFmtId="0" fontId="87" fillId="0" borderId="138" xfId="4" applyFont="1" applyBorder="1" applyAlignment="1">
      <alignment horizontal="center" vertical="center"/>
    </xf>
    <xf numFmtId="0" fontId="87" fillId="0" borderId="0" xfId="4" applyFont="1" applyAlignment="1">
      <alignment horizontal="center" vertical="center"/>
    </xf>
    <xf numFmtId="0" fontId="88" fillId="0" borderId="138" xfId="4" applyFont="1" applyBorder="1" applyAlignment="1">
      <alignment horizontal="center" vertical="center"/>
    </xf>
    <xf numFmtId="0" fontId="88" fillId="0" borderId="0" xfId="4" applyFont="1" applyAlignment="1">
      <alignment horizontal="center" vertical="center"/>
    </xf>
    <xf numFmtId="0" fontId="73" fillId="0" borderId="0" xfId="4" applyFont="1" applyAlignment="1">
      <alignment horizontal="center" vertical="center"/>
    </xf>
    <xf numFmtId="0" fontId="90" fillId="0" borderId="0" xfId="4" applyFont="1" applyAlignment="1">
      <alignment vertical="top"/>
    </xf>
    <xf numFmtId="0" fontId="91" fillId="0" borderId="0" xfId="2" applyFont="1">
      <alignment vertical="center"/>
    </xf>
    <xf numFmtId="0" fontId="55" fillId="0" borderId="0" xfId="2" applyFont="1" applyAlignment="1">
      <alignment vertical="top"/>
    </xf>
    <xf numFmtId="0" fontId="55" fillId="0" borderId="0" xfId="2" applyFont="1" applyAlignment="1">
      <alignment vertical="top" wrapText="1"/>
    </xf>
    <xf numFmtId="38" fontId="55" fillId="8" borderId="161" xfId="3" applyFont="1" applyFill="1" applyBorder="1" applyAlignment="1" applyProtection="1">
      <alignment horizontal="right" vertical="center"/>
    </xf>
    <xf numFmtId="38" fontId="55" fillId="8" borderId="163" xfId="3" applyFont="1" applyFill="1" applyBorder="1" applyAlignment="1" applyProtection="1">
      <alignment horizontal="right" vertical="center"/>
    </xf>
    <xf numFmtId="38" fontId="55" fillId="0" borderId="61" xfId="3" applyFont="1" applyBorder="1" applyAlignment="1" applyProtection="1">
      <alignment horizontal="right" vertical="center"/>
    </xf>
    <xf numFmtId="38" fontId="55" fillId="0" borderId="9" xfId="3" applyFont="1" applyBorder="1" applyAlignment="1" applyProtection="1">
      <alignment horizontal="right" vertical="center"/>
    </xf>
    <xf numFmtId="0" fontId="55" fillId="0" borderId="9" xfId="2" applyFont="1" applyBorder="1" applyAlignment="1">
      <alignment horizontal="center" vertical="center"/>
    </xf>
    <xf numFmtId="0" fontId="55" fillId="0" borderId="70" xfId="2" applyFont="1" applyBorder="1" applyAlignment="1">
      <alignment horizontal="center" vertical="center"/>
    </xf>
    <xf numFmtId="0" fontId="55" fillId="0" borderId="49" xfId="2" applyFont="1" applyBorder="1" applyAlignment="1">
      <alignment horizontal="center" vertical="center"/>
    </xf>
    <xf numFmtId="0" fontId="7" fillId="0" borderId="0" xfId="2" applyAlignment="1">
      <alignment horizontal="left" vertical="top" wrapText="1"/>
    </xf>
    <xf numFmtId="0" fontId="61" fillId="0" borderId="0" xfId="2" applyFont="1" applyAlignment="1">
      <alignment horizontal="left" vertical="top" shrinkToFit="1"/>
    </xf>
    <xf numFmtId="0" fontId="55" fillId="9" borderId="0" xfId="2" applyFont="1" applyFill="1">
      <alignment vertical="center"/>
    </xf>
    <xf numFmtId="0" fontId="55" fillId="9" borderId="0" xfId="2" applyFont="1" applyFill="1" applyAlignment="1">
      <alignment horizontal="distributed" vertical="center"/>
    </xf>
    <xf numFmtId="0" fontId="61" fillId="9" borderId="0" xfId="2" applyFont="1" applyFill="1">
      <alignment vertical="center"/>
    </xf>
    <xf numFmtId="0" fontId="57" fillId="0" borderId="0" xfId="2" applyFont="1">
      <alignment vertical="center"/>
    </xf>
    <xf numFmtId="198" fontId="62" fillId="0" borderId="0" xfId="2" applyNumberFormat="1" applyFont="1" applyAlignment="1">
      <alignment horizontal="center" vertical="center"/>
    </xf>
    <xf numFmtId="0" fontId="93" fillId="9" borderId="0" xfId="2" applyFont="1" applyFill="1">
      <alignment vertical="center"/>
    </xf>
    <xf numFmtId="0" fontId="7" fillId="9" borderId="0" xfId="2" applyFill="1">
      <alignment vertical="center"/>
    </xf>
    <xf numFmtId="0" fontId="58" fillId="9" borderId="0" xfId="2" applyFont="1" applyFill="1">
      <alignment vertical="center"/>
    </xf>
    <xf numFmtId="0" fontId="94" fillId="9" borderId="0" xfId="2" applyFont="1" applyFill="1">
      <alignment vertical="center"/>
    </xf>
    <xf numFmtId="0" fontId="95" fillId="9" borderId="0" xfId="2" applyFont="1" applyFill="1">
      <alignment vertical="center"/>
    </xf>
    <xf numFmtId="0" fontId="96" fillId="9" borderId="0" xfId="2" applyFont="1" applyFill="1" applyAlignment="1">
      <alignment vertical="center" shrinkToFit="1"/>
    </xf>
    <xf numFmtId="0" fontId="97" fillId="9" borderId="0" xfId="2" applyFont="1" applyFill="1" applyAlignment="1">
      <alignment vertical="center" shrinkToFit="1"/>
    </xf>
    <xf numFmtId="0" fontId="97" fillId="9" borderId="0" xfId="2" applyFont="1" applyFill="1">
      <alignment vertical="center"/>
    </xf>
    <xf numFmtId="0" fontId="98" fillId="9" borderId="0" xfId="2" applyFont="1" applyFill="1">
      <alignment vertical="center"/>
    </xf>
    <xf numFmtId="0" fontId="99" fillId="9" borderId="0" xfId="2" applyFont="1" applyFill="1">
      <alignment vertical="center"/>
    </xf>
    <xf numFmtId="0" fontId="100" fillId="0" borderId="0" xfId="2" applyFont="1">
      <alignment vertical="center"/>
    </xf>
    <xf numFmtId="0" fontId="55" fillId="2" borderId="90" xfId="2" applyFont="1" applyFill="1" applyBorder="1" applyAlignment="1" applyProtection="1">
      <alignment horizontal="center" vertical="center" shrinkToFit="1"/>
      <protection locked="0"/>
    </xf>
    <xf numFmtId="0" fontId="55" fillId="2" borderId="8" xfId="2" applyFont="1" applyFill="1" applyBorder="1" applyAlignment="1" applyProtection="1">
      <alignment horizontal="center" vertical="center" shrinkToFit="1"/>
      <protection locked="0"/>
    </xf>
    <xf numFmtId="38" fontId="55" fillId="2" borderId="8" xfId="3" applyFont="1" applyFill="1" applyBorder="1" applyAlignment="1" applyProtection="1">
      <alignment horizontal="right" vertical="center" shrinkToFit="1"/>
      <protection locked="0"/>
    </xf>
    <xf numFmtId="38" fontId="55" fillId="2" borderId="60" xfId="3" applyFont="1" applyFill="1" applyBorder="1" applyAlignment="1" applyProtection="1">
      <alignment horizontal="right" vertical="center" shrinkToFit="1"/>
      <protection locked="0"/>
    </xf>
    <xf numFmtId="0" fontId="55" fillId="2" borderId="197" xfId="2" applyFont="1" applyFill="1" applyBorder="1" applyAlignment="1" applyProtection="1">
      <alignment horizontal="center" vertical="center" shrinkToFit="1"/>
      <protection locked="0"/>
    </xf>
    <xf numFmtId="0" fontId="55" fillId="2" borderId="1" xfId="2" applyFont="1" applyFill="1" applyBorder="1" applyAlignment="1" applyProtection="1">
      <alignment horizontal="center" vertical="center" shrinkToFit="1"/>
      <protection locked="0"/>
    </xf>
    <xf numFmtId="38" fontId="55" fillId="2" borderId="1" xfId="3" applyFont="1" applyFill="1" applyBorder="1" applyAlignment="1" applyProtection="1">
      <alignment horizontal="right" vertical="center" shrinkToFit="1"/>
      <protection locked="0"/>
    </xf>
    <xf numFmtId="38" fontId="55" fillId="2" borderId="132" xfId="3" applyFont="1" applyFill="1" applyBorder="1" applyAlignment="1" applyProtection="1">
      <alignment horizontal="right" vertical="center" shrinkToFit="1"/>
      <protection locked="0"/>
    </xf>
    <xf numFmtId="0" fontId="63" fillId="0" borderId="0" xfId="2" applyFont="1" applyAlignment="1">
      <alignment horizontal="left" vertical="center"/>
    </xf>
    <xf numFmtId="0" fontId="100" fillId="0" borderId="8" xfId="4" applyFont="1" applyBorder="1"/>
    <xf numFmtId="0" fontId="51" fillId="2" borderId="31" xfId="0" applyFont="1" applyFill="1" applyBorder="1" applyAlignment="1" applyProtection="1">
      <alignment horizontal="center" vertical="center"/>
      <protection locked="0"/>
    </xf>
    <xf numFmtId="0" fontId="51" fillId="2" borderId="31" xfId="0" applyFont="1" applyFill="1" applyBorder="1" applyAlignment="1" applyProtection="1">
      <alignment horizontal="center" vertical="center" shrinkToFit="1"/>
      <protection locked="0"/>
    </xf>
    <xf numFmtId="0" fontId="51" fillId="2" borderId="31" xfId="0" applyFont="1" applyFill="1" applyBorder="1" applyProtection="1">
      <alignment vertical="center"/>
      <protection locked="0"/>
    </xf>
    <xf numFmtId="0" fontId="53" fillId="2" borderId="31" xfId="0" applyFont="1" applyFill="1" applyBorder="1" applyProtection="1">
      <alignment vertical="center"/>
      <protection locked="0"/>
    </xf>
    <xf numFmtId="0" fontId="7" fillId="0" borderId="0" xfId="2" applyAlignment="1" applyProtection="1">
      <alignment vertical="center" wrapText="1"/>
    </xf>
    <xf numFmtId="0" fontId="58" fillId="0" borderId="0" xfId="2" applyFont="1" applyAlignment="1" applyProtection="1">
      <alignment horizontal="center" vertical="center"/>
    </xf>
    <xf numFmtId="0" fontId="55" fillId="0" borderId="0" xfId="2" applyFont="1" applyProtection="1">
      <alignment vertical="center"/>
    </xf>
    <xf numFmtId="0" fontId="55" fillId="0" borderId="149" xfId="2" applyFont="1" applyBorder="1" applyProtection="1">
      <alignment vertical="center"/>
    </xf>
    <xf numFmtId="0" fontId="55" fillId="0" borderId="182" xfId="2" applyFont="1" applyBorder="1" applyProtection="1">
      <alignment vertical="center"/>
    </xf>
    <xf numFmtId="0" fontId="55" fillId="0" borderId="182" xfId="2" applyFont="1" applyBorder="1" applyAlignment="1" applyProtection="1">
      <alignment horizontal="center" vertical="center" wrapText="1"/>
    </xf>
    <xf numFmtId="0" fontId="55" fillId="0" borderId="182" xfId="2" applyFont="1" applyBorder="1" applyAlignment="1" applyProtection="1">
      <alignment horizontal="distributed" vertical="center"/>
    </xf>
    <xf numFmtId="0" fontId="55" fillId="0" borderId="147" xfId="2" applyFont="1" applyBorder="1" applyProtection="1">
      <alignment vertical="center"/>
    </xf>
    <xf numFmtId="0" fontId="55" fillId="0" borderId="147" xfId="2" applyFont="1" applyBorder="1" applyAlignment="1" applyProtection="1">
      <alignment horizontal="center" vertical="center" wrapText="1"/>
    </xf>
    <xf numFmtId="0" fontId="55" fillId="0" borderId="147" xfId="2" applyFont="1" applyBorder="1" applyAlignment="1" applyProtection="1">
      <alignment horizontal="distributed" vertical="center"/>
    </xf>
    <xf numFmtId="0" fontId="55" fillId="0" borderId="152" xfId="2" applyFont="1" applyBorder="1" applyProtection="1">
      <alignment vertical="center"/>
    </xf>
    <xf numFmtId="0" fontId="55" fillId="0" borderId="0" xfId="2" applyFont="1" applyAlignment="1" applyProtection="1">
      <alignment horizontal="center" vertical="center" wrapText="1"/>
    </xf>
    <xf numFmtId="0" fontId="55" fillId="0" borderId="0" xfId="2" applyFont="1" applyAlignment="1" applyProtection="1">
      <alignment horizontal="distributed" vertical="center"/>
    </xf>
    <xf numFmtId="0" fontId="55" fillId="0" borderId="154" xfId="2" applyFont="1" applyBorder="1" applyProtection="1">
      <alignment vertical="center"/>
    </xf>
    <xf numFmtId="0" fontId="55" fillId="0" borderId="154" xfId="2" applyFont="1" applyBorder="1" applyAlignment="1" applyProtection="1">
      <alignment horizontal="center" vertical="center" wrapText="1"/>
    </xf>
    <xf numFmtId="0" fontId="55" fillId="0" borderId="147" xfId="2" applyFont="1" applyBorder="1" applyAlignment="1" applyProtection="1">
      <alignment vertical="center" wrapText="1"/>
    </xf>
    <xf numFmtId="0" fontId="55" fillId="0" borderId="39" xfId="2" applyFont="1" applyBorder="1" applyProtection="1">
      <alignment vertical="center"/>
    </xf>
    <xf numFmtId="0" fontId="55" fillId="0" borderId="33" xfId="2" applyFont="1" applyBorder="1" applyAlignment="1" applyProtection="1">
      <alignment horizontal="center" vertical="center" wrapText="1"/>
    </xf>
    <xf numFmtId="0" fontId="55" fillId="0" borderId="152" xfId="2" applyFont="1" applyBorder="1" applyAlignment="1" applyProtection="1">
      <alignment horizontal="center" vertical="center" wrapText="1"/>
    </xf>
    <xf numFmtId="0" fontId="55" fillId="0" borderId="152" xfId="2" applyFont="1" applyBorder="1" applyAlignment="1" applyProtection="1">
      <alignment horizontal="distributed" vertical="center"/>
    </xf>
    <xf numFmtId="0" fontId="55" fillId="0" borderId="40" xfId="2" applyFont="1" applyBorder="1" applyProtection="1">
      <alignment vertical="center"/>
    </xf>
    <xf numFmtId="0" fontId="55" fillId="0" borderId="154" xfId="2" applyFont="1" applyBorder="1" applyAlignment="1" applyProtection="1">
      <alignment horizontal="distributed" vertical="center"/>
    </xf>
    <xf numFmtId="0" fontId="55" fillId="0" borderId="176" xfId="2" applyFont="1" applyBorder="1" applyProtection="1">
      <alignment vertical="center"/>
    </xf>
    <xf numFmtId="0" fontId="55" fillId="0" borderId="80" xfId="2" applyFont="1" applyBorder="1" applyProtection="1">
      <alignment vertical="center"/>
    </xf>
    <xf numFmtId="0" fontId="55" fillId="0" borderId="139" xfId="2" applyFont="1" applyBorder="1" applyProtection="1">
      <alignment vertical="center"/>
    </xf>
    <xf numFmtId="0" fontId="55" fillId="0" borderId="139" xfId="2" applyFont="1" applyBorder="1" applyAlignment="1" applyProtection="1">
      <alignment horizontal="center" vertical="center" wrapText="1"/>
    </xf>
    <xf numFmtId="0" fontId="55" fillId="0" borderId="139" xfId="2" applyFont="1" applyBorder="1" applyAlignment="1" applyProtection="1">
      <alignment horizontal="distributed" vertical="center"/>
    </xf>
    <xf numFmtId="0" fontId="7" fillId="0" borderId="0" xfId="2" applyProtection="1">
      <alignment vertical="center"/>
    </xf>
    <xf numFmtId="0" fontId="55" fillId="0" borderId="172" xfId="2" applyFont="1" applyBorder="1" applyProtection="1">
      <alignment vertical="center"/>
    </xf>
    <xf numFmtId="0" fontId="55" fillId="0" borderId="149" xfId="2" applyFont="1" applyBorder="1" applyAlignment="1" applyProtection="1">
      <alignment horizontal="center" vertical="center" wrapText="1"/>
    </xf>
    <xf numFmtId="0" fontId="55" fillId="0" borderId="149" xfId="2" applyFont="1" applyBorder="1" applyAlignment="1" applyProtection="1">
      <alignment horizontal="distributed" vertical="center"/>
    </xf>
    <xf numFmtId="0" fontId="55" fillId="0" borderId="148" xfId="2" applyFont="1" applyBorder="1" applyAlignment="1" applyProtection="1">
      <alignment horizontal="center" vertical="center" wrapText="1"/>
    </xf>
    <xf numFmtId="0" fontId="55" fillId="0" borderId="151" xfId="2" applyFont="1" applyBorder="1" applyAlignment="1" applyProtection="1">
      <alignment horizontal="center" vertical="center" wrapText="1"/>
    </xf>
    <xf numFmtId="0" fontId="55" fillId="0" borderId="146" xfId="2" applyFont="1" applyBorder="1" applyAlignment="1" applyProtection="1">
      <alignment horizontal="center" vertical="center" wrapText="1"/>
    </xf>
    <xf numFmtId="0" fontId="55" fillId="0" borderId="153" xfId="2" applyFont="1" applyBorder="1" applyAlignment="1" applyProtection="1">
      <alignment horizontal="center" vertical="center" wrapText="1"/>
    </xf>
    <xf numFmtId="0" fontId="55" fillId="0" borderId="179" xfId="2" applyFont="1" applyBorder="1" applyProtection="1">
      <alignment vertical="center"/>
    </xf>
    <xf numFmtId="0" fontId="55" fillId="0" borderId="178" xfId="2" applyFont="1" applyBorder="1" applyProtection="1">
      <alignment vertical="center"/>
    </xf>
    <xf numFmtId="0" fontId="55" fillId="0" borderId="178" xfId="2" applyFont="1" applyBorder="1" applyAlignment="1" applyProtection="1">
      <alignment horizontal="center" vertical="center" wrapText="1"/>
    </xf>
    <xf numFmtId="0" fontId="55" fillId="0" borderId="178" xfId="2" applyFont="1" applyBorder="1" applyAlignment="1" applyProtection="1">
      <alignment horizontal="distributed" vertical="center"/>
    </xf>
    <xf numFmtId="0" fontId="55" fillId="0" borderId="177" xfId="2" applyFont="1" applyBorder="1" applyAlignment="1" applyProtection="1">
      <alignment horizontal="center" vertical="center" wrapText="1"/>
    </xf>
    <xf numFmtId="0" fontId="55" fillId="0" borderId="146" xfId="2" applyFont="1" applyBorder="1" applyAlignment="1" applyProtection="1">
      <alignment vertical="center" wrapText="1"/>
    </xf>
    <xf numFmtId="0" fontId="55" fillId="0" borderId="13" xfId="2" applyFont="1" applyBorder="1" applyProtection="1">
      <alignment vertical="center"/>
    </xf>
    <xf numFmtId="0" fontId="55" fillId="0" borderId="138" xfId="2" applyFont="1" applyBorder="1" applyAlignment="1" applyProtection="1">
      <alignment horizontal="center" vertical="center" wrapText="1"/>
    </xf>
    <xf numFmtId="0" fontId="55" fillId="0" borderId="181" xfId="2" applyFont="1" applyBorder="1" applyAlignment="1" applyProtection="1">
      <alignment horizontal="center" vertical="center" wrapText="1"/>
    </xf>
    <xf numFmtId="0" fontId="55" fillId="0" borderId="104" xfId="2" applyFont="1" applyBorder="1" applyAlignment="1" applyProtection="1">
      <alignment horizontal="center" vertical="center" wrapText="1"/>
    </xf>
    <xf numFmtId="0" fontId="55" fillId="0" borderId="34" xfId="2" applyFont="1" applyBorder="1" applyAlignment="1" applyProtection="1">
      <alignment horizontal="center" vertical="center" wrapText="1"/>
    </xf>
    <xf numFmtId="0" fontId="55" fillId="0" borderId="32" xfId="2" applyFont="1" applyBorder="1" applyAlignment="1" applyProtection="1">
      <alignment horizontal="center" vertical="center" wrapText="1"/>
    </xf>
    <xf numFmtId="0" fontId="58" fillId="0" borderId="138" xfId="2" applyFont="1" applyBorder="1" applyAlignment="1" applyProtection="1">
      <alignment horizontal="center" vertical="center"/>
    </xf>
    <xf numFmtId="0" fontId="58" fillId="0" borderId="161" xfId="2" applyFont="1" applyBorder="1" applyAlignment="1" applyProtection="1">
      <alignment horizontal="center" vertical="center"/>
    </xf>
    <xf numFmtId="0" fontId="55" fillId="0" borderId="50" xfId="2" applyFont="1" applyBorder="1" applyProtection="1">
      <alignment vertical="center"/>
    </xf>
    <xf numFmtId="0" fontId="55" fillId="0" borderId="50" xfId="2" applyFont="1" applyBorder="1" applyAlignment="1" applyProtection="1">
      <alignment horizontal="center" vertical="center" wrapText="1"/>
    </xf>
    <xf numFmtId="0" fontId="55" fillId="0" borderId="50" xfId="2" applyFont="1" applyBorder="1" applyAlignment="1" applyProtection="1">
      <alignment horizontal="distributed" vertical="center"/>
    </xf>
    <xf numFmtId="0" fontId="58" fillId="0" borderId="51" xfId="2" applyFont="1" applyBorder="1" applyProtection="1">
      <alignment vertical="center"/>
    </xf>
    <xf numFmtId="0" fontId="58" fillId="0" borderId="148" xfId="2" applyFont="1" applyBorder="1" applyProtection="1">
      <alignment vertical="center"/>
    </xf>
    <xf numFmtId="0" fontId="55" fillId="0" borderId="144" xfId="2" applyFont="1" applyBorder="1" applyProtection="1">
      <alignment vertical="center"/>
    </xf>
    <xf numFmtId="0" fontId="55" fillId="0" borderId="144" xfId="2" applyFont="1" applyBorder="1" applyAlignment="1" applyProtection="1">
      <alignment horizontal="distributed" vertical="center"/>
    </xf>
    <xf numFmtId="0" fontId="55" fillId="0" borderId="144" xfId="2" applyFont="1" applyBorder="1" applyAlignment="1" applyProtection="1">
      <alignment horizontal="center" vertical="center" wrapText="1"/>
    </xf>
    <xf numFmtId="0" fontId="58" fillId="0" borderId="143" xfId="2" applyFont="1" applyBorder="1" applyProtection="1">
      <alignment vertical="center"/>
    </xf>
    <xf numFmtId="0" fontId="55" fillId="0" borderId="0" xfId="2" applyFont="1" applyAlignment="1" applyProtection="1">
      <alignment horizontal="distributed" vertical="center" wrapText="1"/>
    </xf>
    <xf numFmtId="0" fontId="58" fillId="0" borderId="0" xfId="2" applyFont="1" applyProtection="1">
      <alignment vertical="center"/>
    </xf>
    <xf numFmtId="0" fontId="55" fillId="0" borderId="0" xfId="2" applyFont="1" applyAlignment="1" applyProtection="1">
      <alignment vertical="center" shrinkToFit="1"/>
    </xf>
    <xf numFmtId="0" fontId="58" fillId="0" borderId="10" xfId="2" applyFont="1" applyBorder="1" applyProtection="1">
      <alignment vertical="center"/>
    </xf>
    <xf numFmtId="0" fontId="55" fillId="0" borderId="10" xfId="2" applyFont="1" applyBorder="1" applyAlignment="1" applyProtection="1">
      <alignment vertical="center" shrinkToFit="1"/>
    </xf>
    <xf numFmtId="0" fontId="65" fillId="0" borderId="0" xfId="2" applyFont="1" applyProtection="1">
      <alignment vertical="center"/>
    </xf>
    <xf numFmtId="0" fontId="62" fillId="0" borderId="0" xfId="2" applyFont="1" applyAlignment="1" applyProtection="1">
      <alignment horizontal="center" vertical="center"/>
    </xf>
    <xf numFmtId="0" fontId="55" fillId="0" borderId="0" xfId="2" applyFont="1" applyAlignment="1" applyProtection="1">
      <alignment horizontal="right" vertical="center"/>
    </xf>
    <xf numFmtId="0" fontId="55" fillId="0" borderId="5" xfId="2" applyFont="1" applyBorder="1" applyProtection="1">
      <alignment vertical="center"/>
    </xf>
    <xf numFmtId="0" fontId="55" fillId="0" borderId="7" xfId="2" applyFont="1" applyBorder="1" applyProtection="1">
      <alignment vertical="center"/>
    </xf>
    <xf numFmtId="0" fontId="55" fillId="0" borderId="6" xfId="2" applyFont="1" applyBorder="1" applyProtection="1">
      <alignment vertical="center"/>
    </xf>
    <xf numFmtId="0" fontId="68" fillId="11" borderId="51" xfId="2" applyFont="1" applyFill="1" applyBorder="1" applyProtection="1">
      <alignment vertical="center"/>
    </xf>
    <xf numFmtId="0" fontId="58" fillId="0" borderId="9" xfId="2" applyFont="1" applyBorder="1" applyAlignment="1" applyProtection="1">
      <alignment horizontal="center" vertical="center"/>
    </xf>
    <xf numFmtId="0" fontId="58" fillId="0" borderId="6" xfId="2" applyFont="1" applyBorder="1" applyAlignment="1" applyProtection="1">
      <alignment horizontal="right" vertical="center"/>
    </xf>
    <xf numFmtId="0" fontId="58" fillId="0" borderId="4" xfId="2" applyFont="1" applyBorder="1" applyAlignment="1" applyProtection="1">
      <alignment horizontal="right" vertical="center"/>
    </xf>
    <xf numFmtId="0" fontId="58" fillId="0" borderId="0" xfId="2" applyFont="1" applyAlignment="1" applyProtection="1">
      <alignment horizontal="right" vertical="center"/>
    </xf>
    <xf numFmtId="0" fontId="58" fillId="0" borderId="8" xfId="2" applyFont="1" applyBorder="1" applyAlignment="1" applyProtection="1">
      <alignment horizontal="center" vertical="center"/>
    </xf>
    <xf numFmtId="0" fontId="58" fillId="0" borderId="12" xfId="2" applyFont="1" applyBorder="1" applyAlignment="1" applyProtection="1">
      <alignment horizontal="right" vertical="center"/>
    </xf>
    <xf numFmtId="0" fontId="58" fillId="0" borderId="0" xfId="2" applyFont="1" applyAlignment="1" applyProtection="1">
      <alignment horizontal="left" vertical="center" wrapText="1"/>
    </xf>
    <xf numFmtId="38" fontId="70" fillId="9" borderId="0" xfId="3" applyFont="1" applyFill="1" applyBorder="1" applyAlignment="1" applyProtection="1">
      <alignment horizontal="center" vertical="center"/>
    </xf>
    <xf numFmtId="0" fontId="58" fillId="9" borderId="0" xfId="2" applyFont="1" applyFill="1" applyAlignment="1" applyProtection="1">
      <alignment horizontal="right" vertical="center"/>
    </xf>
    <xf numFmtId="0" fontId="58" fillId="0" borderId="3" xfId="2" applyFont="1" applyBorder="1" applyAlignment="1" applyProtection="1">
      <alignment horizontal="center" vertical="center"/>
    </xf>
    <xf numFmtId="0" fontId="68" fillId="11" borderId="31" xfId="2" applyFont="1" applyFill="1" applyBorder="1" applyProtection="1">
      <alignment vertical="center"/>
    </xf>
    <xf numFmtId="0" fontId="58" fillId="0" borderId="13" xfId="2" applyFont="1" applyBorder="1" applyAlignment="1" applyProtection="1">
      <alignment horizontal="center" vertical="center"/>
    </xf>
    <xf numFmtId="0" fontId="63" fillId="0" borderId="0" xfId="2" applyFont="1" applyProtection="1">
      <alignment vertical="center"/>
    </xf>
    <xf numFmtId="0" fontId="63" fillId="0" borderId="0" xfId="2" applyFont="1" applyAlignment="1" applyProtection="1">
      <alignment horizontal="right" vertical="center"/>
    </xf>
    <xf numFmtId="192" fontId="63" fillId="0" borderId="8" xfId="2" applyNumberFormat="1" applyFont="1" applyBorder="1" applyProtection="1">
      <alignment vertical="center"/>
    </xf>
    <xf numFmtId="0" fontId="55" fillId="0" borderId="0" xfId="2" applyFont="1" applyAlignment="1" applyProtection="1">
      <alignment horizontal="center" vertical="top"/>
    </xf>
    <xf numFmtId="0" fontId="58" fillId="0" borderId="14" xfId="2" applyFont="1" applyBorder="1" applyAlignment="1" applyProtection="1">
      <alignment horizontal="center" vertical="center"/>
    </xf>
    <xf numFmtId="38" fontId="70" fillId="9" borderId="0" xfId="2" applyNumberFormat="1" applyFont="1" applyFill="1" applyAlignment="1" applyProtection="1">
      <alignment horizontal="right"/>
    </xf>
    <xf numFmtId="0" fontId="58" fillId="0" borderId="1" xfId="2" applyFont="1" applyBorder="1" applyProtection="1">
      <alignment vertical="center"/>
    </xf>
    <xf numFmtId="0" fontId="58" fillId="0" borderId="8" xfId="2" applyFont="1" applyBorder="1" applyProtection="1">
      <alignment vertical="center"/>
    </xf>
    <xf numFmtId="0" fontId="61" fillId="0" borderId="0" xfId="2" applyFont="1" applyAlignment="1" applyProtection="1">
      <alignment horizontal="left" vertical="top"/>
    </xf>
    <xf numFmtId="0" fontId="61" fillId="0" borderId="0" xfId="2" applyFont="1" applyAlignment="1" applyProtection="1">
      <alignment horizontal="left" vertical="center"/>
    </xf>
    <xf numFmtId="0" fontId="76" fillId="0" borderId="188" xfId="6" applyFont="1" applyBorder="1" applyAlignment="1" applyProtection="1">
      <alignment horizontal="center" vertical="center" shrinkToFit="1"/>
    </xf>
    <xf numFmtId="196" fontId="76" fillId="0" borderId="200" xfId="6" applyNumberFormat="1" applyFont="1" applyBorder="1" applyAlignment="1" applyProtection="1">
      <alignment horizontal="center" vertical="center" shrinkToFit="1"/>
    </xf>
    <xf numFmtId="0" fontId="76" fillId="0" borderId="201" xfId="6" applyFont="1" applyBorder="1" applyAlignment="1" applyProtection="1">
      <alignment horizontal="center" vertical="center" shrinkToFit="1"/>
    </xf>
    <xf numFmtId="0" fontId="76" fillId="0" borderId="193" xfId="6" applyFont="1" applyBorder="1" applyAlignment="1" applyProtection="1">
      <alignment horizontal="center" vertical="center" shrinkToFit="1"/>
    </xf>
    <xf numFmtId="196" fontId="76" fillId="0" borderId="191" xfId="6" applyNumberFormat="1" applyFont="1" applyBorder="1" applyAlignment="1" applyProtection="1">
      <alignment horizontal="center" vertical="center" shrinkToFit="1"/>
    </xf>
    <xf numFmtId="0" fontId="76" fillId="0" borderId="188" xfId="6" applyFont="1" applyBorder="1" applyAlignment="1" applyProtection="1">
      <alignment vertical="center" shrinkToFit="1"/>
    </xf>
    <xf numFmtId="0" fontId="76" fillId="0" borderId="196" xfId="6" applyFont="1" applyBorder="1" applyAlignment="1" applyProtection="1">
      <alignment vertical="center" shrinkToFit="1"/>
    </xf>
    <xf numFmtId="0" fontId="76" fillId="0" borderId="190" xfId="6" applyFont="1" applyBorder="1" applyAlignment="1" applyProtection="1">
      <alignment horizontal="center" vertical="center" shrinkToFit="1"/>
    </xf>
    <xf numFmtId="196" fontId="76" fillId="0" borderId="195" xfId="6" applyNumberFormat="1" applyFont="1" applyBorder="1" applyAlignment="1" applyProtection="1">
      <alignment horizontal="center" vertical="center" shrinkToFit="1"/>
    </xf>
    <xf numFmtId="0" fontId="55" fillId="9" borderId="0" xfId="2" applyFont="1" applyFill="1" applyProtection="1">
      <alignment vertical="center"/>
    </xf>
    <xf numFmtId="58" fontId="55" fillId="0" borderId="0" xfId="2" applyNumberFormat="1" applyFont="1" applyProtection="1">
      <alignment vertical="center"/>
    </xf>
    <xf numFmtId="0" fontId="58" fillId="0" borderId="12" xfId="2" applyFont="1" applyBorder="1" applyAlignment="1">
      <alignment horizontal="right" vertical="center"/>
    </xf>
    <xf numFmtId="0" fontId="76" fillId="0" borderId="14" xfId="6" applyFont="1" applyBorder="1" applyAlignment="1" applyProtection="1">
      <alignment horizontal="center" vertical="center" shrinkToFit="1"/>
      <protection locked="0"/>
    </xf>
    <xf numFmtId="38" fontId="76" fillId="0" borderId="8" xfId="1" applyFont="1" applyBorder="1" applyAlignment="1" applyProtection="1">
      <alignment vertical="center" shrinkToFit="1"/>
      <protection locked="0"/>
    </xf>
    <xf numFmtId="0" fontId="101" fillId="0" borderId="0" xfId="4" applyFont="1"/>
    <xf numFmtId="0" fontId="84" fillId="0" borderId="0" xfId="4" applyFont="1"/>
    <xf numFmtId="0" fontId="88" fillId="0" borderId="8" xfId="4" applyFont="1" applyBorder="1" applyAlignment="1">
      <alignment horizontal="center"/>
    </xf>
    <xf numFmtId="0" fontId="88" fillId="0" borderId="8" xfId="4" applyFont="1" applyBorder="1"/>
    <xf numFmtId="0" fontId="88" fillId="0" borderId="8" xfId="4" applyFont="1" applyBorder="1" applyAlignment="1">
      <alignment shrinkToFit="1"/>
    </xf>
    <xf numFmtId="0" fontId="102" fillId="0" borderId="0" xfId="0" applyFont="1" applyAlignment="1">
      <alignment vertical="top" textRotation="255" wrapText="1"/>
    </xf>
    <xf numFmtId="0" fontId="102" fillId="0" borderId="0" xfId="0" applyFont="1" applyAlignment="1">
      <alignment vertical="center" shrinkToFit="1"/>
    </xf>
    <xf numFmtId="0" fontId="55" fillId="0" borderId="161" xfId="2" applyFont="1" applyFill="1" applyBorder="1" applyAlignment="1" applyProtection="1">
      <alignment vertical="center" wrapText="1"/>
    </xf>
    <xf numFmtId="0" fontId="55" fillId="0" borderId="170" xfId="2" applyFont="1" applyFill="1" applyBorder="1" applyAlignment="1" applyProtection="1">
      <alignment vertical="center" wrapText="1"/>
    </xf>
    <xf numFmtId="0" fontId="55" fillId="0" borderId="170" xfId="2" applyFont="1" applyBorder="1" applyAlignment="1" applyProtection="1">
      <alignment horizontal="right" vertical="center"/>
    </xf>
    <xf numFmtId="0" fontId="58" fillId="0" borderId="167" xfId="2" applyFont="1" applyBorder="1">
      <alignment vertical="center"/>
    </xf>
    <xf numFmtId="0" fontId="58" fillId="0" borderId="116" xfId="2" applyFont="1" applyBorder="1">
      <alignment vertical="center"/>
    </xf>
    <xf numFmtId="0" fontId="58" fillId="0" borderId="132" xfId="2" applyFont="1" applyBorder="1">
      <alignment vertical="center"/>
    </xf>
    <xf numFmtId="0" fontId="58" fillId="0" borderId="138" xfId="2" applyFont="1" applyBorder="1">
      <alignment vertical="center"/>
    </xf>
    <xf numFmtId="0" fontId="58" fillId="0" borderId="0" xfId="2" applyFont="1" applyBorder="1">
      <alignment vertical="center"/>
    </xf>
    <xf numFmtId="38" fontId="58" fillId="0" borderId="10" xfId="3" applyFont="1" applyFill="1" applyBorder="1" applyAlignment="1" applyProtection="1">
      <alignment vertical="center"/>
      <protection locked="0"/>
    </xf>
    <xf numFmtId="38" fontId="58" fillId="0" borderId="61" xfId="3" applyFont="1" applyFill="1" applyBorder="1" applyAlignment="1" applyProtection="1">
      <alignment vertical="center"/>
      <protection locked="0"/>
    </xf>
    <xf numFmtId="0" fontId="73" fillId="0" borderId="0" xfId="0" applyFont="1" applyAlignment="1"/>
    <xf numFmtId="0" fontId="102" fillId="0" borderId="0" xfId="0" applyFont="1" applyFill="1" applyAlignment="1">
      <alignment vertical="top" textRotation="255" wrapText="1"/>
    </xf>
    <xf numFmtId="189" fontId="29" fillId="0" borderId="137" xfId="0" applyNumberFormat="1" applyFont="1" applyFill="1" applyBorder="1" applyProtection="1">
      <alignment vertical="center"/>
    </xf>
    <xf numFmtId="195" fontId="76" fillId="0" borderId="163" xfId="4" applyNumberFormat="1" applyFont="1" applyBorder="1" applyAlignment="1" applyProtection="1">
      <alignment vertical="center"/>
      <protection locked="0"/>
    </xf>
    <xf numFmtId="38" fontId="76" fillId="0" borderId="163" xfId="6" applyNumberFormat="1" applyFont="1" applyBorder="1" applyAlignment="1" applyProtection="1">
      <alignment vertical="center" shrinkToFit="1"/>
      <protection locked="0"/>
    </xf>
    <xf numFmtId="38" fontId="76" fillId="0" borderId="156" xfId="6" applyNumberFormat="1" applyFont="1" applyBorder="1" applyAlignment="1" applyProtection="1">
      <alignment vertical="center" shrinkToFit="1"/>
      <protection locked="0"/>
    </xf>
    <xf numFmtId="0" fontId="21" fillId="0" borderId="88" xfId="0" applyFont="1" applyBorder="1" applyAlignment="1">
      <alignment horizontal="center" vertical="center" wrapText="1"/>
    </xf>
    <xf numFmtId="0" fontId="21" fillId="0" borderId="89" xfId="0" applyFont="1" applyBorder="1" applyAlignment="1">
      <alignment horizontal="center" vertical="center" wrapText="1"/>
    </xf>
    <xf numFmtId="0" fontId="21" fillId="9" borderId="59" xfId="0" applyFont="1" applyFill="1" applyBorder="1" applyAlignment="1">
      <alignment horizontal="center" vertical="center"/>
    </xf>
    <xf numFmtId="0" fontId="21" fillId="9" borderId="7" xfId="0" applyFont="1" applyFill="1" applyBorder="1" applyAlignment="1">
      <alignment horizontal="center" vertical="center"/>
    </xf>
    <xf numFmtId="0" fontId="21" fillId="9" borderId="60" xfId="0" applyFont="1" applyFill="1" applyBorder="1" applyAlignment="1">
      <alignment horizontal="center" vertical="center"/>
    </xf>
    <xf numFmtId="184" fontId="21" fillId="0" borderId="59" xfId="0" applyNumberFormat="1" applyFont="1" applyBorder="1" applyAlignment="1">
      <alignment horizontal="center" vertical="center"/>
    </xf>
    <xf numFmtId="184" fontId="21" fillId="0" borderId="7" xfId="0" applyNumberFormat="1" applyFont="1" applyBorder="1" applyAlignment="1">
      <alignment horizontal="center" vertical="center"/>
    </xf>
    <xf numFmtId="184" fontId="21" fillId="0" borderId="60" xfId="0" applyNumberFormat="1" applyFont="1" applyBorder="1" applyAlignment="1">
      <alignment horizontal="center" vertical="center"/>
    </xf>
    <xf numFmtId="0" fontId="21" fillId="2" borderId="49" xfId="0" applyFont="1" applyFill="1" applyBorder="1" applyAlignment="1" applyProtection="1">
      <alignment horizontal="left" vertical="top"/>
      <protection locked="0"/>
    </xf>
    <xf numFmtId="0" fontId="21" fillId="2" borderId="50" xfId="0" applyFont="1" applyFill="1" applyBorder="1" applyAlignment="1" applyProtection="1">
      <alignment horizontal="left" vertical="top"/>
      <protection locked="0"/>
    </xf>
    <xf numFmtId="0" fontId="21" fillId="2" borderId="51" xfId="0" applyFont="1" applyFill="1" applyBorder="1" applyAlignment="1" applyProtection="1">
      <alignment horizontal="left" vertical="top"/>
      <protection locked="0"/>
    </xf>
    <xf numFmtId="0" fontId="21" fillId="0" borderId="59" xfId="0" applyFont="1" applyBorder="1" applyAlignment="1">
      <alignment horizontal="left" vertical="center"/>
    </xf>
    <xf numFmtId="0" fontId="21" fillId="0" borderId="6" xfId="0" applyFont="1" applyBorder="1" applyAlignment="1">
      <alignment horizontal="left" vertical="center"/>
    </xf>
    <xf numFmtId="0" fontId="21" fillId="0" borderId="69" xfId="0" applyFont="1" applyBorder="1" applyAlignment="1">
      <alignment horizontal="left" vertical="center"/>
    </xf>
    <xf numFmtId="0" fontId="21" fillId="0" borderId="0" xfId="0" applyFont="1" applyAlignment="1">
      <alignment horizontal="left" vertical="center"/>
    </xf>
    <xf numFmtId="0" fontId="21" fillId="0" borderId="93" xfId="0" applyFont="1" applyBorder="1" applyAlignment="1">
      <alignment horizontal="left" vertical="center"/>
    </xf>
    <xf numFmtId="0" fontId="21" fillId="0" borderId="94" xfId="0" applyFont="1" applyBorder="1" applyAlignment="1">
      <alignment horizontal="left" vertical="center"/>
    </xf>
    <xf numFmtId="0" fontId="21" fillId="0" borderId="78" xfId="0" applyFont="1" applyBorder="1" applyAlignment="1">
      <alignment horizontal="left" vertical="center"/>
    </xf>
    <xf numFmtId="0" fontId="21" fillId="0" borderId="79" xfId="0" applyFont="1" applyBorder="1" applyAlignment="1">
      <alignment horizontal="left" vertical="center"/>
    </xf>
    <xf numFmtId="0" fontId="21" fillId="0" borderId="99" xfId="0" applyFont="1" applyBorder="1" applyAlignment="1">
      <alignment horizontal="left" vertical="center"/>
    </xf>
    <xf numFmtId="0" fontId="21" fillId="0" borderId="100" xfId="0" applyFont="1" applyBorder="1" applyAlignment="1">
      <alignment horizontal="left" vertical="center"/>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1" xfId="0" applyFont="1" applyBorder="1" applyAlignment="1">
      <alignment horizontal="center" vertical="center" wrapText="1"/>
    </xf>
    <xf numFmtId="0" fontId="21" fillId="0" borderId="62" xfId="0" applyFont="1" applyBorder="1" applyAlignment="1">
      <alignment horizontal="left" vertical="center"/>
    </xf>
    <xf numFmtId="0" fontId="21" fillId="0" borderId="2" xfId="0" applyFont="1" applyBorder="1" applyAlignment="1">
      <alignment horizontal="left" vertical="center"/>
    </xf>
    <xf numFmtId="0" fontId="21" fillId="0" borderId="58" xfId="0" applyFont="1" applyBorder="1" applyAlignment="1">
      <alignment horizontal="left" vertical="center"/>
    </xf>
    <xf numFmtId="0" fontId="21" fillId="0" borderId="12" xfId="0" applyFont="1" applyBorder="1" applyAlignment="1">
      <alignment horizontal="left" vertical="center"/>
    </xf>
    <xf numFmtId="0" fontId="21" fillId="0" borderId="4" xfId="0" applyFont="1" applyBorder="1" applyAlignment="1">
      <alignment horizontal="left" vertical="center"/>
    </xf>
    <xf numFmtId="0" fontId="21" fillId="0" borderId="71" xfId="0" applyFont="1" applyBorder="1" applyAlignment="1">
      <alignment horizontal="left" vertical="center"/>
    </xf>
    <xf numFmtId="0" fontId="21" fillId="0" borderId="72" xfId="0" applyFont="1" applyBorder="1" applyAlignment="1">
      <alignment horizontal="left" vertical="center"/>
    </xf>
    <xf numFmtId="0" fontId="21" fillId="0" borderId="10" xfId="0" applyFont="1" applyBorder="1" applyAlignment="1">
      <alignment horizontal="left" vertical="center"/>
    </xf>
    <xf numFmtId="0" fontId="20" fillId="0" borderId="0" xfId="0" applyFont="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51" xfId="0" applyFont="1" applyFill="1" applyBorder="1" applyAlignment="1" applyProtection="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8" xfId="0" applyFont="1" applyBorder="1" applyAlignment="1">
      <alignment horizontal="center" vertical="center"/>
    </xf>
    <xf numFmtId="0" fontId="17" fillId="0" borderId="10" xfId="0" applyFont="1" applyBorder="1" applyAlignment="1">
      <alignment horizontal="center" vertical="center"/>
    </xf>
    <xf numFmtId="0" fontId="21" fillId="0" borderId="57"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59" xfId="0" applyFont="1" applyBorder="1" applyAlignment="1">
      <alignment horizontal="center" vertical="center"/>
    </xf>
    <xf numFmtId="0" fontId="21" fillId="0" borderId="7" xfId="0" applyFont="1" applyBorder="1" applyAlignment="1">
      <alignment horizontal="center" vertical="center"/>
    </xf>
    <xf numFmtId="0" fontId="21" fillId="0" borderId="60" xfId="0" applyFont="1" applyBorder="1" applyAlignment="1">
      <alignment horizontal="center" vertical="center"/>
    </xf>
    <xf numFmtId="0" fontId="22"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51" xfId="0" applyFont="1" applyBorder="1" applyAlignment="1">
      <alignment horizontal="center" vertical="center" shrinkToFit="1"/>
    </xf>
    <xf numFmtId="0" fontId="29" fillId="0" borderId="7" xfId="0" applyFont="1" applyBorder="1" applyAlignment="1" applyProtection="1">
      <alignment horizontal="left" vertical="center"/>
    </xf>
    <xf numFmtId="0" fontId="29" fillId="0" borderId="60" xfId="0" applyFont="1" applyBorder="1" applyAlignment="1" applyProtection="1">
      <alignment horizontal="left" vertical="center"/>
    </xf>
    <xf numFmtId="0" fontId="29" fillId="0" borderId="59" xfId="0" applyFont="1" applyBorder="1" applyAlignment="1" applyProtection="1">
      <alignment horizontal="center" vertical="center" wrapText="1"/>
    </xf>
    <xf numFmtId="0" fontId="29" fillId="0" borderId="60" xfId="0" applyFont="1" applyBorder="1" applyAlignment="1" applyProtection="1">
      <alignment horizontal="center" vertical="center" wrapText="1"/>
    </xf>
    <xf numFmtId="188" fontId="29" fillId="0" borderId="115" xfId="0" applyNumberFormat="1" applyFont="1" applyBorder="1" applyAlignment="1" applyProtection="1">
      <alignment horizontal="center" vertical="center" wrapText="1"/>
    </xf>
    <xf numFmtId="188" fontId="29" fillId="0" borderId="116" xfId="0" applyNumberFormat="1" applyFont="1" applyBorder="1" applyAlignment="1" applyProtection="1">
      <alignment horizontal="center" vertical="center" wrapText="1"/>
    </xf>
    <xf numFmtId="188" fontId="29" fillId="0" borderId="58" xfId="0" applyNumberFormat="1" applyFont="1" applyBorder="1" applyAlignment="1" applyProtection="1">
      <alignment horizontal="center" vertical="center" wrapText="1"/>
    </xf>
    <xf numFmtId="188" fontId="29" fillId="0" borderId="61" xfId="0" applyNumberFormat="1" applyFont="1" applyBorder="1" applyAlignment="1" applyProtection="1">
      <alignment horizontal="center" vertical="center" wrapText="1"/>
    </xf>
    <xf numFmtId="0" fontId="29" fillId="0" borderId="58" xfId="0" applyFont="1" applyBorder="1" applyAlignment="1" applyProtection="1">
      <alignment horizontal="center" vertical="center" wrapText="1"/>
    </xf>
    <xf numFmtId="0" fontId="29" fillId="0" borderId="61" xfId="0" applyFont="1" applyBorder="1" applyAlignment="1" applyProtection="1">
      <alignment horizontal="center" vertical="center" wrapText="1"/>
    </xf>
    <xf numFmtId="0" fontId="29" fillId="0" borderId="52" xfId="0" applyFont="1" applyBorder="1" applyAlignment="1" applyProtection="1">
      <alignment horizontal="center" vertical="center"/>
    </xf>
    <xf numFmtId="0" fontId="29" fillId="0" borderId="53" xfId="0" applyFont="1" applyBorder="1" applyAlignment="1" applyProtection="1">
      <alignment horizontal="center" vertical="center"/>
    </xf>
    <xf numFmtId="0" fontId="29" fillId="0" borderId="57" xfId="0" applyFont="1" applyBorder="1" applyAlignment="1" applyProtection="1">
      <alignment horizontal="center" vertical="center"/>
    </xf>
    <xf numFmtId="0" fontId="29" fillId="0" borderId="49" xfId="0" applyFont="1" applyBorder="1" applyAlignment="1" applyProtection="1">
      <alignment horizontal="center" vertical="center" wrapText="1"/>
    </xf>
    <xf numFmtId="0" fontId="29" fillId="0" borderId="50" xfId="0" applyFont="1" applyBorder="1" applyAlignment="1" applyProtection="1">
      <alignment horizontal="center" vertical="center" wrapText="1"/>
    </xf>
    <xf numFmtId="0" fontId="29" fillId="0" borderId="51" xfId="0" applyFont="1" applyBorder="1" applyAlignment="1" applyProtection="1">
      <alignment horizontal="center" vertical="center" wrapText="1"/>
    </xf>
    <xf numFmtId="0" fontId="29" fillId="0" borderId="0" xfId="0" applyFont="1" applyAlignment="1" applyProtection="1">
      <alignment horizontal="center" vertical="center"/>
    </xf>
    <xf numFmtId="0" fontId="29" fillId="0" borderId="49" xfId="0" applyFont="1" applyBorder="1" applyAlignment="1" applyProtection="1">
      <alignment horizontal="center" vertical="center"/>
    </xf>
    <xf numFmtId="0" fontId="29" fillId="0" borderId="50"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5" xfId="0" applyFont="1" applyBorder="1" applyAlignment="1" applyProtection="1">
      <alignment horizontal="left" vertical="center"/>
    </xf>
    <xf numFmtId="0" fontId="29" fillId="0" borderId="3" xfId="0" applyFont="1" applyBorder="1" applyAlignment="1" applyProtection="1">
      <alignment horizontal="left" vertical="center"/>
    </xf>
    <xf numFmtId="0" fontId="29" fillId="0" borderId="2" xfId="0" applyFont="1" applyBorder="1" applyAlignment="1" applyProtection="1">
      <alignment horizontal="left" vertical="center"/>
    </xf>
    <xf numFmtId="0" fontId="29" fillId="0" borderId="107" xfId="0" applyFont="1" applyBorder="1" applyAlignment="1" applyProtection="1">
      <alignment horizontal="left" vertical="center"/>
    </xf>
    <xf numFmtId="0" fontId="29" fillId="0" borderId="108" xfId="0" applyFont="1" applyBorder="1" applyAlignment="1" applyProtection="1">
      <alignment horizontal="left" vertical="center"/>
    </xf>
    <xf numFmtId="0" fontId="29" fillId="0" borderId="23" xfId="0" applyFont="1" applyBorder="1" applyAlignment="1" applyProtection="1">
      <alignment horizontal="left" vertical="center"/>
    </xf>
    <xf numFmtId="0" fontId="31" fillId="0" borderId="108" xfId="0" applyFont="1" applyBorder="1" applyAlignment="1" applyProtection="1">
      <alignment horizontal="left" vertical="center"/>
    </xf>
    <xf numFmtId="0" fontId="31" fillId="0" borderId="23" xfId="0" applyFont="1" applyBorder="1" applyAlignment="1" applyProtection="1">
      <alignment horizontal="left" vertical="center"/>
    </xf>
    <xf numFmtId="0" fontId="29" fillId="0" borderId="112" xfId="0" applyFont="1" applyBorder="1" applyAlignment="1" applyProtection="1">
      <alignment horizontal="left" vertical="center"/>
    </xf>
    <xf numFmtId="0" fontId="29" fillId="0" borderId="113" xfId="0" applyFont="1" applyBorder="1" applyAlignment="1" applyProtection="1">
      <alignment horizontal="left" vertical="center"/>
    </xf>
    <xf numFmtId="0" fontId="29" fillId="0" borderId="0" xfId="0" applyFont="1" applyAlignment="1" applyProtection="1">
      <alignment horizontal="left" vertical="top" wrapText="1"/>
    </xf>
    <xf numFmtId="0" fontId="64" fillId="0" borderId="0" xfId="2" applyFont="1" applyAlignment="1">
      <alignment horizontal="center" vertical="center"/>
    </xf>
    <xf numFmtId="0" fontId="55" fillId="0" borderId="10" xfId="2" applyFont="1" applyBorder="1" applyAlignment="1">
      <alignment horizontal="center" vertical="center" shrinkToFit="1"/>
    </xf>
    <xf numFmtId="0" fontId="58" fillId="0" borderId="54" xfId="2" applyFont="1" applyBorder="1" applyAlignment="1">
      <alignment horizontal="distributed" vertical="center"/>
    </xf>
    <xf numFmtId="0" fontId="55" fillId="0" borderId="87" xfId="2" applyFont="1" applyBorder="1" applyAlignment="1" applyProtection="1">
      <alignment horizontal="center" vertical="center" shrinkToFit="1"/>
    </xf>
    <xf numFmtId="0" fontId="55" fillId="0" borderId="56" xfId="2" applyFont="1" applyBorder="1" applyAlignment="1" applyProtection="1">
      <alignment horizontal="center" vertical="center" shrinkToFit="1"/>
    </xf>
    <xf numFmtId="0" fontId="55" fillId="0" borderId="157" xfId="2" applyFont="1" applyFill="1" applyBorder="1" applyAlignment="1" applyProtection="1">
      <alignment horizontal="center" vertical="center" shrinkToFit="1"/>
    </xf>
    <xf numFmtId="0" fontId="55" fillId="0" borderId="156" xfId="2" applyFont="1" applyFill="1" applyBorder="1" applyAlignment="1" applyProtection="1">
      <alignment horizontal="center" vertical="center" shrinkToFit="1"/>
    </xf>
    <xf numFmtId="0" fontId="58" fillId="0" borderId="90" xfId="2" applyFont="1" applyBorder="1" applyAlignment="1">
      <alignment horizontal="distributed" vertical="center"/>
    </xf>
    <xf numFmtId="0" fontId="55" fillId="0" borderId="5" xfId="2" applyFont="1" applyFill="1" applyBorder="1" applyAlignment="1" applyProtection="1">
      <alignment horizontal="center" vertical="center" shrinkToFit="1"/>
    </xf>
    <xf numFmtId="0" fontId="55" fillId="0" borderId="91" xfId="2" applyFont="1" applyFill="1" applyBorder="1" applyAlignment="1" applyProtection="1">
      <alignment horizontal="center" vertical="center" shrinkToFit="1"/>
    </xf>
    <xf numFmtId="0" fontId="58" fillId="0" borderId="162" xfId="2" applyFont="1" applyBorder="1" applyAlignment="1">
      <alignment horizontal="distributed" vertical="center"/>
    </xf>
    <xf numFmtId="0" fontId="55" fillId="0" borderId="159" xfId="2" applyFont="1" applyFill="1" applyBorder="1" applyAlignment="1" applyProtection="1">
      <alignment horizontal="center" vertical="center" wrapText="1"/>
    </xf>
    <xf numFmtId="0" fontId="55" fillId="0" borderId="157" xfId="2" applyFont="1" applyFill="1" applyBorder="1" applyAlignment="1" applyProtection="1">
      <alignment horizontal="center" vertical="center"/>
    </xf>
    <xf numFmtId="0" fontId="55" fillId="0" borderId="52" xfId="2" applyFont="1" applyBorder="1" applyAlignment="1">
      <alignment horizontal="center" vertical="center" wrapText="1"/>
    </xf>
    <xf numFmtId="0" fontId="55" fillId="0" borderId="88" xfId="2" applyFont="1" applyBorder="1" applyAlignment="1">
      <alignment horizontal="center" vertical="center" wrapText="1"/>
    </xf>
    <xf numFmtId="0" fontId="55" fillId="0" borderId="53" xfId="2" applyFont="1" applyBorder="1" applyAlignment="1">
      <alignment horizontal="center" vertical="center" wrapText="1"/>
    </xf>
    <xf numFmtId="0" fontId="55" fillId="0" borderId="57" xfId="2" applyFont="1" applyBorder="1" applyAlignment="1">
      <alignment horizontal="center" vertical="center" wrapText="1"/>
    </xf>
    <xf numFmtId="0" fontId="55" fillId="0" borderId="58" xfId="2" applyFont="1" applyBorder="1" applyAlignment="1">
      <alignment horizontal="center" vertical="center" wrapText="1"/>
    </xf>
    <xf numFmtId="0" fontId="55" fillId="0" borderId="10" xfId="2" applyFont="1" applyBorder="1" applyAlignment="1">
      <alignment horizontal="center" vertical="center" wrapText="1"/>
    </xf>
    <xf numFmtId="0" fontId="55" fillId="0" borderId="61" xfId="2" applyFont="1" applyBorder="1" applyAlignment="1">
      <alignment horizontal="center" vertical="center" wrapText="1"/>
    </xf>
    <xf numFmtId="0" fontId="55" fillId="0" borderId="7" xfId="2" applyFont="1" applyBorder="1" applyAlignment="1">
      <alignment horizontal="distributed" vertical="center"/>
    </xf>
    <xf numFmtId="0" fontId="55" fillId="2" borderId="7" xfId="2" applyFont="1" applyFill="1" applyBorder="1" applyAlignment="1" applyProtection="1">
      <alignment horizontal="center" vertical="center" shrinkToFit="1"/>
      <protection locked="0"/>
    </xf>
    <xf numFmtId="0" fontId="56" fillId="0" borderId="166" xfId="2" applyFont="1" applyBorder="1" applyAlignment="1">
      <alignment horizontal="left" vertical="center" wrapText="1"/>
    </xf>
    <xf numFmtId="0" fontId="56" fillId="0" borderId="165" xfId="2" applyFont="1" applyBorder="1" applyAlignment="1">
      <alignment horizontal="left" vertical="center" wrapText="1"/>
    </xf>
    <xf numFmtId="0" fontId="56" fillId="0" borderId="164" xfId="2" applyFont="1" applyBorder="1" applyAlignment="1">
      <alignment horizontal="left" vertical="center" wrapText="1"/>
    </xf>
    <xf numFmtId="58" fontId="55" fillId="0" borderId="0" xfId="2" applyNumberFormat="1" applyFont="1" applyAlignment="1">
      <alignment horizontal="center" vertical="center"/>
    </xf>
    <xf numFmtId="0" fontId="55" fillId="0" borderId="0" xfId="2" applyFont="1" applyAlignment="1">
      <alignment horizontal="center" vertical="center"/>
    </xf>
    <xf numFmtId="0" fontId="58" fillId="0" borderId="8" xfId="2" applyFont="1" applyBorder="1" applyAlignment="1">
      <alignment horizontal="distributed" vertical="center"/>
    </xf>
    <xf numFmtId="0" fontId="55" fillId="0" borderId="10" xfId="2" applyFont="1" applyBorder="1" applyAlignment="1">
      <alignment horizontal="distributed" vertical="center"/>
    </xf>
    <xf numFmtId="0" fontId="55" fillId="2" borderId="10" xfId="2" applyFont="1" applyFill="1" applyBorder="1" applyAlignment="1" applyProtection="1">
      <alignment horizontal="center" vertical="center" shrinkToFit="1"/>
      <protection locked="0"/>
    </xf>
    <xf numFmtId="0" fontId="55" fillId="0" borderId="157" xfId="2" applyFont="1" applyBorder="1" applyAlignment="1">
      <alignment horizontal="center" vertical="center"/>
    </xf>
    <xf numFmtId="0" fontId="55" fillId="0" borderId="170" xfId="2" applyFont="1" applyBorder="1" applyAlignment="1">
      <alignment horizontal="center" vertical="center"/>
    </xf>
    <xf numFmtId="0" fontId="55" fillId="0" borderId="161" xfId="2" applyFont="1" applyBorder="1" applyAlignment="1">
      <alignment horizontal="center" vertical="center"/>
    </xf>
    <xf numFmtId="0" fontId="55" fillId="0" borderId="5" xfId="2" applyFont="1" applyBorder="1" applyAlignment="1">
      <alignment vertical="center" shrinkToFit="1"/>
    </xf>
    <xf numFmtId="0" fontId="55" fillId="0" borderId="7" xfId="2" applyFont="1" applyBorder="1" applyAlignment="1">
      <alignment vertical="center" shrinkToFit="1"/>
    </xf>
    <xf numFmtId="0" fontId="55" fillId="0" borderId="60" xfId="2" applyFont="1" applyBorder="1" applyAlignment="1">
      <alignment vertical="center" shrinkToFit="1"/>
    </xf>
    <xf numFmtId="0" fontId="58" fillId="0" borderId="163" xfId="2" applyFont="1" applyBorder="1" applyAlignment="1">
      <alignment horizontal="distributed" vertical="center"/>
    </xf>
    <xf numFmtId="0" fontId="55" fillId="2" borderId="0" xfId="2" applyFont="1" applyFill="1" applyAlignment="1" applyProtection="1">
      <alignment horizontal="center" vertical="center" shrinkToFit="1"/>
      <protection locked="0"/>
    </xf>
    <xf numFmtId="0" fontId="58" fillId="2" borderId="11" xfId="2" applyFont="1" applyFill="1" applyBorder="1" applyAlignment="1" applyProtection="1">
      <alignment horizontal="left" vertical="center" wrapText="1"/>
      <protection locked="0"/>
    </xf>
    <xf numFmtId="0" fontId="58" fillId="2" borderId="10" xfId="2" applyFont="1" applyFill="1" applyBorder="1" applyAlignment="1" applyProtection="1">
      <alignment horizontal="left" vertical="center" wrapText="1"/>
      <protection locked="0"/>
    </xf>
    <xf numFmtId="0" fontId="58" fillId="2" borderId="61" xfId="2" applyFont="1" applyFill="1" applyBorder="1" applyAlignment="1" applyProtection="1">
      <alignment horizontal="left" vertical="center" wrapText="1"/>
      <protection locked="0"/>
    </xf>
    <xf numFmtId="0" fontId="7" fillId="0" borderId="0" xfId="2" applyAlignment="1">
      <alignment horizontal="center" vertical="center"/>
    </xf>
    <xf numFmtId="0" fontId="56" fillId="0" borderId="9" xfId="2" applyFont="1" applyBorder="1" applyAlignment="1">
      <alignment vertical="center" wrapText="1"/>
    </xf>
    <xf numFmtId="0" fontId="58" fillId="0" borderId="169" xfId="2" applyFont="1" applyBorder="1" applyAlignment="1">
      <alignment horizontal="center" vertical="top"/>
    </xf>
    <xf numFmtId="0" fontId="58" fillId="0" borderId="92" xfId="2" applyFont="1" applyBorder="1" applyAlignment="1">
      <alignment horizontal="center" vertical="top"/>
    </xf>
    <xf numFmtId="0" fontId="58" fillId="0" borderId="168" xfId="2" applyFont="1" applyBorder="1" applyAlignment="1">
      <alignment horizontal="center" vertical="top"/>
    </xf>
    <xf numFmtId="0" fontId="58" fillId="0" borderId="88" xfId="2" applyFont="1" applyBorder="1" applyAlignment="1">
      <alignment horizontal="center" vertical="top"/>
    </xf>
    <xf numFmtId="0" fontId="58" fillId="0" borderId="85" xfId="2" applyFont="1" applyBorder="1" applyAlignment="1">
      <alignment horizontal="center" vertical="top"/>
    </xf>
    <xf numFmtId="0" fontId="58" fillId="0" borderId="103" xfId="2" applyFont="1" applyBorder="1" applyAlignment="1">
      <alignment horizontal="center" vertical="top"/>
    </xf>
    <xf numFmtId="0" fontId="56" fillId="0" borderId="8" xfId="2" applyFont="1" applyBorder="1" applyAlignment="1">
      <alignment horizontal="left" vertical="center" wrapText="1"/>
    </xf>
    <xf numFmtId="0" fontId="56" fillId="0" borderId="91" xfId="2" applyFont="1" applyBorder="1" applyAlignment="1">
      <alignment horizontal="left" vertical="center" wrapText="1"/>
    </xf>
    <xf numFmtId="0" fontId="56" fillId="2" borderId="82" xfId="2" applyFont="1" applyFill="1" applyBorder="1" applyAlignment="1" applyProtection="1">
      <alignment horizontal="left" vertical="center" wrapText="1"/>
      <protection locked="0"/>
    </xf>
    <xf numFmtId="0" fontId="56" fillId="2" borderId="83" xfId="2" applyFont="1" applyFill="1" applyBorder="1" applyAlignment="1" applyProtection="1">
      <alignment horizontal="left" vertical="center" wrapText="1"/>
      <protection locked="0"/>
    </xf>
    <xf numFmtId="0" fontId="56" fillId="0" borderId="8" xfId="2" applyFont="1" applyBorder="1" applyAlignment="1">
      <alignment vertical="center" wrapText="1"/>
    </xf>
    <xf numFmtId="0" fontId="56" fillId="0" borderId="163" xfId="2" applyFont="1" applyBorder="1" applyAlignment="1">
      <alignment vertical="center" wrapText="1"/>
    </xf>
    <xf numFmtId="0" fontId="56" fillId="0" borderId="6" xfId="2" applyFont="1" applyBorder="1" applyAlignment="1">
      <alignment horizontal="center" vertical="center" wrapText="1"/>
    </xf>
    <xf numFmtId="0" fontId="56" fillId="0" borderId="158" xfId="2" applyFont="1" applyBorder="1" applyAlignment="1">
      <alignment horizontal="center" vertical="center" wrapText="1"/>
    </xf>
    <xf numFmtId="0" fontId="58" fillId="0" borderId="115" xfId="2" applyFont="1" applyBorder="1" applyAlignment="1">
      <alignment vertical="center" wrapText="1"/>
    </xf>
    <xf numFmtId="0" fontId="58" fillId="0" borderId="167" xfId="2" applyFont="1" applyBorder="1" applyAlignment="1">
      <alignment vertical="center" wrapText="1"/>
    </xf>
    <xf numFmtId="0" fontId="56" fillId="0" borderId="1" xfId="2" applyFont="1" applyBorder="1" applyAlignment="1">
      <alignment horizontal="center" vertical="center" wrapText="1"/>
    </xf>
    <xf numFmtId="0" fontId="56" fillId="0" borderId="82" xfId="2" applyFont="1" applyBorder="1" applyAlignment="1">
      <alignment horizontal="center" vertical="center" wrapText="1"/>
    </xf>
    <xf numFmtId="0" fontId="58" fillId="0" borderId="55" xfId="2" applyFont="1" applyBorder="1" applyAlignment="1">
      <alignment horizontal="distributed" vertical="center"/>
    </xf>
    <xf numFmtId="0" fontId="55" fillId="0" borderId="87" xfId="2" applyFont="1" applyBorder="1" applyAlignment="1">
      <alignment vertical="center" shrinkToFit="1"/>
    </xf>
    <xf numFmtId="0" fontId="55" fillId="0" borderId="167" xfId="2" applyFont="1" applyBorder="1" applyAlignment="1">
      <alignment vertical="center" shrinkToFit="1"/>
    </xf>
    <xf numFmtId="0" fontId="55" fillId="0" borderId="116" xfId="2" applyFont="1" applyBorder="1" applyAlignment="1">
      <alignment vertical="center" shrinkToFit="1"/>
    </xf>
    <xf numFmtId="0" fontId="58" fillId="0" borderId="157" xfId="2" applyFont="1" applyBorder="1" applyAlignment="1">
      <alignment horizontal="center" vertical="center"/>
    </xf>
    <xf numFmtId="0" fontId="58" fillId="0" borderId="170" xfId="2" applyFont="1" applyBorder="1" applyAlignment="1">
      <alignment horizontal="center" vertical="center"/>
    </xf>
    <xf numFmtId="0" fontId="58" fillId="0" borderId="161" xfId="2" applyFont="1" applyBorder="1" applyAlignment="1">
      <alignment horizontal="center" vertical="center"/>
    </xf>
    <xf numFmtId="0" fontId="58" fillId="2" borderId="52" xfId="2" applyFont="1" applyFill="1" applyBorder="1" applyAlignment="1" applyProtection="1">
      <alignment horizontal="center" vertical="center"/>
      <protection locked="0"/>
    </xf>
    <xf numFmtId="0" fontId="58" fillId="2" borderId="53" xfId="2" applyFont="1" applyFill="1" applyBorder="1" applyAlignment="1" applyProtection="1">
      <alignment horizontal="center" vertical="center"/>
      <protection locked="0"/>
    </xf>
    <xf numFmtId="0" fontId="58" fillId="2" borderId="57" xfId="2" applyFont="1" applyFill="1" applyBorder="1" applyAlignment="1" applyProtection="1">
      <alignment horizontal="center" vertical="center"/>
      <protection locked="0"/>
    </xf>
    <xf numFmtId="0" fontId="58" fillId="2" borderId="99" xfId="2" applyFont="1" applyFill="1" applyBorder="1" applyAlignment="1" applyProtection="1">
      <alignment horizontal="center" vertical="center"/>
      <protection locked="0"/>
    </xf>
    <xf numFmtId="0" fontId="58" fillId="2" borderId="139" xfId="2" applyFont="1" applyFill="1" applyBorder="1" applyAlignment="1" applyProtection="1">
      <alignment horizontal="center" vertical="center"/>
      <protection locked="0"/>
    </xf>
    <xf numFmtId="0" fontId="58" fillId="2" borderId="84" xfId="2" applyFont="1" applyFill="1" applyBorder="1" applyAlignment="1" applyProtection="1">
      <alignment horizontal="center" vertical="center"/>
      <protection locked="0"/>
    </xf>
    <xf numFmtId="0" fontId="55" fillId="0" borderId="55" xfId="2" applyFont="1" applyBorder="1" applyAlignment="1">
      <alignment horizontal="center" vertical="center" wrapText="1"/>
    </xf>
    <xf numFmtId="0" fontId="58" fillId="0" borderId="55" xfId="2" applyFont="1" applyBorder="1">
      <alignment vertical="center"/>
    </xf>
    <xf numFmtId="0" fontId="58" fillId="0" borderId="56" xfId="2" applyFont="1" applyBorder="1">
      <alignment vertical="center"/>
    </xf>
    <xf numFmtId="0" fontId="55" fillId="0" borderId="185" xfId="2" applyFont="1" applyBorder="1" applyAlignment="1">
      <alignment vertical="center" wrapText="1"/>
    </xf>
    <xf numFmtId="0" fontId="58" fillId="0" borderId="184" xfId="2" applyFont="1" applyBorder="1" applyAlignment="1">
      <alignment vertical="center" wrapText="1"/>
    </xf>
    <xf numFmtId="0" fontId="58" fillId="0" borderId="184" xfId="2" applyFont="1" applyBorder="1">
      <alignment vertical="center"/>
    </xf>
    <xf numFmtId="0" fontId="69" fillId="0" borderId="0" xfId="2" applyFont="1" applyAlignment="1">
      <alignment horizontal="center" vertical="center"/>
    </xf>
    <xf numFmtId="0" fontId="55" fillId="0" borderId="55" xfId="2" applyFont="1" applyBorder="1" applyAlignment="1">
      <alignment vertical="center" shrinkToFit="1"/>
    </xf>
    <xf numFmtId="0" fontId="55" fillId="0" borderId="56" xfId="2" applyFont="1" applyBorder="1" applyAlignment="1">
      <alignment vertical="center" shrinkToFit="1"/>
    </xf>
    <xf numFmtId="0" fontId="55" fillId="0" borderId="8" xfId="2" applyFont="1" applyBorder="1" applyAlignment="1">
      <alignment vertical="center" shrinkToFit="1"/>
    </xf>
    <xf numFmtId="0" fontId="55" fillId="0" borderId="91" xfId="2" applyFont="1" applyBorder="1" applyAlignment="1">
      <alignment vertical="center" shrinkToFit="1"/>
    </xf>
    <xf numFmtId="0" fontId="55" fillId="0" borderId="49" xfId="2" applyFont="1" applyBorder="1" applyAlignment="1">
      <alignment horizontal="center" vertical="center"/>
    </xf>
    <xf numFmtId="0" fontId="55" fillId="0" borderId="50" xfId="2" applyFont="1" applyBorder="1" applyAlignment="1">
      <alignment horizontal="center" vertical="center"/>
    </xf>
    <xf numFmtId="0" fontId="55" fillId="2" borderId="172" xfId="2" applyNumberFormat="1" applyFont="1" applyFill="1" applyBorder="1" applyAlignment="1" applyProtection="1">
      <alignment horizontal="right" vertical="center"/>
      <protection locked="0"/>
    </xf>
    <xf numFmtId="0" fontId="55" fillId="2" borderId="149" xfId="2" applyNumberFormat="1" applyFont="1" applyFill="1" applyBorder="1" applyAlignment="1" applyProtection="1">
      <alignment horizontal="right" vertical="center"/>
      <protection locked="0"/>
    </xf>
    <xf numFmtId="0" fontId="55" fillId="0" borderId="69" xfId="2" applyFont="1" applyBorder="1" applyAlignment="1">
      <alignment horizontal="center" vertical="center" wrapText="1"/>
    </xf>
    <xf numFmtId="0" fontId="55" fillId="0" borderId="0" xfId="2" applyFont="1" applyAlignment="1">
      <alignment horizontal="center" vertical="center" wrapText="1"/>
    </xf>
    <xf numFmtId="0" fontId="55" fillId="0" borderId="138" xfId="2" applyFont="1" applyBorder="1" applyAlignment="1">
      <alignment horizontal="center" vertical="center" wrapText="1"/>
    </xf>
    <xf numFmtId="0" fontId="55" fillId="0" borderId="99" xfId="2" applyFont="1" applyBorder="1" applyAlignment="1">
      <alignment horizontal="center" vertical="center" wrapText="1"/>
    </xf>
    <xf numFmtId="0" fontId="55" fillId="0" borderId="139" xfId="2" applyFont="1" applyBorder="1" applyAlignment="1">
      <alignment horizontal="center" vertical="center" wrapText="1"/>
    </xf>
    <xf numFmtId="0" fontId="55" fillId="0" borderId="84" xfId="2" applyFont="1" applyBorder="1" applyAlignment="1">
      <alignment horizontal="center" vertical="center" wrapText="1"/>
    </xf>
    <xf numFmtId="0" fontId="55" fillId="8" borderId="50" xfId="2" applyFont="1" applyFill="1" applyBorder="1" applyAlignment="1">
      <alignment horizontal="center" vertical="center"/>
    </xf>
    <xf numFmtId="0" fontId="55" fillId="0" borderId="209" xfId="2" applyFont="1" applyFill="1" applyBorder="1" applyAlignment="1" applyProtection="1">
      <alignment horizontal="center" vertical="center"/>
    </xf>
    <xf numFmtId="0" fontId="55" fillId="0" borderId="210" xfId="2" applyFont="1" applyFill="1" applyBorder="1" applyAlignment="1" applyProtection="1">
      <alignment horizontal="center" vertical="center"/>
    </xf>
    <xf numFmtId="0" fontId="55" fillId="0" borderId="211" xfId="2" applyFont="1" applyFill="1" applyBorder="1" applyAlignment="1" applyProtection="1">
      <alignment horizontal="center" vertical="center"/>
    </xf>
    <xf numFmtId="0" fontId="55" fillId="0" borderId="221" xfId="2" applyFont="1" applyFill="1" applyBorder="1" applyAlignment="1" applyProtection="1">
      <alignment horizontal="center" vertical="center"/>
    </xf>
    <xf numFmtId="0" fontId="55" fillId="0" borderId="222" xfId="2" applyFont="1" applyFill="1" applyBorder="1" applyAlignment="1" applyProtection="1">
      <alignment horizontal="center" vertical="center"/>
    </xf>
    <xf numFmtId="0" fontId="55" fillId="0" borderId="223" xfId="2" applyFont="1" applyFill="1" applyBorder="1" applyAlignment="1" applyProtection="1">
      <alignment horizontal="center" vertical="center"/>
    </xf>
    <xf numFmtId="0" fontId="55" fillId="0" borderId="149" xfId="2" applyFont="1" applyFill="1" applyBorder="1" applyAlignment="1" applyProtection="1">
      <alignment horizontal="center" vertical="center"/>
    </xf>
    <xf numFmtId="0" fontId="55" fillId="0" borderId="148" xfId="2" applyFont="1" applyFill="1" applyBorder="1" applyAlignment="1" applyProtection="1">
      <alignment horizontal="center" vertical="center"/>
    </xf>
    <xf numFmtId="0" fontId="55" fillId="0" borderId="225" xfId="2" applyFont="1" applyFill="1" applyBorder="1" applyAlignment="1" applyProtection="1">
      <alignment horizontal="center" vertical="center"/>
    </xf>
    <xf numFmtId="0" fontId="55" fillId="0" borderId="216" xfId="2" applyFont="1" applyFill="1" applyBorder="1" applyAlignment="1" applyProtection="1">
      <alignment horizontal="center" vertical="center"/>
    </xf>
    <xf numFmtId="0" fontId="55" fillId="0" borderId="217" xfId="2" applyFont="1" applyFill="1" applyBorder="1" applyAlignment="1" applyProtection="1">
      <alignment horizontal="center" vertical="center"/>
    </xf>
    <xf numFmtId="0" fontId="55" fillId="0" borderId="52" xfId="2" applyFont="1" applyBorder="1">
      <alignment vertical="center"/>
    </xf>
    <xf numFmtId="0" fontId="7" fillId="0" borderId="53" xfId="2" applyBorder="1">
      <alignment vertical="center"/>
    </xf>
    <xf numFmtId="0" fontId="7" fillId="0" borderId="57" xfId="2" applyBorder="1">
      <alignment vertical="center"/>
    </xf>
    <xf numFmtId="0" fontId="7" fillId="0" borderId="85" xfId="2" applyBorder="1">
      <alignment vertical="center"/>
    </xf>
    <xf numFmtId="0" fontId="7" fillId="0" borderId="103" xfId="2" applyBorder="1">
      <alignment vertical="center"/>
    </xf>
    <xf numFmtId="0" fontId="55" fillId="2" borderId="39" xfId="2" applyFont="1" applyFill="1" applyBorder="1" applyAlignment="1" applyProtection="1">
      <alignment horizontal="right" vertical="center"/>
      <protection locked="0"/>
    </xf>
    <xf numFmtId="0" fontId="58" fillId="2" borderId="147" xfId="2" applyFont="1" applyFill="1" applyBorder="1" applyAlignment="1" applyProtection="1">
      <alignment horizontal="right" vertical="center"/>
      <protection locked="0"/>
    </xf>
    <xf numFmtId="0" fontId="55" fillId="0" borderId="145" xfId="2" applyFont="1" applyBorder="1" applyAlignment="1">
      <alignment horizontal="left" vertical="center" wrapText="1"/>
    </xf>
    <xf numFmtId="0" fontId="55" fillId="0" borderId="144" xfId="2" applyFont="1" applyBorder="1" applyAlignment="1">
      <alignment horizontal="left" vertical="center" wrapText="1"/>
    </xf>
    <xf numFmtId="0" fontId="55" fillId="0" borderId="175" xfId="2" applyFont="1" applyBorder="1" applyAlignment="1">
      <alignment horizontal="left" vertical="center" wrapText="1"/>
    </xf>
    <xf numFmtId="0" fontId="55" fillId="2" borderId="80" xfId="2" applyFont="1" applyFill="1" applyBorder="1" applyAlignment="1" applyProtection="1">
      <alignment horizontal="right" vertical="center"/>
      <protection locked="0"/>
    </xf>
    <xf numFmtId="0" fontId="58" fillId="2" borderId="139" xfId="2" applyFont="1" applyFill="1" applyBorder="1" applyAlignment="1" applyProtection="1">
      <alignment horizontal="right" vertical="center"/>
      <protection locked="0"/>
    </xf>
    <xf numFmtId="0" fontId="58" fillId="0" borderId="4" xfId="2" applyFont="1" applyBorder="1" applyAlignment="1">
      <alignment horizontal="center" vertical="center"/>
    </xf>
    <xf numFmtId="0" fontId="58" fillId="0" borderId="104" xfId="2" applyFont="1" applyBorder="1" applyAlignment="1">
      <alignment horizontal="center" vertical="center"/>
    </xf>
    <xf numFmtId="0" fontId="58" fillId="0" borderId="100" xfId="2" applyFont="1" applyBorder="1" applyAlignment="1">
      <alignment horizontal="center" vertical="center"/>
    </xf>
    <xf numFmtId="38" fontId="55" fillId="0" borderId="3" xfId="3" applyFont="1" applyFill="1" applyBorder="1" applyAlignment="1" applyProtection="1">
      <alignment horizontal="right" vertical="center"/>
    </xf>
    <xf numFmtId="38" fontId="55" fillId="0" borderId="2" xfId="3" applyFont="1" applyFill="1" applyBorder="1" applyAlignment="1" applyProtection="1">
      <alignment horizontal="right" vertical="center"/>
    </xf>
    <xf numFmtId="38" fontId="55" fillId="0" borderId="13" xfId="3" applyFont="1" applyFill="1" applyBorder="1" applyAlignment="1" applyProtection="1">
      <alignment horizontal="right" vertical="center"/>
    </xf>
    <xf numFmtId="38" fontId="55" fillId="0" borderId="0" xfId="3" applyFont="1" applyFill="1" applyBorder="1" applyAlignment="1" applyProtection="1">
      <alignment horizontal="right" vertical="center"/>
    </xf>
    <xf numFmtId="38" fontId="55" fillId="0" borderId="80" xfId="3" applyFont="1" applyFill="1" applyBorder="1" applyAlignment="1" applyProtection="1">
      <alignment horizontal="right" vertical="center"/>
    </xf>
    <xf numFmtId="38" fontId="55" fillId="0" borderId="139" xfId="3" applyFont="1" applyFill="1" applyBorder="1" applyAlignment="1" applyProtection="1">
      <alignment horizontal="right" vertical="center"/>
    </xf>
    <xf numFmtId="0" fontId="55" fillId="0" borderId="173" xfId="2" applyFont="1" applyFill="1" applyBorder="1" applyAlignment="1" applyProtection="1">
      <alignment horizontal="right" vertical="center"/>
    </xf>
    <xf numFmtId="0" fontId="7" fillId="0" borderId="50" xfId="2" applyFill="1" applyBorder="1" applyAlignment="1" applyProtection="1">
      <alignment horizontal="right" vertical="center"/>
    </xf>
    <xf numFmtId="0" fontId="55" fillId="0" borderId="86" xfId="2" applyFont="1" applyBorder="1" applyAlignment="1">
      <alignment horizontal="center" vertical="center" wrapText="1"/>
    </xf>
    <xf numFmtId="0" fontId="61" fillId="0" borderId="53" xfId="2" applyFont="1" applyBorder="1" applyAlignment="1">
      <alignment vertical="center" wrapText="1"/>
    </xf>
    <xf numFmtId="0" fontId="7" fillId="0" borderId="53" xfId="2" applyBorder="1" applyAlignment="1">
      <alignment vertical="center" wrapText="1"/>
    </xf>
    <xf numFmtId="0" fontId="7" fillId="0" borderId="139" xfId="2" applyBorder="1" applyAlignment="1">
      <alignment vertical="center" wrapText="1"/>
    </xf>
    <xf numFmtId="0" fontId="56" fillId="0" borderId="49" xfId="2" applyFont="1" applyBorder="1" applyAlignment="1">
      <alignment horizontal="center" vertical="center" wrapText="1"/>
    </xf>
    <xf numFmtId="0" fontId="56" fillId="0" borderId="50" xfId="2" applyFont="1" applyBorder="1" applyAlignment="1">
      <alignment horizontal="center" vertical="center" wrapText="1"/>
    </xf>
    <xf numFmtId="0" fontId="56" fillId="0" borderId="51" xfId="2" applyFont="1" applyBorder="1" applyAlignment="1">
      <alignment horizontal="center" vertical="center" wrapText="1"/>
    </xf>
    <xf numFmtId="0" fontId="55" fillId="0" borderId="51" xfId="2" applyFont="1" applyBorder="1" applyAlignment="1">
      <alignment horizontal="center" vertical="center"/>
    </xf>
    <xf numFmtId="0" fontId="58" fillId="0" borderId="132" xfId="2" applyFont="1" applyBorder="1" applyAlignment="1">
      <alignment horizontal="center" vertical="center"/>
    </xf>
    <xf numFmtId="0" fontId="58" fillId="0" borderId="138" xfId="2" applyFont="1" applyBorder="1" applyAlignment="1">
      <alignment horizontal="center" vertical="center"/>
    </xf>
    <xf numFmtId="0" fontId="58" fillId="0" borderId="84" xfId="2" applyFont="1" applyBorder="1" applyAlignment="1">
      <alignment horizontal="center" vertical="center"/>
    </xf>
    <xf numFmtId="0" fontId="55" fillId="0" borderId="147" xfId="2" applyFont="1" applyFill="1" applyBorder="1" applyAlignment="1" applyProtection="1">
      <alignment horizontal="center" vertical="center"/>
    </xf>
    <xf numFmtId="0" fontId="55" fillId="0" borderId="146" xfId="2" applyFont="1" applyFill="1" applyBorder="1" applyAlignment="1" applyProtection="1">
      <alignment horizontal="center" vertical="center"/>
    </xf>
    <xf numFmtId="38" fontId="55" fillId="0" borderId="62" xfId="3" applyFont="1" applyFill="1" applyBorder="1" applyAlignment="1" applyProtection="1">
      <alignment horizontal="right" vertical="center"/>
    </xf>
    <xf numFmtId="38" fontId="55" fillId="0" borderId="69" xfId="3" applyFont="1" applyFill="1" applyBorder="1" applyAlignment="1" applyProtection="1">
      <alignment horizontal="right" vertical="center"/>
    </xf>
    <xf numFmtId="38" fontId="55" fillId="0" borderId="99" xfId="3" applyFont="1" applyFill="1" applyBorder="1" applyAlignment="1" applyProtection="1">
      <alignment horizontal="right" vertical="center"/>
    </xf>
    <xf numFmtId="0" fontId="60" fillId="0" borderId="139" xfId="2" applyFont="1" applyFill="1" applyBorder="1" applyAlignment="1" applyProtection="1">
      <alignment horizontal="center" vertical="center"/>
    </xf>
    <xf numFmtId="0" fontId="55" fillId="0" borderId="5" xfId="2" applyFont="1" applyBorder="1" applyAlignment="1">
      <alignment horizontal="center" vertical="center" wrapText="1"/>
    </xf>
    <xf numFmtId="0" fontId="55" fillId="0" borderId="7" xfId="2" applyFont="1" applyBorder="1" applyAlignment="1">
      <alignment horizontal="center" vertical="center" wrapText="1"/>
    </xf>
    <xf numFmtId="0" fontId="55" fillId="0" borderId="6" xfId="2" applyFont="1" applyBorder="1" applyAlignment="1">
      <alignment horizontal="center" vertical="center" wrapText="1"/>
    </xf>
    <xf numFmtId="0" fontId="55" fillId="0" borderId="152" xfId="2" applyFont="1" applyFill="1" applyBorder="1" applyAlignment="1" applyProtection="1">
      <alignment horizontal="center" vertical="center"/>
    </xf>
    <xf numFmtId="0" fontId="55" fillId="0" borderId="151" xfId="2" applyFont="1" applyFill="1" applyBorder="1" applyAlignment="1" applyProtection="1">
      <alignment horizontal="center" vertical="center"/>
    </xf>
    <xf numFmtId="38" fontId="55" fillId="0" borderId="7" xfId="3" applyFont="1" applyFill="1" applyBorder="1" applyAlignment="1" applyProtection="1">
      <alignment horizontal="right" vertical="center"/>
    </xf>
    <xf numFmtId="0" fontId="55" fillId="0" borderId="212" xfId="2" applyFont="1" applyFill="1" applyBorder="1" applyAlignment="1" applyProtection="1">
      <alignment horizontal="center" vertical="center"/>
    </xf>
    <xf numFmtId="0" fontId="55" fillId="0" borderId="213" xfId="2" applyFont="1" applyFill="1" applyBorder="1" applyAlignment="1" applyProtection="1">
      <alignment horizontal="center" vertical="center"/>
    </xf>
    <xf numFmtId="0" fontId="55" fillId="0" borderId="214" xfId="2" applyFont="1" applyFill="1" applyBorder="1" applyAlignment="1" applyProtection="1">
      <alignment horizontal="center" vertical="center"/>
    </xf>
    <xf numFmtId="0" fontId="55" fillId="0" borderId="206" xfId="2" applyFont="1" applyFill="1" applyBorder="1" applyAlignment="1" applyProtection="1">
      <alignment horizontal="center" vertical="center"/>
    </xf>
    <xf numFmtId="0" fontId="58" fillId="0" borderId="207" xfId="2" applyFont="1" applyFill="1" applyBorder="1" applyAlignment="1" applyProtection="1">
      <alignment horizontal="center" vertical="center"/>
    </xf>
    <xf numFmtId="0" fontId="58" fillId="0" borderId="208" xfId="2" applyFont="1" applyFill="1" applyBorder="1" applyAlignment="1" applyProtection="1">
      <alignment horizontal="center" vertical="center"/>
    </xf>
    <xf numFmtId="0" fontId="55" fillId="0" borderId="218" xfId="2" applyFont="1" applyFill="1" applyBorder="1" applyAlignment="1" applyProtection="1">
      <alignment horizontal="center" vertical="center"/>
    </xf>
    <xf numFmtId="0" fontId="55" fillId="0" borderId="219" xfId="2" applyFont="1" applyFill="1" applyBorder="1" applyAlignment="1" applyProtection="1">
      <alignment horizontal="center" vertical="center"/>
    </xf>
    <xf numFmtId="0" fontId="55" fillId="0" borderId="220" xfId="2" applyFont="1" applyFill="1" applyBorder="1" applyAlignment="1" applyProtection="1">
      <alignment horizontal="center" vertical="center"/>
    </xf>
    <xf numFmtId="0" fontId="55" fillId="0" borderId="52" xfId="2" applyFont="1" applyBorder="1" applyAlignment="1" applyProtection="1">
      <alignment horizontal="center" vertical="center" textRotation="255" wrapText="1" shrinkToFit="1"/>
    </xf>
    <xf numFmtId="0" fontId="55" fillId="0" borderId="174" xfId="2" applyFont="1" applyBorder="1" applyAlignment="1" applyProtection="1">
      <alignment horizontal="center" vertical="center" textRotation="255" wrapText="1" shrinkToFit="1"/>
    </xf>
    <xf numFmtId="0" fontId="55" fillId="0" borderId="69" xfId="2" applyFont="1" applyBorder="1" applyAlignment="1" applyProtection="1">
      <alignment horizontal="center" vertical="center" textRotation="255" wrapText="1" shrinkToFit="1"/>
    </xf>
    <xf numFmtId="0" fontId="55" fillId="0" borderId="104" xfId="2" applyFont="1" applyBorder="1" applyAlignment="1" applyProtection="1">
      <alignment horizontal="center" vertical="center" textRotation="255" wrapText="1" shrinkToFit="1"/>
    </xf>
    <xf numFmtId="0" fontId="55" fillId="0" borderId="58" xfId="2" applyFont="1" applyBorder="1" applyAlignment="1" applyProtection="1">
      <alignment horizontal="center" vertical="center" textRotation="255" wrapText="1" shrinkToFit="1"/>
    </xf>
    <xf numFmtId="0" fontId="55" fillId="0" borderId="12" xfId="2" applyFont="1" applyBorder="1" applyAlignment="1" applyProtection="1">
      <alignment horizontal="center" vertical="center" textRotation="255" wrapText="1" shrinkToFit="1"/>
    </xf>
    <xf numFmtId="0" fontId="55" fillId="0" borderId="173" xfId="2" applyFont="1" applyFill="1" applyBorder="1" applyAlignment="1" applyProtection="1">
      <alignment horizontal="center" vertical="center"/>
    </xf>
    <xf numFmtId="0" fontId="55" fillId="0" borderId="50" xfId="2" applyFont="1" applyFill="1" applyBorder="1" applyAlignment="1" applyProtection="1">
      <alignment horizontal="center" vertical="center"/>
    </xf>
    <xf numFmtId="0" fontId="55" fillId="0" borderId="227" xfId="2" applyFont="1" applyFill="1" applyBorder="1" applyAlignment="1" applyProtection="1">
      <alignment horizontal="center" vertical="center"/>
    </xf>
    <xf numFmtId="0" fontId="55" fillId="0" borderId="228" xfId="2" applyFont="1" applyFill="1" applyBorder="1" applyAlignment="1" applyProtection="1">
      <alignment horizontal="center" vertical="center"/>
    </xf>
    <xf numFmtId="0" fontId="55" fillId="0" borderId="229" xfId="2" applyFont="1" applyFill="1" applyBorder="1" applyAlignment="1" applyProtection="1">
      <alignment horizontal="center" vertical="center"/>
    </xf>
    <xf numFmtId="0" fontId="55" fillId="0" borderId="224" xfId="2" applyFont="1" applyFill="1" applyBorder="1" applyAlignment="1" applyProtection="1">
      <alignment horizontal="center" vertical="center"/>
    </xf>
    <xf numFmtId="0" fontId="55" fillId="0" borderId="171" xfId="2" applyFont="1" applyFill="1" applyBorder="1" applyAlignment="1" applyProtection="1">
      <alignment horizontal="right" vertical="center"/>
    </xf>
    <xf numFmtId="0" fontId="58" fillId="0" borderId="144" xfId="2" applyFont="1" applyFill="1" applyBorder="1" applyAlignment="1" applyProtection="1">
      <alignment horizontal="right" vertical="center"/>
    </xf>
    <xf numFmtId="0" fontId="55" fillId="0" borderId="233" xfId="2" applyFont="1" applyFill="1" applyBorder="1" applyAlignment="1" applyProtection="1">
      <alignment horizontal="center" vertical="center"/>
    </xf>
    <xf numFmtId="0" fontId="7" fillId="0" borderId="233" xfId="2" applyFill="1" applyBorder="1" applyAlignment="1" applyProtection="1">
      <alignment horizontal="center" vertical="center"/>
    </xf>
    <xf numFmtId="0" fontId="55" fillId="0" borderId="234" xfId="2" applyFont="1" applyFill="1" applyBorder="1" applyAlignment="1" applyProtection="1">
      <alignment horizontal="center" vertical="center"/>
    </xf>
    <xf numFmtId="0" fontId="7" fillId="0" borderId="234" xfId="2" applyFill="1" applyBorder="1" applyAlignment="1" applyProtection="1">
      <alignment horizontal="center" vertical="center"/>
    </xf>
    <xf numFmtId="0" fontId="57" fillId="0" borderId="176" xfId="2" applyFont="1" applyBorder="1" applyAlignment="1" applyProtection="1">
      <alignment horizontal="left" vertical="center" wrapText="1"/>
    </xf>
    <xf numFmtId="0" fontId="57" fillId="0" borderId="152" xfId="2" applyFont="1" applyBorder="1" applyAlignment="1" applyProtection="1">
      <alignment horizontal="left" vertical="center" wrapText="1"/>
    </xf>
    <xf numFmtId="0" fontId="57" fillId="0" borderId="151" xfId="2" applyFont="1" applyBorder="1" applyAlignment="1" applyProtection="1">
      <alignment horizontal="left" vertical="center" wrapText="1"/>
    </xf>
    <xf numFmtId="0" fontId="55" fillId="0" borderId="52" xfId="2" applyFont="1" applyBorder="1" applyAlignment="1">
      <alignment vertical="center" wrapText="1"/>
    </xf>
    <xf numFmtId="0" fontId="58" fillId="0" borderId="53" xfId="2" applyFont="1" applyBorder="1" applyAlignment="1">
      <alignment vertical="center" wrapText="1"/>
    </xf>
    <xf numFmtId="0" fontId="58" fillId="0" borderId="57" xfId="2" applyFont="1" applyBorder="1" applyAlignment="1">
      <alignment vertical="center" wrapText="1"/>
    </xf>
    <xf numFmtId="0" fontId="58" fillId="0" borderId="99" xfId="2" applyFont="1" applyBorder="1" applyAlignment="1">
      <alignment vertical="center" wrapText="1"/>
    </xf>
    <xf numFmtId="0" fontId="58" fillId="0" borderId="139" xfId="2" applyFont="1" applyBorder="1" applyAlignment="1">
      <alignment vertical="center" wrapText="1"/>
    </xf>
    <xf numFmtId="0" fontId="58" fillId="0" borderId="84" xfId="2" applyFont="1" applyBorder="1" applyAlignment="1">
      <alignment vertical="center" wrapText="1"/>
    </xf>
    <xf numFmtId="0" fontId="55" fillId="0" borderId="54" xfId="2" applyFont="1" applyBorder="1" applyAlignment="1">
      <alignment horizontal="left" vertical="center" wrapText="1"/>
    </xf>
    <xf numFmtId="0" fontId="58" fillId="0" borderId="55" xfId="2" applyFont="1" applyBorder="1" applyAlignment="1">
      <alignment horizontal="left" vertical="center" wrapText="1"/>
    </xf>
    <xf numFmtId="0" fontId="58" fillId="0" borderId="56" xfId="2" applyFont="1" applyBorder="1" applyAlignment="1">
      <alignment horizontal="left" vertical="center" wrapText="1"/>
    </xf>
    <xf numFmtId="0" fontId="55" fillId="0" borderId="183" xfId="2" applyFont="1" applyBorder="1" applyAlignment="1">
      <alignment horizontal="left" vertical="center" wrapText="1"/>
    </xf>
    <xf numFmtId="0" fontId="58" fillId="0" borderId="14" xfId="2" applyFont="1" applyBorder="1" applyAlignment="1">
      <alignment horizontal="left" vertical="center" wrapText="1"/>
    </xf>
    <xf numFmtId="0" fontId="58" fillId="0" borderId="128" xfId="2" applyFont="1" applyBorder="1" applyAlignment="1">
      <alignment horizontal="left" vertical="center" wrapText="1"/>
    </xf>
    <xf numFmtId="0" fontId="58" fillId="0" borderId="162" xfId="2" applyFont="1" applyBorder="1" applyAlignment="1">
      <alignment horizontal="left" vertical="center" wrapText="1"/>
    </xf>
    <xf numFmtId="0" fontId="58" fillId="0" borderId="163" xfId="2" applyFont="1" applyBorder="1" applyAlignment="1">
      <alignment horizontal="left" vertical="center" wrapText="1"/>
    </xf>
    <xf numFmtId="0" fontId="58" fillId="0" borderId="156" xfId="2" applyFont="1" applyBorder="1" applyAlignment="1">
      <alignment horizontal="left" vertical="center" wrapText="1"/>
    </xf>
    <xf numFmtId="0" fontId="55" fillId="0" borderId="178" xfId="2" applyFont="1" applyFill="1" applyBorder="1" applyAlignment="1" applyProtection="1">
      <alignment horizontal="center" vertical="center"/>
    </xf>
    <xf numFmtId="0" fontId="55" fillId="0" borderId="177" xfId="2" applyFont="1" applyFill="1" applyBorder="1" applyAlignment="1" applyProtection="1">
      <alignment horizontal="center" vertical="center"/>
    </xf>
    <xf numFmtId="0" fontId="55" fillId="0" borderId="99" xfId="2" applyFont="1" applyBorder="1" applyAlignment="1" applyProtection="1">
      <alignment horizontal="center" vertical="center" textRotation="255" wrapText="1" shrinkToFit="1"/>
    </xf>
    <xf numFmtId="0" fontId="55" fillId="0" borderId="100" xfId="2" applyFont="1" applyBorder="1" applyAlignment="1" applyProtection="1">
      <alignment horizontal="center" vertical="center" textRotation="255" wrapText="1" shrinkToFit="1"/>
    </xf>
    <xf numFmtId="0" fontId="57" fillId="0" borderId="171" xfId="2" applyFont="1" applyBorder="1" applyAlignment="1" applyProtection="1">
      <alignment horizontal="left" vertical="center" shrinkToFit="1"/>
    </xf>
    <xf numFmtId="0" fontId="55" fillId="0" borderId="144" xfId="2" applyFont="1" applyBorder="1" applyAlignment="1" applyProtection="1">
      <alignment horizontal="left" vertical="center" shrinkToFit="1"/>
    </xf>
    <xf numFmtId="0" fontId="55" fillId="0" borderId="175" xfId="2" applyFont="1" applyBorder="1" applyAlignment="1" applyProtection="1">
      <alignment horizontal="left" vertical="center" shrinkToFit="1"/>
    </xf>
    <xf numFmtId="0" fontId="55" fillId="0" borderId="215" xfId="2" applyFont="1" applyFill="1" applyBorder="1" applyAlignment="1" applyProtection="1">
      <alignment horizontal="center" vertical="center"/>
    </xf>
    <xf numFmtId="0" fontId="55" fillId="0" borderId="172" xfId="2" applyFont="1" applyFill="1" applyBorder="1" applyAlignment="1" applyProtection="1">
      <alignment horizontal="right" vertical="center"/>
    </xf>
    <xf numFmtId="0" fontId="55" fillId="0" borderId="149" xfId="2" applyFont="1" applyFill="1" applyBorder="1" applyAlignment="1" applyProtection="1">
      <alignment horizontal="right" vertical="center"/>
    </xf>
    <xf numFmtId="0" fontId="55" fillId="0" borderId="231" xfId="2" applyFont="1" applyFill="1" applyBorder="1" applyAlignment="1" applyProtection="1">
      <alignment horizontal="center" vertical="center"/>
    </xf>
    <xf numFmtId="0" fontId="57" fillId="0" borderId="179" xfId="2" applyFont="1" applyBorder="1" applyAlignment="1" applyProtection="1">
      <alignment horizontal="left" vertical="center" shrinkToFit="1"/>
    </xf>
    <xf numFmtId="0" fontId="55" fillId="0" borderId="178" xfId="2" applyFont="1" applyBorder="1" applyAlignment="1" applyProtection="1">
      <alignment horizontal="left" vertical="center" shrinkToFit="1"/>
    </xf>
    <xf numFmtId="0" fontId="55" fillId="0" borderId="180" xfId="2" applyFont="1" applyBorder="1" applyAlignment="1" applyProtection="1">
      <alignment horizontal="left" vertical="center" shrinkToFit="1"/>
    </xf>
    <xf numFmtId="0" fontId="55" fillId="0" borderId="232" xfId="2" applyFont="1" applyFill="1" applyBorder="1" applyAlignment="1" applyProtection="1">
      <alignment horizontal="center" vertical="center"/>
    </xf>
    <xf numFmtId="0" fontId="55" fillId="0" borderId="226" xfId="2" applyFont="1" applyFill="1" applyBorder="1" applyAlignment="1" applyProtection="1">
      <alignment horizontal="center" vertical="center"/>
    </xf>
    <xf numFmtId="0" fontId="55" fillId="0" borderId="143" xfId="2" applyFont="1" applyBorder="1" applyAlignment="1" applyProtection="1">
      <alignment horizontal="left" vertical="center" shrinkToFit="1"/>
    </xf>
    <xf numFmtId="0" fontId="55" fillId="0" borderId="52" xfId="2" applyFont="1" applyBorder="1" applyAlignment="1" applyProtection="1">
      <alignment horizontal="center" vertical="center" textRotation="255" shrinkToFit="1"/>
    </xf>
    <xf numFmtId="0" fontId="55" fillId="0" borderId="174" xfId="2" applyFont="1" applyBorder="1" applyAlignment="1" applyProtection="1">
      <alignment horizontal="center" vertical="center" textRotation="255" shrinkToFit="1"/>
    </xf>
    <xf numFmtId="0" fontId="55" fillId="0" borderId="69" xfId="2" applyFont="1" applyBorder="1" applyAlignment="1" applyProtection="1">
      <alignment horizontal="center" vertical="center" textRotation="255" shrinkToFit="1"/>
    </xf>
    <xf numFmtId="0" fontId="55" fillId="0" borderId="104" xfId="2" applyFont="1" applyBorder="1" applyAlignment="1" applyProtection="1">
      <alignment horizontal="center" vertical="center" textRotation="255" shrinkToFit="1"/>
    </xf>
    <xf numFmtId="0" fontId="55" fillId="0" borderId="58" xfId="2" applyFont="1" applyBorder="1" applyAlignment="1" applyProtection="1">
      <alignment horizontal="center" vertical="center" textRotation="255" shrinkToFit="1"/>
    </xf>
    <xf numFmtId="0" fontId="55" fillId="0" borderId="12" xfId="2" applyFont="1" applyBorder="1" applyAlignment="1" applyProtection="1">
      <alignment horizontal="center" vertical="center" textRotation="255" shrinkToFit="1"/>
    </xf>
    <xf numFmtId="0" fontId="7" fillId="0" borderId="57" xfId="2" applyBorder="1" applyAlignment="1">
      <alignment vertical="center" wrapText="1"/>
    </xf>
    <xf numFmtId="0" fontId="7" fillId="0" borderId="99" xfId="2" applyBorder="1" applyAlignment="1">
      <alignment vertical="center" wrapText="1"/>
    </xf>
    <xf numFmtId="0" fontId="7" fillId="0" borderId="84" xfId="2" applyBorder="1" applyAlignment="1">
      <alignment vertical="center" wrapText="1"/>
    </xf>
    <xf numFmtId="0" fontId="55" fillId="0" borderId="52" xfId="2" applyFont="1" applyBorder="1" applyProtection="1">
      <alignment vertical="center"/>
    </xf>
    <xf numFmtId="0" fontId="7" fillId="0" borderId="53" xfId="2" applyBorder="1" applyProtection="1">
      <alignment vertical="center"/>
    </xf>
    <xf numFmtId="0" fontId="7" fillId="0" borderId="174" xfId="2" applyBorder="1" applyProtection="1">
      <alignment vertical="center"/>
    </xf>
    <xf numFmtId="0" fontId="55" fillId="0" borderId="159" xfId="2" applyFont="1" applyBorder="1" applyProtection="1">
      <alignment vertical="center"/>
    </xf>
    <xf numFmtId="0" fontId="7" fillId="0" borderId="170" xfId="2" applyBorder="1" applyProtection="1">
      <alignment vertical="center"/>
    </xf>
    <xf numFmtId="0" fontId="7" fillId="0" borderId="158" xfId="2" applyBorder="1" applyProtection="1">
      <alignment vertical="center"/>
    </xf>
    <xf numFmtId="0" fontId="58" fillId="0" borderId="160" xfId="2" applyFont="1" applyBorder="1" applyAlignment="1" applyProtection="1">
      <alignment horizontal="center" vertical="center" wrapText="1"/>
    </xf>
    <xf numFmtId="0" fontId="7" fillId="0" borderId="53" xfId="2" applyBorder="1" applyAlignment="1" applyProtection="1">
      <alignment horizontal="center" vertical="center"/>
    </xf>
    <xf numFmtId="0" fontId="58" fillId="0" borderId="157" xfId="2" applyFont="1" applyBorder="1" applyAlignment="1" applyProtection="1">
      <alignment horizontal="center" vertical="center" wrapText="1"/>
    </xf>
    <xf numFmtId="0" fontId="7" fillId="0" borderId="170" xfId="2" applyBorder="1" applyAlignment="1" applyProtection="1">
      <alignment horizontal="center" vertical="center"/>
    </xf>
    <xf numFmtId="0" fontId="55" fillId="0" borderId="230" xfId="2" applyFont="1" applyFill="1" applyBorder="1" applyAlignment="1" applyProtection="1">
      <alignment horizontal="center" vertical="center"/>
    </xf>
    <xf numFmtId="0" fontId="55" fillId="0" borderId="62" xfId="2" applyFont="1" applyBorder="1" applyAlignment="1" applyProtection="1">
      <alignment horizontal="center" vertical="center" textRotation="255" shrinkToFit="1"/>
    </xf>
    <xf numFmtId="0" fontId="55" fillId="0" borderId="4" xfId="2" applyFont="1" applyBorder="1" applyAlignment="1" applyProtection="1">
      <alignment horizontal="center" vertical="center" textRotation="255" shrinkToFit="1"/>
    </xf>
    <xf numFmtId="0" fontId="55" fillId="0" borderId="99" xfId="2" applyFont="1" applyBorder="1" applyAlignment="1" applyProtection="1">
      <alignment horizontal="center" vertical="center" textRotation="255" shrinkToFit="1"/>
    </xf>
    <xf numFmtId="0" fontId="55" fillId="0" borderId="100" xfId="2" applyFont="1" applyBorder="1" applyAlignment="1" applyProtection="1">
      <alignment horizontal="center" vertical="center" textRotation="255" shrinkToFit="1"/>
    </xf>
    <xf numFmtId="0" fontId="55" fillId="0" borderId="5" xfId="2" applyFont="1" applyBorder="1" applyAlignment="1" applyProtection="1">
      <alignment horizontal="center" vertical="center" wrapText="1"/>
    </xf>
    <xf numFmtId="0" fontId="55" fillId="0" borderId="7" xfId="2" applyFont="1" applyBorder="1" applyAlignment="1" applyProtection="1">
      <alignment horizontal="center" vertical="center" wrapText="1"/>
    </xf>
    <xf numFmtId="0" fontId="55" fillId="0" borderId="6" xfId="2" applyFont="1" applyBorder="1" applyAlignment="1" applyProtection="1">
      <alignment horizontal="center" vertical="center" wrapText="1"/>
    </xf>
    <xf numFmtId="0" fontId="58" fillId="0" borderId="0" xfId="2" applyFont="1" applyAlignment="1" applyProtection="1">
      <alignment horizontal="center" vertical="center"/>
    </xf>
    <xf numFmtId="0" fontId="58" fillId="0" borderId="3" xfId="2" applyFont="1" applyBorder="1" applyAlignment="1" applyProtection="1">
      <alignment horizontal="left" vertical="center" wrapText="1"/>
    </xf>
    <xf numFmtId="0" fontId="58" fillId="0" borderId="2" xfId="2" applyFont="1" applyBorder="1" applyAlignment="1" applyProtection="1">
      <alignment horizontal="left" vertical="center" wrapText="1"/>
    </xf>
    <xf numFmtId="0" fontId="58" fillId="0" borderId="4" xfId="2" applyFont="1" applyBorder="1" applyAlignment="1" applyProtection="1">
      <alignment horizontal="left" vertical="center" wrapText="1"/>
    </xf>
    <xf numFmtId="0" fontId="55" fillId="0" borderId="7" xfId="2" applyFont="1" applyBorder="1" applyAlignment="1" applyProtection="1">
      <alignment horizontal="distributed"/>
    </xf>
    <xf numFmtId="0" fontId="61" fillId="0" borderId="0" xfId="2" applyFont="1" applyAlignment="1" applyProtection="1">
      <alignment horizontal="left" vertical="top" wrapText="1"/>
    </xf>
    <xf numFmtId="0" fontId="7" fillId="0" borderId="0" xfId="2" applyAlignment="1" applyProtection="1">
      <alignment horizontal="left" vertical="top" wrapText="1"/>
    </xf>
    <xf numFmtId="0" fontId="55" fillId="2" borderId="0" xfId="2" applyFont="1" applyFill="1" applyAlignment="1" applyProtection="1">
      <alignment horizontal="left" shrinkToFit="1"/>
      <protection locked="0"/>
    </xf>
    <xf numFmtId="0" fontId="55" fillId="0" borderId="0" xfId="2" applyFont="1" applyAlignment="1" applyProtection="1">
      <alignment horizontal="center" vertical="center"/>
    </xf>
    <xf numFmtId="0" fontId="55" fillId="0" borderId="10" xfId="2" applyFont="1" applyBorder="1" applyAlignment="1" applyProtection="1">
      <alignment horizontal="distributed"/>
    </xf>
    <xf numFmtId="192" fontId="70" fillId="0" borderId="7" xfId="2" applyNumberFormat="1" applyFont="1" applyBorder="1" applyAlignment="1" applyProtection="1">
      <alignment horizontal="right" vertical="center"/>
    </xf>
    <xf numFmtId="0" fontId="58" fillId="0" borderId="5" xfId="2" applyFont="1" applyBorder="1" applyAlignment="1" applyProtection="1">
      <alignment horizontal="left" vertical="center" wrapText="1"/>
    </xf>
    <xf numFmtId="0" fontId="58" fillId="0" borderId="7" xfId="2" applyFont="1" applyBorder="1" applyAlignment="1" applyProtection="1">
      <alignment horizontal="left" vertical="center" wrapText="1"/>
    </xf>
    <xf numFmtId="0" fontId="58" fillId="0" borderId="6" xfId="2" applyFont="1" applyBorder="1" applyAlignment="1" applyProtection="1">
      <alignment horizontal="left" vertical="center" wrapText="1"/>
    </xf>
    <xf numFmtId="38" fontId="70" fillId="8" borderId="5" xfId="2" applyNumberFormat="1" applyFont="1" applyFill="1" applyBorder="1" applyAlignment="1" applyProtection="1">
      <alignment horizontal="right"/>
    </xf>
    <xf numFmtId="38" fontId="70" fillId="8" borderId="7" xfId="2" applyNumberFormat="1" applyFont="1" applyFill="1" applyBorder="1" applyAlignment="1" applyProtection="1">
      <alignment horizontal="right"/>
    </xf>
    <xf numFmtId="38" fontId="70" fillId="8" borderId="6" xfId="2" applyNumberFormat="1" applyFont="1" applyFill="1" applyBorder="1" applyAlignment="1" applyProtection="1">
      <alignment horizontal="right"/>
    </xf>
    <xf numFmtId="0" fontId="58" fillId="2" borderId="5" xfId="2" applyFont="1" applyFill="1" applyBorder="1" applyAlignment="1" applyProtection="1">
      <alignment horizontal="center" vertical="center" wrapText="1"/>
      <protection locked="0"/>
    </xf>
    <xf numFmtId="0" fontId="58" fillId="2" borderId="7" xfId="2" applyFont="1" applyFill="1" applyBorder="1" applyAlignment="1" applyProtection="1">
      <alignment horizontal="center" vertical="center" wrapText="1"/>
      <protection locked="0"/>
    </xf>
    <xf numFmtId="0" fontId="58" fillId="2" borderId="6" xfId="2" applyFont="1" applyFill="1" applyBorder="1" applyAlignment="1" applyProtection="1">
      <alignment horizontal="center" vertical="center" wrapText="1"/>
      <protection locked="0"/>
    </xf>
    <xf numFmtId="192" fontId="70" fillId="8" borderId="7" xfId="2" applyNumberFormat="1" applyFont="1" applyFill="1" applyBorder="1" applyAlignment="1" applyProtection="1">
      <alignment horizontal="right" vertical="center"/>
    </xf>
    <xf numFmtId="0" fontId="71" fillId="9" borderId="7" xfId="2" applyFont="1" applyFill="1" applyBorder="1" applyAlignment="1" applyProtection="1">
      <alignment horizontal="left" vertical="center" wrapText="1"/>
    </xf>
    <xf numFmtId="0" fontId="71" fillId="9" borderId="6" xfId="2" applyFont="1" applyFill="1" applyBorder="1" applyAlignment="1" applyProtection="1">
      <alignment horizontal="left" vertical="center" wrapText="1"/>
    </xf>
    <xf numFmtId="192" fontId="70" fillId="2" borderId="7" xfId="2" applyNumberFormat="1" applyFont="1" applyFill="1" applyBorder="1" applyAlignment="1" applyProtection="1">
      <alignment horizontal="right" vertical="center"/>
      <protection locked="0"/>
    </xf>
    <xf numFmtId="0" fontId="58" fillId="0" borderId="162" xfId="2" applyFont="1" applyBorder="1" applyAlignment="1" applyProtection="1">
      <alignment horizontal="distributed" vertical="center"/>
    </xf>
    <xf numFmtId="0" fontId="58" fillId="0" borderId="163" xfId="2" applyFont="1" applyBorder="1" applyAlignment="1" applyProtection="1">
      <alignment horizontal="distributed" vertical="center"/>
    </xf>
    <xf numFmtId="0" fontId="55" fillId="0" borderId="5" xfId="2" applyFont="1" applyBorder="1" applyAlignment="1" applyProtection="1">
      <alignment horizontal="center" vertical="center"/>
    </xf>
    <xf numFmtId="0" fontId="55" fillId="0" borderId="7" xfId="2" applyFont="1" applyBorder="1" applyAlignment="1" applyProtection="1">
      <alignment horizontal="center" vertical="center"/>
    </xf>
    <xf numFmtId="0" fontId="55" fillId="0" borderId="6" xfId="2" applyFont="1" applyBorder="1" applyAlignment="1" applyProtection="1">
      <alignment horizontal="center" vertical="center"/>
    </xf>
    <xf numFmtId="192" fontId="70" fillId="8" borderId="7" xfId="2" applyNumberFormat="1" applyFont="1" applyFill="1" applyBorder="1" applyAlignment="1">
      <alignment horizontal="right" vertical="center"/>
    </xf>
    <xf numFmtId="0" fontId="55" fillId="0" borderId="157" xfId="2" applyFont="1" applyBorder="1" applyAlignment="1" applyProtection="1">
      <alignment horizontal="center" vertical="center"/>
    </xf>
    <xf numFmtId="0" fontId="55" fillId="0" borderId="170" xfId="2" applyFont="1" applyBorder="1" applyAlignment="1" applyProtection="1">
      <alignment horizontal="center" vertical="center"/>
    </xf>
    <xf numFmtId="0" fontId="55" fillId="0" borderId="161" xfId="2" applyFont="1" applyBorder="1" applyAlignment="1" applyProtection="1">
      <alignment horizontal="center" vertical="center"/>
    </xf>
    <xf numFmtId="0" fontId="55" fillId="0" borderId="187" xfId="2" applyFont="1" applyBorder="1" applyAlignment="1" applyProtection="1">
      <alignment horizontal="left" vertical="center"/>
    </xf>
    <xf numFmtId="0" fontId="55" fillId="0" borderId="106" xfId="2" applyFont="1" applyBorder="1" applyAlignment="1" applyProtection="1">
      <alignment horizontal="left" vertical="center"/>
    </xf>
    <xf numFmtId="0" fontId="55" fillId="0" borderId="186" xfId="2" applyFont="1" applyBorder="1" applyAlignment="1" applyProtection="1">
      <alignment horizontal="left" vertical="center"/>
    </xf>
    <xf numFmtId="0" fontId="58" fillId="0" borderId="8" xfId="2" applyFont="1" applyBorder="1" applyAlignment="1" applyProtection="1">
      <alignment horizontal="left" vertical="center" wrapText="1"/>
    </xf>
    <xf numFmtId="192" fontId="70" fillId="0" borderId="7" xfId="2" applyNumberFormat="1" applyFont="1" applyFill="1" applyBorder="1" applyAlignment="1" applyProtection="1">
      <alignment horizontal="right" vertical="center"/>
    </xf>
    <xf numFmtId="0" fontId="55" fillId="0" borderId="81" xfId="2" applyFont="1" applyBorder="1" applyAlignment="1" applyProtection="1">
      <alignment horizontal="left" vertical="center"/>
    </xf>
    <xf numFmtId="0" fontId="55" fillId="0" borderId="82" xfId="2" applyFont="1" applyBorder="1" applyAlignment="1" applyProtection="1">
      <alignment horizontal="left" vertical="center"/>
    </xf>
    <xf numFmtId="0" fontId="55" fillId="0" borderId="83" xfId="2" applyFont="1" applyBorder="1" applyAlignment="1" applyProtection="1">
      <alignment horizontal="left" vertical="center"/>
    </xf>
    <xf numFmtId="0" fontId="58" fillId="0" borderId="90" xfId="2" applyFont="1" applyBorder="1" applyAlignment="1" applyProtection="1">
      <alignment horizontal="distributed" vertical="center"/>
    </xf>
    <xf numFmtId="0" fontId="58" fillId="0" borderId="8" xfId="2" applyFont="1" applyBorder="1" applyAlignment="1" applyProtection="1">
      <alignment horizontal="distributed" vertical="center"/>
    </xf>
    <xf numFmtId="0" fontId="55" fillId="0" borderId="11" xfId="2" applyFont="1" applyBorder="1" applyAlignment="1" applyProtection="1">
      <alignment vertical="center" shrinkToFit="1"/>
    </xf>
    <xf numFmtId="0" fontId="55" fillId="0" borderId="10" xfId="2" applyFont="1" applyBorder="1" applyAlignment="1" applyProtection="1">
      <alignment vertical="center" shrinkToFit="1"/>
    </xf>
    <xf numFmtId="0" fontId="55" fillId="0" borderId="61" xfId="2" applyFont="1" applyBorder="1" applyAlignment="1" applyProtection="1">
      <alignment vertical="center" shrinkToFit="1"/>
    </xf>
    <xf numFmtId="0" fontId="69" fillId="0" borderId="0" xfId="2" applyFont="1" applyAlignment="1" applyProtection="1">
      <alignment horizontal="center" vertical="center"/>
    </xf>
    <xf numFmtId="0" fontId="58" fillId="0" borderId="54" xfId="2" applyFont="1" applyBorder="1" applyAlignment="1" applyProtection="1">
      <alignment horizontal="distributed" vertical="center"/>
    </xf>
    <xf numFmtId="0" fontId="58" fillId="0" borderId="55" xfId="2" applyFont="1" applyBorder="1" applyAlignment="1" applyProtection="1">
      <alignment horizontal="distributed" vertical="center"/>
    </xf>
    <xf numFmtId="0" fontId="55" fillId="0" borderId="87" xfId="2" applyFont="1" applyBorder="1" applyAlignment="1" applyProtection="1">
      <alignment vertical="center" shrinkToFit="1"/>
    </xf>
    <xf numFmtId="0" fontId="55" fillId="0" borderId="167" xfId="2" applyFont="1" applyBorder="1" applyAlignment="1" applyProtection="1">
      <alignment vertical="center" shrinkToFit="1"/>
    </xf>
    <xf numFmtId="0" fontId="55" fillId="0" borderId="116" xfId="2" applyFont="1" applyBorder="1" applyAlignment="1" applyProtection="1">
      <alignment vertical="center" shrinkToFit="1"/>
    </xf>
    <xf numFmtId="0" fontId="76" fillId="0" borderId="8" xfId="6" applyFont="1" applyBorder="1" applyAlignment="1" applyProtection="1">
      <alignment horizontal="left" vertical="center" shrinkToFit="1"/>
      <protection locked="0"/>
    </xf>
    <xf numFmtId="0" fontId="83" fillId="9" borderId="6" xfId="6" applyNumberFormat="1" applyFont="1" applyFill="1" applyBorder="1" applyAlignment="1" applyProtection="1">
      <alignment horizontal="left" vertical="center" shrinkToFit="1"/>
      <protection locked="0"/>
    </xf>
    <xf numFmtId="0" fontId="83" fillId="9" borderId="8" xfId="6" applyNumberFormat="1" applyFont="1" applyFill="1" applyBorder="1" applyAlignment="1" applyProtection="1">
      <alignment horizontal="left" vertical="center" shrinkToFit="1"/>
      <protection locked="0"/>
    </xf>
    <xf numFmtId="0" fontId="76" fillId="0" borderId="0" xfId="4" applyFont="1" applyAlignment="1">
      <alignment horizontal="left" vertical="top"/>
    </xf>
    <xf numFmtId="0" fontId="76" fillId="0" borderId="0" xfId="6" applyFont="1" applyAlignment="1">
      <alignment horizontal="left" vertical="top" wrapText="1" shrinkToFit="1"/>
    </xf>
    <xf numFmtId="0" fontId="76" fillId="0" borderId="0" xfId="6" applyFont="1" applyAlignment="1">
      <alignment horizontal="left" vertical="top" shrinkToFit="1"/>
    </xf>
    <xf numFmtId="0" fontId="76" fillId="0" borderId="49" xfId="6" applyFont="1" applyBorder="1" applyAlignment="1">
      <alignment horizontal="center" vertical="center" shrinkToFit="1"/>
    </xf>
    <xf numFmtId="0" fontId="76" fillId="0" borderId="50" xfId="6" applyFont="1" applyBorder="1" applyAlignment="1">
      <alignment horizontal="center" vertical="center" shrinkToFit="1"/>
    </xf>
    <xf numFmtId="0" fontId="76" fillId="0" borderId="14" xfId="6" applyFont="1" applyBorder="1" applyAlignment="1" applyProtection="1">
      <alignment horizontal="left" vertical="center" shrinkToFit="1"/>
      <protection locked="0"/>
    </xf>
    <xf numFmtId="38" fontId="76" fillId="0" borderId="202" xfId="6" applyNumberFormat="1" applyFont="1" applyBorder="1" applyAlignment="1" applyProtection="1">
      <alignment horizontal="center" vertical="center" shrinkToFit="1"/>
    </xf>
    <xf numFmtId="38" fontId="76" fillId="0" borderId="198" xfId="6" applyNumberFormat="1" applyFont="1" applyBorder="1" applyAlignment="1" applyProtection="1">
      <alignment horizontal="center" vertical="center" shrinkToFit="1"/>
    </xf>
    <xf numFmtId="38" fontId="76" fillId="0" borderId="191" xfId="6" applyNumberFormat="1" applyFont="1" applyBorder="1" applyAlignment="1" applyProtection="1">
      <alignment horizontal="center" vertical="center" shrinkToFit="1"/>
    </xf>
    <xf numFmtId="0" fontId="76" fillId="0" borderId="6" xfId="6" applyNumberFormat="1" applyFont="1" applyBorder="1" applyAlignment="1" applyProtection="1">
      <alignment horizontal="left" vertical="center" shrinkToFit="1"/>
      <protection locked="0"/>
    </xf>
    <xf numFmtId="0" fontId="76" fillId="0" borderId="8" xfId="6" applyNumberFormat="1" applyFont="1" applyBorder="1" applyAlignment="1" applyProtection="1">
      <alignment horizontal="left" vertical="center" shrinkToFit="1"/>
      <protection locked="0"/>
    </xf>
    <xf numFmtId="0" fontId="76" fillId="0" borderId="5" xfId="6" applyFont="1" applyBorder="1" applyAlignment="1" applyProtection="1">
      <alignment horizontal="left" vertical="center" shrinkToFit="1"/>
      <protection locked="0"/>
    </xf>
    <xf numFmtId="0" fontId="76" fillId="0" borderId="7" xfId="6" applyFont="1" applyBorder="1" applyAlignment="1" applyProtection="1">
      <alignment horizontal="left" vertical="center" shrinkToFit="1"/>
      <protection locked="0"/>
    </xf>
    <xf numFmtId="0" fontId="76" fillId="0" borderId="6" xfId="6" applyFont="1" applyBorder="1" applyAlignment="1" applyProtection="1">
      <alignment horizontal="left" vertical="center" shrinkToFit="1"/>
      <protection locked="0"/>
    </xf>
    <xf numFmtId="0" fontId="81" fillId="9" borderId="3" xfId="7" applyFont="1" applyFill="1" applyBorder="1" applyAlignment="1">
      <alignment horizontal="center" vertical="center" wrapText="1" shrinkToFit="1"/>
    </xf>
    <xf numFmtId="0" fontId="81" fillId="9" borderId="13" xfId="7" applyFont="1" applyFill="1" applyBorder="1" applyAlignment="1">
      <alignment horizontal="center" vertical="center" wrapText="1" shrinkToFit="1"/>
    </xf>
    <xf numFmtId="0" fontId="81" fillId="9" borderId="11" xfId="7" applyFont="1" applyFill="1" applyBorder="1" applyAlignment="1">
      <alignment horizontal="center" vertical="center" wrapText="1" shrinkToFit="1"/>
    </xf>
    <xf numFmtId="0" fontId="76" fillId="0" borderId="0" xfId="4" applyFont="1" applyAlignment="1">
      <alignment horizontal="left" vertical="top" wrapText="1"/>
    </xf>
    <xf numFmtId="0" fontId="76" fillId="9" borderId="189" xfId="6" applyNumberFormat="1" applyFont="1" applyFill="1" applyBorder="1" applyAlignment="1">
      <alignment horizontal="left" vertical="center" shrinkToFit="1"/>
    </xf>
    <xf numFmtId="0" fontId="76" fillId="9" borderId="188" xfId="6" applyNumberFormat="1" applyFont="1" applyFill="1" applyBorder="1" applyAlignment="1">
      <alignment horizontal="left" vertical="center" shrinkToFit="1"/>
    </xf>
    <xf numFmtId="0" fontId="81" fillId="0" borderId="5" xfId="4" applyFont="1" applyBorder="1" applyAlignment="1">
      <alignment horizontal="left" vertical="center" wrapText="1"/>
    </xf>
    <xf numFmtId="0" fontId="81" fillId="0" borderId="7" xfId="4" applyFont="1" applyBorder="1" applyAlignment="1">
      <alignment horizontal="left" vertical="center" wrapText="1"/>
    </xf>
    <xf numFmtId="0" fontId="81" fillId="0" borderId="6" xfId="4" applyFont="1" applyBorder="1" applyAlignment="1">
      <alignment horizontal="left" vertical="center" wrapText="1"/>
    </xf>
    <xf numFmtId="38" fontId="76" fillId="0" borderId="200" xfId="6" applyNumberFormat="1" applyFont="1" applyBorder="1" applyAlignment="1" applyProtection="1">
      <alignment horizontal="center" vertical="center" shrinkToFit="1"/>
    </xf>
    <xf numFmtId="0" fontId="81" fillId="9" borderId="59" xfId="7" applyFont="1" applyFill="1" applyBorder="1" applyAlignment="1">
      <alignment horizontal="center" vertical="center" wrapText="1" shrinkToFit="1"/>
    </xf>
    <xf numFmtId="0" fontId="81" fillId="9" borderId="5" xfId="6" applyFont="1" applyFill="1" applyBorder="1" applyAlignment="1">
      <alignment horizontal="center" vertical="center" wrapText="1"/>
    </xf>
    <xf numFmtId="0" fontId="81" fillId="9" borderId="7" xfId="6" applyFont="1" applyFill="1" applyBorder="1" applyAlignment="1">
      <alignment horizontal="center" vertical="center" wrapText="1"/>
    </xf>
    <xf numFmtId="0" fontId="81" fillId="9" borderId="6" xfId="6" applyFont="1" applyFill="1" applyBorder="1" applyAlignment="1">
      <alignment horizontal="center" vertical="center" wrapText="1"/>
    </xf>
    <xf numFmtId="0" fontId="83" fillId="9" borderId="6" xfId="6" applyNumberFormat="1" applyFont="1" applyFill="1" applyBorder="1" applyAlignment="1" applyProtection="1">
      <alignment horizontal="left" vertical="center" wrapText="1" shrinkToFit="1"/>
      <protection locked="0"/>
    </xf>
    <xf numFmtId="0" fontId="83" fillId="0" borderId="6" xfId="6" applyNumberFormat="1" applyFont="1" applyBorder="1" applyAlignment="1" applyProtection="1">
      <alignment horizontal="left" vertical="center" shrinkToFit="1"/>
      <protection locked="0"/>
    </xf>
    <xf numFmtId="0" fontId="83" fillId="0" borderId="8" xfId="6" applyNumberFormat="1" applyFont="1" applyBorder="1" applyAlignment="1" applyProtection="1">
      <alignment horizontal="left" vertical="center" shrinkToFit="1"/>
      <protection locked="0"/>
    </xf>
    <xf numFmtId="0" fontId="76" fillId="0" borderId="9" xfId="6" applyFont="1" applyBorder="1" applyAlignment="1" applyProtection="1">
      <alignment horizontal="left" vertical="center" shrinkToFit="1"/>
      <protection locked="0"/>
    </xf>
    <xf numFmtId="38" fontId="76" fillId="9" borderId="204" xfId="6" applyNumberFormat="1" applyFont="1" applyFill="1" applyBorder="1" applyAlignment="1" applyProtection="1">
      <alignment horizontal="center" vertical="center" shrinkToFit="1"/>
    </xf>
    <xf numFmtId="38" fontId="76" fillId="9" borderId="194" xfId="6" applyNumberFormat="1" applyFont="1" applyFill="1" applyBorder="1" applyAlignment="1" applyProtection="1">
      <alignment horizontal="center" vertical="center" shrinkToFit="1"/>
    </xf>
    <xf numFmtId="0" fontId="76" fillId="9" borderId="204" xfId="6" applyFont="1" applyFill="1" applyBorder="1" applyAlignment="1" applyProtection="1">
      <alignment horizontal="center" vertical="center" shrinkToFit="1"/>
    </xf>
    <xf numFmtId="0" fontId="76" fillId="9" borderId="194" xfId="6" applyFont="1" applyFill="1" applyBorder="1" applyAlignment="1" applyProtection="1">
      <alignment horizontal="center" vertical="center" shrinkToFit="1"/>
    </xf>
    <xf numFmtId="0" fontId="76" fillId="9" borderId="193" xfId="6" applyFont="1" applyFill="1" applyBorder="1" applyAlignment="1" applyProtection="1">
      <alignment horizontal="center" vertical="center" shrinkToFit="1"/>
    </xf>
    <xf numFmtId="38" fontId="76" fillId="0" borderId="203" xfId="6" applyNumberFormat="1" applyFont="1" applyBorder="1" applyAlignment="1" applyProtection="1">
      <alignment horizontal="center" vertical="center" shrinkToFit="1"/>
    </xf>
    <xf numFmtId="38" fontId="76" fillId="0" borderId="199" xfId="6" applyNumberFormat="1" applyFont="1" applyBorder="1" applyAlignment="1" applyProtection="1">
      <alignment horizontal="center" vertical="center" shrinkToFit="1"/>
    </xf>
    <xf numFmtId="38" fontId="76" fillId="0" borderId="192" xfId="6" applyNumberFormat="1" applyFont="1" applyBorder="1" applyAlignment="1" applyProtection="1">
      <alignment horizontal="center" vertical="center" shrinkToFit="1"/>
    </xf>
    <xf numFmtId="0" fontId="81" fillId="9" borderId="8" xfId="7" applyFont="1" applyFill="1" applyBorder="1" applyAlignment="1">
      <alignment horizontal="center" vertical="center" wrapText="1" shrinkToFit="1"/>
    </xf>
    <xf numFmtId="0" fontId="81" fillId="12" borderId="91" xfId="7" applyFont="1" applyFill="1" applyBorder="1" applyAlignment="1">
      <alignment horizontal="center" vertical="center" wrapText="1" shrinkToFit="1"/>
    </xf>
    <xf numFmtId="0" fontId="89" fillId="0" borderId="88" xfId="6" applyFont="1" applyBorder="1" applyAlignment="1">
      <alignment horizontal="center" vertical="center"/>
    </xf>
    <xf numFmtId="0" fontId="89" fillId="0" borderId="85" xfId="6" applyFont="1" applyBorder="1" applyAlignment="1">
      <alignment horizontal="center" vertical="center"/>
    </xf>
    <xf numFmtId="0" fontId="89" fillId="0" borderId="103" xfId="6" applyFont="1" applyBorder="1" applyAlignment="1">
      <alignment horizontal="center" vertical="center"/>
    </xf>
    <xf numFmtId="0" fontId="81" fillId="9" borderId="131" xfId="7" applyFont="1" applyFill="1" applyBorder="1" applyAlignment="1">
      <alignment horizontal="center" vertical="center" wrapText="1" shrinkToFit="1"/>
    </xf>
    <xf numFmtId="0" fontId="81" fillId="9" borderId="128" xfId="7" applyFont="1" applyFill="1" applyBorder="1" applyAlignment="1">
      <alignment horizontal="center" vertical="center" wrapText="1" shrinkToFit="1"/>
    </xf>
    <xf numFmtId="0" fontId="81" fillId="9" borderId="5" xfId="7" applyFont="1" applyFill="1" applyBorder="1" applyAlignment="1">
      <alignment horizontal="center" vertical="center" shrinkToFit="1"/>
    </xf>
    <xf numFmtId="0" fontId="81" fillId="9" borderId="7" xfId="7" applyFont="1" applyFill="1" applyBorder="1" applyAlignment="1">
      <alignment horizontal="center" vertical="center" shrinkToFit="1"/>
    </xf>
    <xf numFmtId="0" fontId="81" fillId="9" borderId="1" xfId="6" applyFont="1" applyFill="1" applyBorder="1" applyAlignment="1">
      <alignment horizontal="center" vertical="center" wrapText="1"/>
    </xf>
    <xf numFmtId="0" fontId="81" fillId="9" borderId="9" xfId="6" applyFont="1" applyFill="1" applyBorder="1" applyAlignment="1">
      <alignment horizontal="center" vertical="center" wrapText="1"/>
    </xf>
    <xf numFmtId="0" fontId="88" fillId="0" borderId="53" xfId="4" applyFont="1" applyBorder="1" applyAlignment="1">
      <alignment horizontal="center" vertical="center" wrapText="1"/>
    </xf>
    <xf numFmtId="0" fontId="88" fillId="0" borderId="57" xfId="4" applyFont="1" applyBorder="1" applyAlignment="1">
      <alignment horizontal="center" vertical="center" wrapText="1"/>
    </xf>
    <xf numFmtId="0" fontId="88" fillId="0" borderId="0" xfId="4" applyFont="1" applyAlignment="1">
      <alignment horizontal="center" vertical="center" wrapText="1"/>
    </xf>
    <xf numFmtId="0" fontId="88" fillId="0" borderId="138" xfId="4" applyFont="1" applyBorder="1" applyAlignment="1">
      <alignment horizontal="center" vertical="center" wrapText="1"/>
    </xf>
    <xf numFmtId="0" fontId="88" fillId="0" borderId="139" xfId="4" applyFont="1" applyBorder="1" applyAlignment="1">
      <alignment horizontal="center" vertical="center" wrapText="1"/>
    </xf>
    <xf numFmtId="0" fontId="88" fillId="0" borderId="84" xfId="4" applyFont="1" applyBorder="1" applyAlignment="1">
      <alignment horizontal="center" vertical="center" wrapText="1"/>
    </xf>
    <xf numFmtId="0" fontId="86" fillId="0" borderId="0" xfId="6" applyFont="1" applyAlignment="1">
      <alignment horizontal="left" vertical="center"/>
    </xf>
    <xf numFmtId="0" fontId="76" fillId="0" borderId="8" xfId="6" applyFont="1" applyBorder="1" applyAlignment="1">
      <alignment horizontal="center" vertical="center"/>
    </xf>
    <xf numFmtId="0" fontId="76" fillId="0" borderId="8" xfId="6" applyFont="1" applyBorder="1" applyAlignment="1">
      <alignment horizontal="center" vertical="center" wrapText="1"/>
    </xf>
    <xf numFmtId="0" fontId="76" fillId="0" borderId="6" xfId="6" applyFont="1" applyBorder="1" applyAlignment="1">
      <alignment horizontal="center" vertical="center" wrapText="1" shrinkToFit="1"/>
    </xf>
    <xf numFmtId="0" fontId="76" fillId="0" borderId="8" xfId="6" applyFont="1" applyBorder="1" applyAlignment="1">
      <alignment horizontal="center" vertical="center" wrapText="1" shrinkToFit="1"/>
    </xf>
    <xf numFmtId="0" fontId="85" fillId="9" borderId="132" xfId="6" applyFont="1" applyFill="1" applyBorder="1" applyAlignment="1">
      <alignment horizontal="center" vertical="center"/>
    </xf>
    <xf numFmtId="0" fontId="85" fillId="9" borderId="61" xfId="6" applyFont="1" applyFill="1" applyBorder="1" applyAlignment="1">
      <alignment horizontal="center" vertical="center"/>
    </xf>
    <xf numFmtId="0" fontId="85" fillId="9" borderId="5" xfId="4" applyFont="1" applyFill="1" applyBorder="1" applyAlignment="1">
      <alignment horizontal="center" vertical="center"/>
    </xf>
    <xf numFmtId="0" fontId="85" fillId="9" borderId="7" xfId="4" applyFont="1" applyFill="1" applyBorder="1" applyAlignment="1">
      <alignment horizontal="center" vertical="center"/>
    </xf>
    <xf numFmtId="0" fontId="85" fillId="9" borderId="6" xfId="4" applyFont="1" applyFill="1" applyBorder="1" applyAlignment="1">
      <alignment horizontal="center" vertical="center"/>
    </xf>
    <xf numFmtId="0" fontId="81" fillId="9" borderId="90" xfId="7" applyFont="1" applyFill="1" applyBorder="1" applyAlignment="1">
      <alignment horizontal="center" vertical="center" wrapText="1" shrinkToFit="1"/>
    </xf>
    <xf numFmtId="0" fontId="81" fillId="12" borderId="8" xfId="7" applyFont="1" applyFill="1" applyBorder="1" applyAlignment="1">
      <alignment horizontal="center" vertical="center" wrapText="1" shrinkToFit="1"/>
    </xf>
    <xf numFmtId="0" fontId="86" fillId="9" borderId="54" xfId="6" applyFont="1" applyFill="1" applyBorder="1" applyAlignment="1">
      <alignment horizontal="center" vertical="center"/>
    </xf>
    <xf numFmtId="0" fontId="86" fillId="9" borderId="55" xfId="6" applyFont="1" applyFill="1" applyBorder="1" applyAlignment="1">
      <alignment horizontal="center" vertical="center"/>
    </xf>
    <xf numFmtId="0" fontId="86" fillId="9" borderId="87" xfId="6" applyFont="1" applyFill="1" applyBorder="1" applyAlignment="1">
      <alignment horizontal="center" vertical="center"/>
    </xf>
    <xf numFmtId="0" fontId="86" fillId="9" borderId="56" xfId="6" applyFont="1" applyFill="1" applyBorder="1" applyAlignment="1">
      <alignment horizontal="center" vertical="center"/>
    </xf>
    <xf numFmtId="0" fontId="86" fillId="9" borderId="115" xfId="4" applyFont="1" applyFill="1" applyBorder="1" applyAlignment="1">
      <alignment horizontal="center" vertical="center"/>
    </xf>
    <xf numFmtId="0" fontId="86" fillId="9" borderId="53" xfId="4" applyFont="1" applyFill="1" applyBorder="1" applyAlignment="1">
      <alignment horizontal="center" vertical="center"/>
    </xf>
    <xf numFmtId="0" fontId="86" fillId="9" borderId="167" xfId="4" applyFont="1" applyFill="1" applyBorder="1" applyAlignment="1">
      <alignment horizontal="center" vertical="center"/>
    </xf>
    <xf numFmtId="0" fontId="86" fillId="9" borderId="116" xfId="4" applyFont="1" applyFill="1" applyBorder="1" applyAlignment="1">
      <alignment horizontal="center" vertical="center"/>
    </xf>
    <xf numFmtId="0" fontId="81" fillId="9" borderId="6" xfId="7" applyFont="1" applyFill="1" applyBorder="1" applyAlignment="1">
      <alignment horizontal="center" vertical="center" wrapText="1" shrinkToFit="1"/>
    </xf>
    <xf numFmtId="0" fontId="55" fillId="0" borderId="205" xfId="2" applyFont="1" applyBorder="1" applyAlignment="1">
      <alignment horizontal="center" vertical="center" wrapText="1"/>
    </xf>
    <xf numFmtId="0" fontId="55" fillId="0" borderId="83" xfId="2" applyFont="1" applyBorder="1" applyAlignment="1">
      <alignment horizontal="center" vertical="center" wrapText="1"/>
    </xf>
    <xf numFmtId="0" fontId="55" fillId="0" borderId="159" xfId="2" applyFont="1" applyBorder="1" applyAlignment="1">
      <alignment horizontal="center" vertical="center"/>
    </xf>
    <xf numFmtId="0" fontId="55" fillId="0" borderId="158" xfId="2" applyFont="1" applyBorder="1" applyAlignment="1">
      <alignment horizontal="center" vertical="center"/>
    </xf>
    <xf numFmtId="0" fontId="55" fillId="0" borderId="0" xfId="2" applyFont="1" applyAlignment="1">
      <alignment vertical="top" wrapText="1"/>
    </xf>
    <xf numFmtId="0" fontId="55" fillId="0" borderId="0" xfId="2" applyFont="1" applyAlignment="1">
      <alignment vertical="top"/>
    </xf>
    <xf numFmtId="0" fontId="55" fillId="0" borderId="185" xfId="2" applyFont="1" applyBorder="1" applyAlignment="1">
      <alignment horizontal="center" vertical="center"/>
    </xf>
    <xf numFmtId="0" fontId="55" fillId="0" borderId="81" xfId="2" applyFont="1" applyBorder="1" applyAlignment="1">
      <alignment horizontal="center" vertical="center"/>
    </xf>
    <xf numFmtId="0" fontId="55" fillId="0" borderId="184" xfId="2" applyFont="1" applyBorder="1" applyAlignment="1">
      <alignment horizontal="center" vertical="center"/>
    </xf>
    <xf numFmtId="0" fontId="55" fillId="0" borderId="82" xfId="2" applyFont="1" applyBorder="1" applyAlignment="1">
      <alignment horizontal="center" vertical="center"/>
    </xf>
    <xf numFmtId="0" fontId="55" fillId="0" borderId="184" xfId="2" applyFont="1" applyBorder="1" applyAlignment="1">
      <alignment horizontal="center" vertical="center" wrapText="1"/>
    </xf>
    <xf numFmtId="0" fontId="55" fillId="0" borderId="82" xfId="2" applyFont="1" applyBorder="1" applyAlignment="1">
      <alignment horizontal="center" vertical="center" wrapText="1"/>
    </xf>
    <xf numFmtId="0" fontId="69" fillId="0" borderId="0" xfId="2" applyFont="1" applyFill="1" applyAlignment="1" applyProtection="1">
      <alignment horizontal="center" vertical="center"/>
    </xf>
    <xf numFmtId="0" fontId="55" fillId="0" borderId="5" xfId="2" applyFont="1" applyBorder="1" applyAlignment="1">
      <alignment horizontal="center" vertical="center"/>
    </xf>
    <xf numFmtId="0" fontId="55" fillId="0" borderId="7" xfId="2" applyFont="1" applyBorder="1" applyAlignment="1">
      <alignment horizontal="center" vertical="center"/>
    </xf>
    <xf numFmtId="0" fontId="55" fillId="0" borderId="6" xfId="2" applyFont="1" applyBorder="1" applyAlignment="1">
      <alignment horizontal="center" vertical="center"/>
    </xf>
    <xf numFmtId="0" fontId="58" fillId="0" borderId="5" xfId="2" applyFont="1" applyBorder="1" applyAlignment="1">
      <alignment horizontal="center" vertical="center" wrapText="1"/>
    </xf>
    <xf numFmtId="0" fontId="58" fillId="0" borderId="7" xfId="2" applyFont="1" applyBorder="1" applyAlignment="1">
      <alignment horizontal="center" vertical="center" wrapText="1"/>
    </xf>
    <xf numFmtId="0" fontId="58" fillId="0" borderId="6" xfId="2" applyFont="1" applyBorder="1" applyAlignment="1">
      <alignment horizontal="center" vertical="center" wrapText="1"/>
    </xf>
    <xf numFmtId="192" fontId="70" fillId="0" borderId="7" xfId="2" applyNumberFormat="1" applyFont="1" applyFill="1" applyBorder="1" applyAlignment="1">
      <alignment horizontal="right" vertical="center"/>
    </xf>
    <xf numFmtId="0" fontId="55" fillId="0" borderId="11" xfId="2" applyFont="1" applyBorder="1" applyAlignment="1">
      <alignment vertical="center" shrinkToFit="1"/>
    </xf>
    <xf numFmtId="0" fontId="55" fillId="0" borderId="10" xfId="2" applyFont="1" applyBorder="1" applyAlignment="1">
      <alignment vertical="center" shrinkToFit="1"/>
    </xf>
    <xf numFmtId="0" fontId="55" fillId="0" borderId="61" xfId="2" applyFont="1" applyBorder="1" applyAlignment="1">
      <alignment vertical="center" shrinkToFit="1"/>
    </xf>
    <xf numFmtId="0" fontId="55" fillId="2" borderId="0" xfId="2" applyFont="1" applyFill="1" applyAlignment="1" applyProtection="1">
      <alignment horizontal="left" vertical="center" shrinkToFit="1"/>
      <protection locked="0"/>
    </xf>
    <xf numFmtId="0" fontId="55" fillId="0" borderId="0" xfId="2" applyFont="1" applyAlignment="1">
      <alignment horizontal="left" vertical="center" wrapText="1"/>
    </xf>
    <xf numFmtId="0" fontId="61" fillId="0" borderId="0" xfId="2" applyFont="1" applyAlignment="1">
      <alignment horizontal="left" vertical="center" wrapText="1"/>
    </xf>
    <xf numFmtId="0" fontId="58" fillId="2" borderId="8" xfId="2" applyFont="1" applyFill="1" applyBorder="1" applyAlignment="1" applyProtection="1">
      <alignment horizontal="center" vertical="center"/>
      <protection locked="0"/>
    </xf>
    <xf numFmtId="0" fontId="61" fillId="0" borderId="8" xfId="2" applyFont="1" applyBorder="1" applyAlignment="1">
      <alignment horizontal="left" vertical="center" wrapText="1"/>
    </xf>
    <xf numFmtId="0" fontId="56" fillId="0" borderId="0" xfId="2" applyFont="1" applyAlignment="1">
      <alignment horizontal="left" vertical="top" wrapText="1"/>
    </xf>
    <xf numFmtId="0" fontId="94" fillId="2" borderId="11" xfId="2" applyFont="1" applyFill="1" applyBorder="1" applyProtection="1">
      <alignment vertical="center"/>
      <protection locked="0"/>
    </xf>
    <xf numFmtId="0" fontId="94" fillId="2" borderId="10" xfId="2" applyFont="1" applyFill="1" applyBorder="1" applyProtection="1">
      <alignment vertical="center"/>
      <protection locked="0"/>
    </xf>
    <xf numFmtId="0" fontId="94" fillId="2" borderId="12" xfId="2" applyFont="1" applyFill="1" applyBorder="1" applyProtection="1">
      <alignment vertical="center"/>
      <protection locked="0"/>
    </xf>
    <xf numFmtId="0" fontId="58" fillId="9" borderId="90" xfId="2" applyFont="1" applyFill="1" applyBorder="1" applyAlignment="1">
      <alignment horizontal="center" vertical="center"/>
    </xf>
    <xf numFmtId="0" fontId="58" fillId="9" borderId="8" xfId="2" applyFont="1" applyFill="1" applyBorder="1" applyAlignment="1">
      <alignment horizontal="center" vertical="center"/>
    </xf>
    <xf numFmtId="0" fontId="94" fillId="2" borderId="5" xfId="2" applyFont="1" applyFill="1" applyBorder="1" applyProtection="1">
      <alignment vertical="center"/>
      <protection locked="0"/>
    </xf>
    <xf numFmtId="0" fontId="94" fillId="2" borderId="7" xfId="2" applyFont="1" applyFill="1" applyBorder="1" applyProtection="1">
      <alignment vertical="center"/>
      <protection locked="0"/>
    </xf>
    <xf numFmtId="0" fontId="94" fillId="2" borderId="6" xfId="2" applyFont="1" applyFill="1" applyBorder="1" applyProtection="1">
      <alignment vertical="center"/>
      <protection locked="0"/>
    </xf>
    <xf numFmtId="0" fontId="94" fillId="9" borderId="3" xfId="2" applyFont="1" applyFill="1" applyBorder="1" applyAlignment="1">
      <alignment horizontal="left" vertical="center" wrapText="1"/>
    </xf>
    <xf numFmtId="0" fontId="94" fillId="9" borderId="2" xfId="2" applyFont="1" applyFill="1" applyBorder="1" applyAlignment="1">
      <alignment horizontal="left" vertical="center" wrapText="1"/>
    </xf>
    <xf numFmtId="0" fontId="94" fillId="9" borderId="4" xfId="2" applyFont="1" applyFill="1" applyBorder="1" applyAlignment="1">
      <alignment horizontal="left" vertical="center" wrapText="1"/>
    </xf>
    <xf numFmtId="0" fontId="55" fillId="2" borderId="12" xfId="2" applyFont="1" applyFill="1" applyBorder="1" applyAlignment="1" applyProtection="1">
      <alignment vertical="center" shrinkToFit="1"/>
      <protection locked="0"/>
    </xf>
    <xf numFmtId="0" fontId="55" fillId="2" borderId="9" xfId="2" applyFont="1" applyFill="1" applyBorder="1" applyAlignment="1" applyProtection="1">
      <alignment vertical="center" shrinkToFit="1"/>
      <protection locked="0"/>
    </xf>
    <xf numFmtId="0" fontId="55" fillId="2" borderId="117" xfId="2" applyFont="1" applyFill="1" applyBorder="1" applyAlignment="1" applyProtection="1">
      <alignment vertical="center" shrinkToFit="1"/>
      <protection locked="0"/>
    </xf>
    <xf numFmtId="0" fontId="58" fillId="9" borderId="81" xfId="2" applyFont="1" applyFill="1" applyBorder="1" applyAlignment="1">
      <alignment horizontal="center" vertical="center"/>
    </xf>
    <xf numFmtId="0" fontId="58" fillId="9" borderId="82" xfId="2" applyFont="1" applyFill="1" applyBorder="1" applyAlignment="1">
      <alignment horizontal="center" vertical="center"/>
    </xf>
    <xf numFmtId="0" fontId="97" fillId="9" borderId="0" xfId="2" applyFont="1" applyFill="1" applyAlignment="1">
      <alignment horizontal="right" vertical="center" shrinkToFit="1"/>
    </xf>
    <xf numFmtId="0" fontId="97" fillId="9" borderId="0" xfId="2" applyFont="1" applyFill="1" applyAlignment="1" applyProtection="1">
      <alignment horizontal="center" vertical="center"/>
    </xf>
    <xf numFmtId="0" fontId="94" fillId="9" borderId="16" xfId="2" applyFont="1" applyFill="1" applyBorder="1" applyAlignment="1">
      <alignment horizontal="left" vertical="center" wrapText="1"/>
    </xf>
    <xf numFmtId="0" fontId="94" fillId="9" borderId="28" xfId="2" applyFont="1" applyFill="1" applyBorder="1" applyAlignment="1">
      <alignment horizontal="left" vertical="center" wrapText="1"/>
    </xf>
    <xf numFmtId="0" fontId="94" fillId="9" borderId="17" xfId="2" applyFont="1" applyFill="1" applyBorder="1" applyAlignment="1">
      <alignment horizontal="left" vertical="center" wrapText="1"/>
    </xf>
    <xf numFmtId="0" fontId="58" fillId="9" borderId="54" xfId="2" applyFont="1" applyFill="1" applyBorder="1" applyAlignment="1">
      <alignment horizontal="center" vertical="center"/>
    </xf>
    <xf numFmtId="0" fontId="58" fillId="9" borderId="55" xfId="2" applyFont="1" applyFill="1" applyBorder="1" applyAlignment="1">
      <alignment horizontal="center" vertical="center"/>
    </xf>
    <xf numFmtId="0" fontId="55" fillId="2" borderId="100" xfId="2" applyFont="1" applyFill="1" applyBorder="1" applyAlignment="1" applyProtection="1">
      <alignment vertical="center" shrinkToFit="1"/>
      <protection locked="0"/>
    </xf>
    <xf numFmtId="0" fontId="55" fillId="2" borderId="82" xfId="2" applyFont="1" applyFill="1" applyBorder="1" applyAlignment="1" applyProtection="1">
      <alignment vertical="center" shrinkToFit="1"/>
      <protection locked="0"/>
    </xf>
    <xf numFmtId="0" fontId="55" fillId="2" borderId="83" xfId="2" applyFont="1" applyFill="1" applyBorder="1" applyAlignment="1" applyProtection="1">
      <alignment vertical="center" shrinkToFit="1"/>
      <protection locked="0"/>
    </xf>
    <xf numFmtId="0" fontId="55" fillId="0" borderId="60" xfId="2" applyFont="1" applyBorder="1" applyAlignment="1">
      <alignment horizontal="center" vertical="center"/>
    </xf>
  </cellXfs>
  <cellStyles count="8">
    <cellStyle name="桁区切り" xfId="1" builtinId="6"/>
    <cellStyle name="桁区切り 2" xfId="3" xr:uid="{E51E84BE-26A3-438B-9F9F-8DE4191D11FA}"/>
    <cellStyle name="標準" xfId="0" builtinId="0"/>
    <cellStyle name="標準 2 3" xfId="7" xr:uid="{B101246F-1EDD-4A90-9D21-C0024F2E508B}"/>
    <cellStyle name="標準 3" xfId="4" xr:uid="{CA80A316-AC26-443D-8FD7-15275F0A7F78}"/>
    <cellStyle name="標準 3 2" xfId="5" xr:uid="{DAE9E283-AB1B-4CDB-A99C-B6338E227401}"/>
    <cellStyle name="標準 4 2" xfId="2" xr:uid="{779A6857-3F95-450B-AFA7-21CBB90FE4C2}"/>
    <cellStyle name="標準_賃金改善内訳表" xfId="6" xr:uid="{CF11B09F-E075-4563-A04D-47F1A5BF5301}"/>
  </cellStyles>
  <dxfs count="5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border diagonalUp="0" diagonalDown="0">
        <left/>
        <right/>
        <top style="hair">
          <color indexed="64"/>
        </top>
        <bottom style="hair">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39F949FF-CD80-470B-A862-63CF051EFEC6}"/>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E1BBD123-8405-41CA-BBEA-63AF7704085E}"/>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05BBF236-B543-470F-A306-45EE857439C0}"/>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AA9AA28D-189F-4459-9F22-1A3B90804DA8}"/>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293C9930-65C0-42B9-ABEF-CBB63C2C23AF}"/>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0C62D314-520B-4282-B4D2-79A6FF56AEA1}"/>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6621A3F3-ED0B-4DC7-9271-BB4ED8589446}"/>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3D3869F6-90C1-4782-BF97-834CBC30F780}"/>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66675</xdr:colOff>
      <xdr:row>0</xdr:row>
      <xdr:rowOff>57150</xdr:rowOff>
    </xdr:from>
    <xdr:ext cx="2300630" cy="800604"/>
    <xdr:sp macro="" textlink="">
      <xdr:nvSpPr>
        <xdr:cNvPr id="5" name="テキスト ボックス 4">
          <a:extLst>
            <a:ext uri="{FF2B5EF4-FFF2-40B4-BE49-F238E27FC236}">
              <a16:creationId xmlns:a16="http://schemas.microsoft.com/office/drawing/2014/main" id="{857A8565-2C13-48EA-A069-E9E416C56115}"/>
            </a:ext>
          </a:extLst>
        </xdr:cNvPr>
        <xdr:cNvSpPr txBox="1"/>
      </xdr:nvSpPr>
      <xdr:spPr>
        <a:xfrm>
          <a:off x="8601075" y="57150"/>
          <a:ext cx="2300630"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分園を設置している場合、本園分</a:t>
          </a:r>
          <a:endParaRPr kumimoji="1" lang="en-US" altLang="ja-JP" sz="1100"/>
        </a:p>
        <a:p>
          <a:r>
            <a:rPr kumimoji="1" lang="ja-JP" altLang="en-US" sz="1100"/>
            <a:t>のみ入力してください。</a:t>
          </a:r>
          <a:endParaRPr kumimoji="1" lang="en-US" altLang="ja-JP" sz="1100"/>
        </a:p>
        <a:p>
          <a:r>
            <a:rPr kumimoji="1" lang="ja-JP" altLang="en-US" sz="1100"/>
            <a:t>（分園は次のシートで入力）</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278865</xdr:colOff>
      <xdr:row>24</xdr:row>
      <xdr:rowOff>42585</xdr:rowOff>
    </xdr:from>
    <xdr:to>
      <xdr:col>10</xdr:col>
      <xdr:colOff>206565</xdr:colOff>
      <xdr:row>25</xdr:row>
      <xdr:rowOff>190500</xdr:rowOff>
    </xdr:to>
    <xdr:sp macro="" textlink="">
      <xdr:nvSpPr>
        <xdr:cNvPr id="2" name="下矢印 1">
          <a:extLst>
            <a:ext uri="{FF2B5EF4-FFF2-40B4-BE49-F238E27FC236}">
              <a16:creationId xmlns:a16="http://schemas.microsoft.com/office/drawing/2014/main" id="{7349287C-8778-41F3-9094-B4140152DB48}"/>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39</xdr:row>
      <xdr:rowOff>161924</xdr:rowOff>
    </xdr:from>
    <xdr:to>
      <xdr:col>10</xdr:col>
      <xdr:colOff>245305</xdr:colOff>
      <xdr:row>40</xdr:row>
      <xdr:rowOff>180094</xdr:rowOff>
    </xdr:to>
    <xdr:sp macro="" textlink="">
      <xdr:nvSpPr>
        <xdr:cNvPr id="3" name="下矢印 2">
          <a:extLst>
            <a:ext uri="{FF2B5EF4-FFF2-40B4-BE49-F238E27FC236}">
              <a16:creationId xmlns:a16="http://schemas.microsoft.com/office/drawing/2014/main" id="{25D372A7-FF87-49DA-A31B-B8AC08BC39C9}"/>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37</xdr:row>
      <xdr:rowOff>65312</xdr:rowOff>
    </xdr:from>
    <xdr:to>
      <xdr:col>15</xdr:col>
      <xdr:colOff>304799</xdr:colOff>
      <xdr:row>39</xdr:row>
      <xdr:rowOff>133349</xdr:rowOff>
    </xdr:to>
    <xdr:sp macro="" textlink="">
      <xdr:nvSpPr>
        <xdr:cNvPr id="4" name="テキスト ボックス 3">
          <a:extLst>
            <a:ext uri="{FF2B5EF4-FFF2-40B4-BE49-F238E27FC236}">
              <a16:creationId xmlns:a16="http://schemas.microsoft.com/office/drawing/2014/main" id="{CE444F56-C224-42A2-8B61-6A3D614EC7DB}"/>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6D5AF59D-E444-4686-AF69-61A4C13232FD}"/>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224117</xdr:colOff>
      <xdr:row>0</xdr:row>
      <xdr:rowOff>145677</xdr:rowOff>
    </xdr:from>
    <xdr:ext cx="5020236" cy="1567417"/>
    <xdr:sp macro="" textlink="">
      <xdr:nvSpPr>
        <xdr:cNvPr id="2" name="テキスト ボックス 1">
          <a:extLst>
            <a:ext uri="{FF2B5EF4-FFF2-40B4-BE49-F238E27FC236}">
              <a16:creationId xmlns:a16="http://schemas.microsoft.com/office/drawing/2014/main" id="{38D2A192-BF56-48CA-B9B1-7B34936832CE}"/>
            </a:ext>
          </a:extLst>
        </xdr:cNvPr>
        <xdr:cNvSpPr txBox="1"/>
      </xdr:nvSpPr>
      <xdr:spPr>
        <a:xfrm>
          <a:off x="9513793" y="145677"/>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「児童数計算表」シートでは、標準時間・短時間の違いは考慮していませんのでご注意ください。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59231</xdr:colOff>
      <xdr:row>2</xdr:row>
      <xdr:rowOff>239005</xdr:rowOff>
    </xdr:from>
    <xdr:ext cx="5020236" cy="864660"/>
    <xdr:sp macro="" textlink="">
      <xdr:nvSpPr>
        <xdr:cNvPr id="2" name="テキスト ボックス 1">
          <a:extLst>
            <a:ext uri="{FF2B5EF4-FFF2-40B4-BE49-F238E27FC236}">
              <a16:creationId xmlns:a16="http://schemas.microsoft.com/office/drawing/2014/main" id="{3F7EC4B1-6AB3-4FDA-A4AF-4F27A8E20B87}"/>
            </a:ext>
          </a:extLst>
        </xdr:cNvPr>
        <xdr:cNvSpPr txBox="1"/>
      </xdr:nvSpPr>
      <xdr:spPr>
        <a:xfrm>
          <a:off x="9720302" y="783291"/>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40</xdr:col>
      <xdr:colOff>85725</xdr:colOff>
      <xdr:row>15</xdr:row>
      <xdr:rowOff>28576</xdr:rowOff>
    </xdr:from>
    <xdr:ext cx="5372100" cy="857249"/>
    <xdr:sp macro="" textlink="">
      <xdr:nvSpPr>
        <xdr:cNvPr id="2" name="テキスト ボックス 1">
          <a:extLst>
            <a:ext uri="{FF2B5EF4-FFF2-40B4-BE49-F238E27FC236}">
              <a16:creationId xmlns:a16="http://schemas.microsoft.com/office/drawing/2014/main" id="{9A7C2D63-1147-4238-8E3A-28783DCCCFE2}"/>
            </a:ext>
          </a:extLst>
        </xdr:cNvPr>
        <xdr:cNvSpPr txBox="1"/>
      </xdr:nvSpPr>
      <xdr:spPr>
        <a:xfrm>
          <a:off x="8705850" y="3324226"/>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3D7E9DFA-17E1-4C38-95CD-B3CBA6B51C6D}"/>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201083</xdr:rowOff>
    </xdr:from>
    <xdr:ext cx="4762499" cy="3184829"/>
    <xdr:sp macro="" textlink="">
      <xdr:nvSpPr>
        <xdr:cNvPr id="3" name="テキスト ボックス 2">
          <a:extLst>
            <a:ext uri="{FF2B5EF4-FFF2-40B4-BE49-F238E27FC236}">
              <a16:creationId xmlns:a16="http://schemas.microsoft.com/office/drawing/2014/main" id="{0D260D80-27A1-4C02-8942-2CC4993E50DA}"/>
            </a:ext>
          </a:extLst>
        </xdr:cNvPr>
        <xdr:cNvSpPr txBox="1"/>
      </xdr:nvSpPr>
      <xdr:spPr>
        <a:xfrm>
          <a:off x="9599083" y="1566333"/>
          <a:ext cx="4762499" cy="31848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F3BBBEBC-4E41-433B-B7B9-A976F11660D1}"/>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69274</xdr:colOff>
      <xdr:row>74</xdr:row>
      <xdr:rowOff>86590</xdr:rowOff>
    </xdr:from>
    <xdr:ext cx="4762499" cy="1471027"/>
    <xdr:sp macro="" textlink="">
      <xdr:nvSpPr>
        <xdr:cNvPr id="2" name="テキスト ボックス 1">
          <a:extLst>
            <a:ext uri="{FF2B5EF4-FFF2-40B4-BE49-F238E27FC236}">
              <a16:creationId xmlns:a16="http://schemas.microsoft.com/office/drawing/2014/main" id="{1C1BC4AA-7844-4BDE-89BC-4D14B1B8B517}"/>
            </a:ext>
          </a:extLst>
        </xdr:cNvPr>
        <xdr:cNvSpPr txBox="1"/>
      </xdr:nvSpPr>
      <xdr:spPr>
        <a:xfrm>
          <a:off x="11813039" y="2900897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1368136</xdr:colOff>
      <xdr:row>60</xdr:row>
      <xdr:rowOff>381000</xdr:rowOff>
    </xdr:from>
    <xdr:to>
      <xdr:col>13</xdr:col>
      <xdr:colOff>311729</xdr:colOff>
      <xdr:row>74</xdr:row>
      <xdr:rowOff>63500</xdr:rowOff>
    </xdr:to>
    <xdr:cxnSp macro="">
      <xdr:nvCxnSpPr>
        <xdr:cNvPr id="3" name="直線矢印コネクタ 2">
          <a:extLst>
            <a:ext uri="{FF2B5EF4-FFF2-40B4-BE49-F238E27FC236}">
              <a16:creationId xmlns:a16="http://schemas.microsoft.com/office/drawing/2014/main" id="{DE78817B-30A4-4639-B7F6-6B22A0962533}"/>
            </a:ext>
          </a:extLst>
        </xdr:cNvPr>
        <xdr:cNvCxnSpPr/>
      </xdr:nvCxnSpPr>
      <xdr:spPr>
        <a:xfrm flipH="1" flipV="1">
          <a:off x="9854045" y="24851591"/>
          <a:ext cx="2199411" cy="408131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173183</xdr:colOff>
      <xdr:row>74</xdr:row>
      <xdr:rowOff>83534</xdr:rowOff>
    </xdr:from>
    <xdr:ext cx="4762499" cy="3098937"/>
    <xdr:sp macro="" textlink="">
      <xdr:nvSpPr>
        <xdr:cNvPr id="5" name="テキスト ボックス 4">
          <a:extLst>
            <a:ext uri="{FF2B5EF4-FFF2-40B4-BE49-F238E27FC236}">
              <a16:creationId xmlns:a16="http://schemas.microsoft.com/office/drawing/2014/main" id="{9D43BF81-A0C4-4F4A-985F-FBBF25FD9977}"/>
            </a:ext>
          </a:extLst>
        </xdr:cNvPr>
        <xdr:cNvSpPr txBox="1"/>
      </xdr:nvSpPr>
      <xdr:spPr>
        <a:xfrm>
          <a:off x="16791507" y="2900591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1411941</xdr:colOff>
      <xdr:row>60</xdr:row>
      <xdr:rowOff>403412</xdr:rowOff>
    </xdr:from>
    <xdr:to>
      <xdr:col>16</xdr:col>
      <xdr:colOff>415638</xdr:colOff>
      <xdr:row>74</xdr:row>
      <xdr:rowOff>60444</xdr:rowOff>
    </xdr:to>
    <xdr:cxnSp macro="">
      <xdr:nvCxnSpPr>
        <xdr:cNvPr id="6" name="直線矢印コネクタ 5">
          <a:extLst>
            <a:ext uri="{FF2B5EF4-FFF2-40B4-BE49-F238E27FC236}">
              <a16:creationId xmlns:a16="http://schemas.microsoft.com/office/drawing/2014/main" id="{F9C6D7C7-476F-408F-B6C3-BAD6F3499374}"/>
            </a:ext>
          </a:extLst>
        </xdr:cNvPr>
        <xdr:cNvCxnSpPr/>
      </xdr:nvCxnSpPr>
      <xdr:spPr>
        <a:xfrm flipH="1" flipV="1">
          <a:off x="11530853" y="24888265"/>
          <a:ext cx="5503109" cy="409456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30</xdr:col>
      <xdr:colOff>113110</xdr:colOff>
      <xdr:row>10</xdr:row>
      <xdr:rowOff>248048</xdr:rowOff>
    </xdr:from>
    <xdr:ext cx="4762499" cy="1061640"/>
    <xdr:sp macro="" textlink="">
      <xdr:nvSpPr>
        <xdr:cNvPr id="2" name="テキスト ボックス 1">
          <a:extLst>
            <a:ext uri="{FF2B5EF4-FFF2-40B4-BE49-F238E27FC236}">
              <a16:creationId xmlns:a16="http://schemas.microsoft.com/office/drawing/2014/main" id="{878E8AB4-F332-4086-B9E1-3BD41342CF17}"/>
            </a:ext>
          </a:extLst>
        </xdr:cNvPr>
        <xdr:cNvSpPr txBox="1"/>
      </xdr:nvSpPr>
      <xdr:spPr>
        <a:xfrm>
          <a:off x="6889751" y="3046017"/>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178594</xdr:colOff>
      <xdr:row>10</xdr:row>
      <xdr:rowOff>307578</xdr:rowOff>
    </xdr:from>
    <xdr:to>
      <xdr:col>30</xdr:col>
      <xdr:colOff>119062</xdr:colOff>
      <xdr:row>12</xdr:row>
      <xdr:rowOff>198438</xdr:rowOff>
    </xdr:to>
    <xdr:cxnSp macro="">
      <xdr:nvCxnSpPr>
        <xdr:cNvPr id="3" name="直線矢印コネクタ 2">
          <a:extLst>
            <a:ext uri="{FF2B5EF4-FFF2-40B4-BE49-F238E27FC236}">
              <a16:creationId xmlns:a16="http://schemas.microsoft.com/office/drawing/2014/main" id="{54A63BC8-002E-4BEC-9422-636D1D80A4E4}"/>
            </a:ext>
          </a:extLst>
        </xdr:cNvPr>
        <xdr:cNvCxnSpPr/>
      </xdr:nvCxnSpPr>
      <xdr:spPr>
        <a:xfrm flipH="1" flipV="1">
          <a:off x="4216797" y="3105547"/>
          <a:ext cx="2678906" cy="4762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C3A8-34B9-4211-804D-3A097AC4324C}" name="単価" displayName="単価" ref="F2:Z95" totalsRowShown="0" headerRowDxfId="51" dataDxfId="50" tableBorderDxfId="49" dataCellStyle="標準 4 2">
  <autoFilter ref="F2:Z95" xr:uid="{E508C3A8-34B9-4211-804D-3A097AC4324C}"/>
  <tableColumns count="21">
    <tableColumn id="1" xr3:uid="{C408F9E4-3464-4272-A881-9147C28268EE}" name="列1" dataDxfId="48">
      <calculatedColumnFormula>D3&amp;E3</calculatedColumnFormula>
    </tableColumn>
    <tableColumn id="4" xr3:uid="{CB4D0D97-6EF4-45C0-9C05-B92C50FDA9BB}" name="列2" dataDxfId="47" dataCellStyle="標準 4 2"/>
    <tableColumn id="5" xr3:uid="{A67669F5-04C5-42DD-BA10-4ADBC004EC9B}" name="列3" dataDxfId="46" dataCellStyle="標準 4 2"/>
    <tableColumn id="6" xr3:uid="{C2B67D2E-1F02-4AF7-A23D-DCCBD26D5F61}" name="列4" dataDxfId="45" dataCellStyle="標準 4 2"/>
    <tableColumn id="7" xr3:uid="{B523FEE2-9644-48E0-9644-3442573F3ECC}" name="列5" dataDxfId="44" dataCellStyle="標準 4 2"/>
    <tableColumn id="9" xr3:uid="{5C3AD36B-E2D5-4EBE-A4FC-EFF1D1DC6E30}" name="列6" dataDxfId="43" dataCellStyle="標準 4 2"/>
    <tableColumn id="10" xr3:uid="{F774575E-B51D-4765-B787-228BBDB5204A}" name="列7" dataDxfId="42" dataCellStyle="標準 4 2"/>
    <tableColumn id="12" xr3:uid="{61617913-A5DC-41C0-8D5C-4A6397E8D1AD}" name="列8" dataDxfId="41" dataCellStyle="標準 4 2"/>
    <tableColumn id="13" xr3:uid="{667BEC5F-766D-48BA-919E-80DD6FA1F170}" name="列9" dataDxfId="40" dataCellStyle="標準 4 2"/>
    <tableColumn id="15" xr3:uid="{43B31683-75CA-494F-B151-E56AFB716100}" name="列10" dataDxfId="39" dataCellStyle="標準 4 2"/>
    <tableColumn id="16" xr3:uid="{64589AC2-CB1C-41A9-8DAD-D81EC1E0B52C}" name="列11" dataDxfId="38" dataCellStyle="標準 4 2"/>
    <tableColumn id="18" xr3:uid="{CCA1A597-C437-41C4-B0C9-1CEED110D654}" name="列12" dataDxfId="37" dataCellStyle="標準 4 2"/>
    <tableColumn id="19" xr3:uid="{4B3864CE-1FDC-4B69-A2F9-A93CB61E73B3}" name="列13" dataDxfId="36" dataCellStyle="標準 4 2"/>
    <tableColumn id="23" xr3:uid="{370768CB-7F34-4354-9997-525D944A627C}" name="列14" dataDxfId="35" dataCellStyle="標準 4 2"/>
    <tableColumn id="24" xr3:uid="{E80B96AA-6F2B-4269-937B-B7BFCEFBBD62}" name="列15" dataDxfId="34" dataCellStyle="標準 4 2"/>
    <tableColumn id="27" xr3:uid="{0F623ED3-4600-43AA-91DE-B1FEF5849472}" name="列16" dataDxfId="33" dataCellStyle="標準 4 2"/>
    <tableColumn id="28" xr3:uid="{6653021C-8D99-48CC-8AFF-CD711F3B85D1}" name="列17" dataDxfId="32" dataCellStyle="標準 4 2"/>
    <tableColumn id="29" xr3:uid="{03692F3B-9137-4653-AF55-5C1E049A79E1}" name="列18" dataDxfId="31" dataCellStyle="標準 4 2"/>
    <tableColumn id="30" xr3:uid="{A9BDA141-2AED-4E0E-8D6E-584F6D0C527F}" name="列19" dataDxfId="30" dataCellStyle="標準 4 2"/>
    <tableColumn id="31" xr3:uid="{6A012E55-77D1-492C-B114-CAE9B467997A}" name="列20" dataDxfId="29" dataCellStyle="標準 4 2"/>
    <tableColumn id="32" xr3:uid="{2C1A8174-7DE5-45AA-8407-A7D9F4A2F7E4}" name="列21" dataDxfId="28"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D12FD1-1914-442F-AD85-7E980B18D988}" name="休日保育" displayName="休日保育" ref="AB2:AE22" totalsRowShown="0" headerRowDxfId="27" dataDxfId="26" tableBorderDxfId="25" dataCellStyle="標準 4 2">
  <autoFilter ref="AB2:AE22" xr:uid="{A8D12FD1-1914-442F-AD85-7E980B18D988}"/>
  <tableColumns count="4">
    <tableColumn id="5" xr3:uid="{AC8CA3C6-7EC9-4979-83DA-D91A1D9FB30C}" name="列1" dataDxfId="24" dataCellStyle="標準 4 2"/>
    <tableColumn id="1" xr3:uid="{B0F15110-7963-4BD6-BFD1-864E79A41071}" name="列2" dataDxfId="23" dataCellStyle="標準 4 2"/>
    <tableColumn id="3" xr3:uid="{2F6C2493-0D53-47D3-992E-E386CA6541B2}" name="列3" dataDxfId="22" dataCellStyle="標準 4 2"/>
    <tableColumn id="4" xr3:uid="{6E776BE5-B16A-4BF0-8FDE-AF64D93979D8}" name="列4" dataDxfId="21" dataCellStyle="標準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7CBA28-2C52-4154-A047-DA8B781D5966}" name="療育支援" displayName="療育支援" ref="AH2:AK10" totalsRowShown="0" headerRowDxfId="20" tableBorderDxfId="19">
  <autoFilter ref="AH2:AK10" xr:uid="{927CBA28-2C52-4154-A047-DA8B781D5966}"/>
  <tableColumns count="4">
    <tableColumn id="1" xr3:uid="{624F0F48-274D-405F-99C4-3C65C43DA3E5}" name="列1" dataDxfId="18" dataCellStyle="標準 4 2"/>
    <tableColumn id="2" xr3:uid="{438D7950-B0EF-40F9-9336-6E7556615B3D}" name="列2"/>
    <tableColumn id="3" xr3:uid="{85B866B6-BAD9-4C5C-B9B3-4F9FD6CE2146}" name="列3"/>
    <tableColumn id="4" xr3:uid="{91252E84-3AC3-4D39-9828-4997BE4B40D2}" name="列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BAC4CF-E1A2-40A3-8674-0FE50B44C2E0}" name="栄養管理" displayName="栄養管理" ref="AN2:AQ11" totalsRowShown="0" headerRowDxfId="17" dataDxfId="16" tableBorderDxfId="15" dataCellStyle="標準 4 2">
  <autoFilter ref="AN2:AQ11" xr:uid="{CFBAC4CF-E1A2-40A3-8674-0FE50B44C2E0}"/>
  <tableColumns count="4">
    <tableColumn id="1" xr3:uid="{A31E209D-18A1-44B4-9B5C-BC429211644B}" name="列1" dataDxfId="14" dataCellStyle="標準 4 2"/>
    <tableColumn id="2" xr3:uid="{7FCC4DCA-DA26-450B-9F25-E6E269AECCF3}" name="列2" dataDxfId="13" dataCellStyle="標準 4 2"/>
    <tableColumn id="3" xr3:uid="{1715DBD6-A7AA-4F14-95A4-7B3023786016}" name="列3" dataDxfId="12" dataCellStyle="標準 4 2"/>
    <tableColumn id="4" xr3:uid="{1B1927EB-841B-4C7E-B0A5-213A602F929F}" name="列4" dataDxfId="11"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6.bin"/><Relationship Id="rId5" Type="http://schemas.openxmlformats.org/officeDocument/2006/relationships/table" Target="../tables/table4.xml"/><Relationship Id="rId4" Type="http://schemas.openxmlformats.org/officeDocument/2006/relationships/table" Target="../tables/table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9926-61BD-4AB2-90B8-BE461A74C54D}">
  <sheetPr>
    <pageSetUpPr fitToPage="1"/>
  </sheetPr>
  <dimension ref="A1:I45"/>
  <sheetViews>
    <sheetView tabSelected="1" view="pageBreakPreview" zoomScale="85" zoomScaleNormal="85" zoomScaleSheetLayoutView="85" workbookViewId="0">
      <selection activeCell="D13" sqref="D13"/>
    </sheetView>
  </sheetViews>
  <sheetFormatPr defaultRowHeight="16.5"/>
  <cols>
    <col min="1" max="1" width="3.5" style="408" customWidth="1"/>
    <col min="2" max="2" width="3.25" style="408" customWidth="1"/>
    <col min="3" max="3" width="10.25" style="408" customWidth="1"/>
    <col min="4" max="4" width="39.5" style="408" customWidth="1"/>
    <col min="5" max="7" width="9" style="408"/>
    <col min="8" max="8" width="17.375" style="408" customWidth="1"/>
    <col min="9" max="9" width="21.375" style="408" bestFit="1" customWidth="1"/>
    <col min="10" max="16384" width="9" style="408"/>
  </cols>
  <sheetData>
    <row r="1" spans="1:5">
      <c r="A1" s="408" t="s">
        <v>326</v>
      </c>
    </row>
    <row r="2" spans="1:5" ht="17.25" thickBot="1">
      <c r="B2" s="408" t="s">
        <v>325</v>
      </c>
    </row>
    <row r="3" spans="1:5" ht="17.25" thickBot="1">
      <c r="B3" s="418" t="s">
        <v>324</v>
      </c>
      <c r="C3" s="417"/>
      <c r="D3" s="601"/>
    </row>
    <row r="4" spans="1:5" ht="17.25" thickBot="1">
      <c r="B4" s="418" t="s">
        <v>323</v>
      </c>
      <c r="C4" s="417"/>
      <c r="D4" s="602"/>
    </row>
    <row r="5" spans="1:5" ht="17.25" thickBot="1">
      <c r="B5" s="418" t="s">
        <v>322</v>
      </c>
      <c r="C5" s="417"/>
      <c r="D5" s="601"/>
    </row>
    <row r="7" spans="1:5">
      <c r="B7" s="408" t="s">
        <v>320</v>
      </c>
    </row>
    <row r="8" spans="1:5" ht="17.25" thickBot="1">
      <c r="C8" s="408" t="s">
        <v>319</v>
      </c>
    </row>
    <row r="9" spans="1:5" ht="17.25" thickBot="1">
      <c r="D9" s="601"/>
    </row>
    <row r="10" spans="1:5" ht="17.25" thickBot="1">
      <c r="C10" s="408" t="s">
        <v>718</v>
      </c>
    </row>
    <row r="11" spans="1:5" ht="17.25" thickBot="1">
      <c r="D11" s="601"/>
    </row>
    <row r="12" spans="1:5" ht="17.25" thickBot="1">
      <c r="C12" s="408" t="s">
        <v>719</v>
      </c>
    </row>
    <row r="13" spans="1:5" ht="17.25" thickBot="1">
      <c r="D13" s="601"/>
    </row>
    <row r="14" spans="1:5" ht="17.25" thickBot="1">
      <c r="C14" s="408" t="s">
        <v>731</v>
      </c>
    </row>
    <row r="15" spans="1:5" ht="17.25" thickBot="1">
      <c r="D15" s="601"/>
      <c r="E15" s="408" t="str">
        <f>IF(D13='【リスト】 (2)'!$B$3,"←記入は不要です","")</f>
        <v/>
      </c>
    </row>
    <row r="16" spans="1:5" ht="17.25" thickBot="1">
      <c r="C16" s="408" t="s">
        <v>720</v>
      </c>
    </row>
    <row r="17" spans="2:5" ht="17.25" thickBot="1">
      <c r="D17" s="601"/>
    </row>
    <row r="18" spans="2:5" ht="17.25" thickBot="1">
      <c r="C18" s="408" t="s">
        <v>730</v>
      </c>
    </row>
    <row r="19" spans="2:5" ht="17.25" thickBot="1">
      <c r="D19" s="601"/>
      <c r="E19" s="408" t="str">
        <f>IF(D17='【リスト】 (2)'!$B$3,"←記入は不要です","")</f>
        <v/>
      </c>
    </row>
    <row r="21" spans="2:5" ht="17.25" thickBot="1">
      <c r="B21" s="408" t="s">
        <v>318</v>
      </c>
    </row>
    <row r="22" spans="2:5" ht="17.25" thickBot="1">
      <c r="B22" s="418" t="s">
        <v>130</v>
      </c>
      <c r="C22" s="417"/>
      <c r="D22" s="601"/>
    </row>
    <row r="23" spans="2:5" ht="17.25" thickBot="1">
      <c r="B23" s="418" t="s">
        <v>131</v>
      </c>
      <c r="C23" s="417"/>
      <c r="D23" s="601"/>
    </row>
    <row r="24" spans="2:5" ht="17.25" thickBot="1">
      <c r="B24" s="418" t="s">
        <v>317</v>
      </c>
      <c r="C24" s="417"/>
      <c r="D24" s="601"/>
    </row>
    <row r="26" spans="2:5" ht="17.25" thickBot="1">
      <c r="B26" s="408" t="s">
        <v>315</v>
      </c>
    </row>
    <row r="27" spans="2:5" ht="17.25" thickBot="1">
      <c r="D27" s="603"/>
    </row>
    <row r="28" spans="2:5">
      <c r="D28" s="416" t="str">
        <f>IF(D27='【リスト】 (2)'!$D$3,"「該当する」は例外的な取扱いです。本当に該当するか再度ご確認ください","")</f>
        <v/>
      </c>
    </row>
    <row r="29" spans="2:5">
      <c r="B29" s="408" t="s">
        <v>313</v>
      </c>
      <c r="D29" s="416"/>
    </row>
    <row r="30" spans="2:5" ht="17.25" thickBot="1">
      <c r="C30" s="408" t="s">
        <v>628</v>
      </c>
    </row>
    <row r="31" spans="2:5" ht="17.25" thickBot="1">
      <c r="D31" s="604"/>
      <c r="E31" s="408" t="str">
        <f>IF(D23='【リスト】 (2)'!$C$3,"←記入は不要です","")</f>
        <v/>
      </c>
    </row>
    <row r="33" spans="2:9" ht="20.25" thickBot="1">
      <c r="B33" s="415"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413" t="s">
        <v>351</v>
      </c>
      <c r="D34" s="412"/>
      <c r="E34" s="412"/>
      <c r="F34" s="411"/>
      <c r="G34" s="410"/>
      <c r="H34" s="409" t="str">
        <f>IF($B$33='【リスト】 (2)'!$F$3,"-",IF(OR(D23='【リスト】 (2)'!$C$2,D24='【リスト】 (2)'!$C$2),"●",""))</f>
        <v>-</v>
      </c>
      <c r="I34" s="414"/>
    </row>
    <row r="35" spans="2:9" customFormat="1" ht="36" customHeight="1" thickBot="1">
      <c r="C35" s="413" t="s">
        <v>349</v>
      </c>
      <c r="D35" s="412"/>
      <c r="E35" s="412"/>
      <c r="F35" s="411"/>
      <c r="G35" s="410"/>
      <c r="H35" s="409" t="str">
        <f>IF($B$33='【リスト】 (2)'!$F$3,"-",IF(OR(D22='【リスト】 (2)'!$C$2,D23='【リスト】 (2)'!$C$2),"●",""))</f>
        <v>-</v>
      </c>
      <c r="I35" s="414"/>
    </row>
    <row r="36" spans="2:9" customFormat="1" ht="36" customHeight="1" thickBot="1">
      <c r="C36" s="413" t="s">
        <v>350</v>
      </c>
      <c r="D36" s="412"/>
      <c r="E36" s="412"/>
      <c r="F36" s="411"/>
      <c r="G36" s="410"/>
      <c r="H36" s="409" t="str">
        <f>IF($B$33='【リスト】 (2)'!$F$3,"-",IF(D24='【リスト】 (2)'!$C$2,"●",""))</f>
        <v>-</v>
      </c>
      <c r="I36" s="414"/>
    </row>
    <row r="37" spans="2:9" customFormat="1" ht="36" customHeight="1" thickBot="1">
      <c r="C37" s="413" t="s">
        <v>622</v>
      </c>
      <c r="D37" s="412"/>
      <c r="E37" s="412"/>
      <c r="F37" s="411"/>
      <c r="G37" s="410"/>
      <c r="H37" s="409" t="str">
        <f>IF($B$33='【リスト】 (2)'!$F$3,"-",IF(OR(D22='【リスト】 (2)'!$C$2,D23='【リスト】 (2)'!$C$2,D24='【リスト】 (2)'!$C$2),"●",""))</f>
        <v>-</v>
      </c>
    </row>
    <row r="38" spans="2:9" customFormat="1" ht="36" customHeight="1" thickBot="1">
      <c r="C38" s="413" t="s">
        <v>623</v>
      </c>
      <c r="D38" s="412"/>
      <c r="E38" s="412"/>
      <c r="F38" s="411"/>
      <c r="G38" s="410"/>
      <c r="H38" s="409" t="str">
        <f>IF($B$33='【リスト】 (2)'!$F$3,"-",IF(OR(D22='【リスト】 (2)'!$C$3,D24='【リスト】 (2)'!$C$2),"",IF(D11&lt;&gt;'【リスト】 (2)'!$B$2,"●","")))</f>
        <v>-</v>
      </c>
    </row>
    <row r="39" spans="2:9" customFormat="1" ht="36" customHeight="1" thickBot="1">
      <c r="C39" s="413" t="s">
        <v>706</v>
      </c>
      <c r="D39" s="412"/>
      <c r="E39" s="412"/>
      <c r="F39" s="411"/>
      <c r="G39" s="410"/>
      <c r="H39" s="409" t="str">
        <f>IF($B$33='【リスト】 (2)'!$F$3,"-",IF(H38="●","●",""))</f>
        <v>-</v>
      </c>
    </row>
    <row r="40" spans="2:9" customFormat="1" ht="36" customHeight="1" thickBot="1">
      <c r="C40" s="413" t="s">
        <v>624</v>
      </c>
      <c r="D40" s="412"/>
      <c r="E40" s="412"/>
      <c r="F40" s="411"/>
      <c r="G40" s="410"/>
      <c r="H40" s="409" t="str">
        <f>IF($B$33='【リスト】 (2)'!$F$3,"-",IF(D24='【リスト】 (2)'!$C$3,"","●"))</f>
        <v>-</v>
      </c>
    </row>
    <row r="41" spans="2:9" customFormat="1" ht="36" customHeight="1" thickBot="1">
      <c r="C41" s="413" t="s">
        <v>625</v>
      </c>
      <c r="D41" s="412"/>
      <c r="E41" s="412"/>
      <c r="F41" s="411"/>
      <c r="G41" s="410"/>
      <c r="H41" s="409" t="str">
        <f>IF($B$33='【リスト】 (2)'!$F$3,"-",IF(AND(D23='【リスト】 (2)'!$C$3,D24='【リスト】 (2)'!$C$3),"",
IF(AND(D23='【リスト】 (2)'!$C$2,OR(D13&lt;&gt;'【リスト】 (2)'!$B$2,D15&lt;&gt;'【リスト】 (2)'!$B$2)),"●",
IF(AND(D24='【リスト】 (2)'!$C$2,OR(D17&lt;&gt;'【リスト】 (2)'!$B$2,D19&lt;&gt;'【リスト】 (2)'!$B$2)),"●",""))))</f>
        <v>-</v>
      </c>
    </row>
    <row r="42" spans="2:9" customFormat="1" ht="36" customHeight="1" thickBot="1">
      <c r="C42" s="413" t="s">
        <v>626</v>
      </c>
      <c r="D42" s="412"/>
      <c r="E42" s="412"/>
      <c r="F42" s="411"/>
      <c r="G42" s="410"/>
      <c r="H42" s="409" t="str">
        <f>IF($B$33='【リスト】 (2)'!$F$3,"-",IF(H41="●","●",""))</f>
        <v>-</v>
      </c>
    </row>
    <row r="43" spans="2:9" customFormat="1" ht="36" customHeight="1" thickBot="1">
      <c r="C43" s="413" t="s">
        <v>627</v>
      </c>
      <c r="D43" s="412"/>
      <c r="E43" s="412"/>
      <c r="F43" s="411"/>
      <c r="G43" s="410"/>
      <c r="H43" s="409" t="str">
        <f>IF($B$33='【リスト】 (2)'!$F$3,"-",IF(AND(D31='【リスト】 (2)'!$E$3,H42="●"),"●",""))</f>
        <v>-</v>
      </c>
    </row>
    <row r="44" spans="2:9" customFormat="1" ht="36" customHeight="1" thickBot="1">
      <c r="C44" s="413" t="s">
        <v>629</v>
      </c>
      <c r="D44" s="412"/>
      <c r="E44" s="412"/>
      <c r="F44" s="411"/>
      <c r="G44" s="410"/>
      <c r="H44" s="409" t="str">
        <f>IF($B$33='【リスト】 (2)'!$F$3,"-",IF(AND(OR(D23='【リスト】 (2)'!$C$2,D24='【リスト】 (2)'!$C$2),H41="",H42="",H43=""),"●",""))</f>
        <v>-</v>
      </c>
    </row>
    <row r="45" spans="2:9" customFormat="1" ht="36" customHeight="1" thickBot="1">
      <c r="C45" s="413" t="s">
        <v>630</v>
      </c>
      <c r="D45" s="412"/>
      <c r="E45" s="412"/>
      <c r="F45" s="411"/>
      <c r="G45" s="410"/>
      <c r="H45" s="409" t="str">
        <f>IF($B$33='【リスト】 (2)'!$F$3,"-",IF(D27='【リスト】 (2)'!$D$3,"●",""))</f>
        <v>-</v>
      </c>
    </row>
  </sheetData>
  <sheetProtection algorithmName="SHA-512" hashValue="U8ifeB/oTXVQoguT5JmS6HDpEy3yJuHt58pWnw7MRdJyFhVWi8yUoN2fy5TXfAKO5yxS3UlL/xXr9YcB29NDPw==" saltValue="cNCldymYQmD0SSIXgp2RQg==" spinCount="100000" sheet="1" objects="1" scenarios="1"/>
  <phoneticPr fontId="4"/>
  <conditionalFormatting sqref="D11">
    <cfRule type="expression" dxfId="10" priority="4">
      <formula>E11&lt;&gt;""</formula>
    </cfRule>
  </conditionalFormatting>
  <conditionalFormatting sqref="D15">
    <cfRule type="expression" dxfId="9" priority="3">
      <formula>E15&lt;&gt;""</formula>
    </cfRule>
  </conditionalFormatting>
  <conditionalFormatting sqref="D19">
    <cfRule type="expression" dxfId="8" priority="2">
      <formula>E19&lt;&gt;""</formula>
    </cfRule>
  </conditionalFormatting>
  <conditionalFormatting sqref="D31">
    <cfRule type="expression" dxfId="7" priority="1">
      <formula>E31&lt;&gt;""</formula>
    </cfRule>
  </conditionalFormatting>
  <dataValidations count="1">
    <dataValidation type="whole" allowBlank="1" showInputMessage="1" showErrorMessage="1" sqref="D3" xr:uid="{20251130-83A0-40B2-BC44-5ACFF8C76E68}">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D47103D-305A-4606-ADFF-4B6E18056034}">
          <x14:formula1>
            <xm:f>'【リスト】 (2)'!$E$2:$E$3</xm:f>
          </x14:formula1>
          <xm:sqref>D31</xm:sqref>
        </x14:dataValidation>
        <x14:dataValidation type="list" allowBlank="1" showInputMessage="1" showErrorMessage="1" xr:uid="{F1FFD480-F6CC-4CE0-BAE0-8837C5F96704}">
          <x14:formula1>
            <xm:f>'【リスト】 (2)'!$D$2:$D$3</xm:f>
          </x14:formula1>
          <xm:sqref>D27</xm:sqref>
        </x14:dataValidation>
        <x14:dataValidation type="list" allowBlank="1" showInputMessage="1" showErrorMessage="1" xr:uid="{41C7555F-EA9D-47BA-8BC1-877EABBCE5D9}">
          <x14:formula1>
            <xm:f>'【リスト】 (2)'!$C$2:$C$3</xm:f>
          </x14:formula1>
          <xm:sqref>D22:D24</xm:sqref>
        </x14:dataValidation>
        <x14:dataValidation type="list" allowBlank="1" showInputMessage="1" showErrorMessage="1" xr:uid="{E1A1826F-DABB-45C6-9CC0-DC7032C68604}">
          <x14:formula1>
            <xm:f>'【リスト】 (2)'!$B$2:$B$3</xm:f>
          </x14:formula1>
          <xm:sqref>D9 D11 D13 D15 D17 D19</xm:sqref>
        </x14:dataValidation>
        <x14:dataValidation type="list" allowBlank="1" showInputMessage="1" showErrorMessage="1" xr:uid="{18FE4D22-E68C-491D-84CE-256F9E039D67}">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04DB-328B-4744-9E69-D4ADE0E94BE7}">
  <sheetPr>
    <pageSetUpPr fitToPage="1"/>
  </sheetPr>
  <dimension ref="B1:BA45"/>
  <sheetViews>
    <sheetView showGridLines="0" view="pageBreakPreview" zoomScale="85" zoomScaleNormal="100" zoomScaleSheetLayoutView="85" workbookViewId="0">
      <selection activeCell="AY2" sqref="AY2"/>
    </sheetView>
  </sheetViews>
  <sheetFormatPr defaultColWidth="9" defaultRowHeight="18" customHeight="1"/>
  <cols>
    <col min="1" max="1" width="2.5" style="607" customWidth="1"/>
    <col min="2" max="34" width="3.375" style="607" customWidth="1"/>
    <col min="35" max="35" width="2.5" style="607" customWidth="1"/>
    <col min="36" max="36" width="3" style="607" customWidth="1"/>
    <col min="37" max="40" width="3" style="607" hidden="1" customWidth="1"/>
    <col min="41" max="47" width="3" style="607" customWidth="1"/>
    <col min="48" max="51" width="9" style="607"/>
    <col min="52" max="53" width="21.375" style="607" customWidth="1"/>
    <col min="54" max="16384" width="9" style="607"/>
  </cols>
  <sheetData>
    <row r="1" spans="2:40" ht="18" customHeight="1">
      <c r="B1" s="668" t="s">
        <v>504</v>
      </c>
      <c r="AM1" s="607" t="s">
        <v>503</v>
      </c>
      <c r="AN1" s="607" t="s">
        <v>502</v>
      </c>
    </row>
    <row r="2" spans="2:40" ht="42.75" customHeight="1">
      <c r="B2" s="1107" t="str">
        <f>様式1!$AQ$1&amp;様式1!$AQ$2&amp;"年度賃金改善計画書（処遇改善等加算）"</f>
        <v>令和８年度賃金改善計画書（処遇改善等加算）</v>
      </c>
      <c r="C2" s="1107"/>
      <c r="D2" s="1107"/>
      <c r="E2" s="1107"/>
      <c r="F2" s="1107"/>
      <c r="G2" s="1107"/>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row>
    <row r="3" spans="2:40" ht="26.25" customHeight="1" thickBot="1">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row>
    <row r="4" spans="2:40" ht="20.25" customHeight="1">
      <c r="D4" s="670"/>
      <c r="E4" s="670"/>
      <c r="F4" s="670"/>
      <c r="G4" s="670"/>
      <c r="H4" s="670"/>
      <c r="I4" s="670"/>
      <c r="J4" s="670"/>
      <c r="K4" s="670"/>
      <c r="L4" s="670"/>
      <c r="M4" s="670"/>
      <c r="N4" s="670"/>
      <c r="O4" s="670"/>
      <c r="P4" s="670"/>
      <c r="R4" s="1108" t="s">
        <v>393</v>
      </c>
      <c r="S4" s="1109"/>
      <c r="T4" s="1109"/>
      <c r="U4" s="1109"/>
      <c r="V4" s="1109"/>
      <c r="W4" s="1109"/>
      <c r="X4" s="1110" t="str">
        <f>様式1!U7</f>
        <v>京都市</v>
      </c>
      <c r="Y4" s="1111"/>
      <c r="Z4" s="1111"/>
      <c r="AA4" s="1111"/>
      <c r="AB4" s="1111"/>
      <c r="AC4" s="1111"/>
      <c r="AD4" s="1111"/>
      <c r="AE4" s="1111"/>
      <c r="AF4" s="1111"/>
      <c r="AG4" s="1111"/>
      <c r="AH4" s="1111"/>
      <c r="AI4" s="1111"/>
      <c r="AJ4" s="1112"/>
    </row>
    <row r="5" spans="2:40" ht="20.25" customHeight="1">
      <c r="D5" s="670"/>
      <c r="E5" s="670"/>
      <c r="F5" s="670"/>
      <c r="G5" s="670"/>
      <c r="H5" s="670"/>
      <c r="I5" s="670"/>
      <c r="J5" s="670"/>
      <c r="K5" s="670"/>
      <c r="L5" s="670"/>
      <c r="M5" s="670"/>
      <c r="N5" s="670"/>
      <c r="O5" s="670"/>
      <c r="P5" s="670"/>
      <c r="R5" s="1102" t="s">
        <v>391</v>
      </c>
      <c r="S5" s="1103"/>
      <c r="T5" s="1103"/>
      <c r="U5" s="1103"/>
      <c r="V5" s="1103"/>
      <c r="W5" s="1103"/>
      <c r="X5" s="1104">
        <f>様式1!U8</f>
        <v>0</v>
      </c>
      <c r="Y5" s="1105"/>
      <c r="Z5" s="1105"/>
      <c r="AA5" s="1105"/>
      <c r="AB5" s="1105"/>
      <c r="AC5" s="1105"/>
      <c r="AD5" s="1105"/>
      <c r="AE5" s="1105"/>
      <c r="AF5" s="1105"/>
      <c r="AG5" s="1105"/>
      <c r="AH5" s="1105"/>
      <c r="AI5" s="1105"/>
      <c r="AJ5" s="1106"/>
    </row>
    <row r="6" spans="2:40" ht="20.25" customHeight="1">
      <c r="D6" s="670"/>
      <c r="E6" s="670"/>
      <c r="F6" s="670"/>
      <c r="G6" s="670"/>
      <c r="H6" s="670"/>
      <c r="I6" s="670"/>
      <c r="J6" s="670"/>
      <c r="K6" s="670"/>
      <c r="L6" s="670"/>
      <c r="M6" s="670"/>
      <c r="N6" s="670"/>
      <c r="O6" s="670"/>
      <c r="P6" s="670"/>
      <c r="R6" s="1102" t="s">
        <v>390</v>
      </c>
      <c r="S6" s="1103"/>
      <c r="T6" s="1103"/>
      <c r="U6" s="1103"/>
      <c r="V6" s="1103"/>
      <c r="W6" s="1103"/>
      <c r="X6" s="1104">
        <f>様式1!U9</f>
        <v>0</v>
      </c>
      <c r="Y6" s="1105"/>
      <c r="Z6" s="1105"/>
      <c r="AA6" s="1105"/>
      <c r="AB6" s="1105"/>
      <c r="AC6" s="1105"/>
      <c r="AD6" s="1105"/>
      <c r="AE6" s="1105"/>
      <c r="AF6" s="1105"/>
      <c r="AG6" s="1105"/>
      <c r="AH6" s="1105"/>
      <c r="AI6" s="1105"/>
      <c r="AJ6" s="1106"/>
    </row>
    <row r="7" spans="2:40" ht="20.25" customHeight="1" thickBot="1">
      <c r="D7" s="670"/>
      <c r="E7" s="670"/>
      <c r="F7" s="670"/>
      <c r="G7" s="670"/>
      <c r="H7" s="670"/>
      <c r="I7" s="670"/>
      <c r="J7" s="670"/>
      <c r="K7" s="670"/>
      <c r="L7" s="670"/>
      <c r="M7" s="670"/>
      <c r="N7" s="670"/>
      <c r="O7" s="670"/>
      <c r="P7" s="670"/>
      <c r="Q7" s="670"/>
      <c r="R7" s="1085" t="s">
        <v>419</v>
      </c>
      <c r="S7" s="1086"/>
      <c r="T7" s="1086"/>
      <c r="U7" s="1086"/>
      <c r="V7" s="1086"/>
      <c r="W7" s="1086"/>
      <c r="X7" s="1091">
        <f>様式1!U10</f>
        <v>0</v>
      </c>
      <c r="Y7" s="1092"/>
      <c r="Z7" s="1092"/>
      <c r="AA7" s="1092"/>
      <c r="AB7" s="1092"/>
      <c r="AC7" s="1092"/>
      <c r="AD7" s="1092"/>
      <c r="AE7" s="1092"/>
      <c r="AF7" s="1092"/>
      <c r="AG7" s="1092"/>
      <c r="AH7" s="1092"/>
      <c r="AI7" s="1092"/>
      <c r="AJ7" s="1093"/>
    </row>
    <row r="8" spans="2:40" ht="9" customHeight="1">
      <c r="R8" s="617"/>
      <c r="S8" s="617"/>
      <c r="T8" s="617"/>
      <c r="U8" s="617"/>
      <c r="V8" s="617"/>
      <c r="W8" s="617"/>
      <c r="X8" s="617"/>
      <c r="Y8" s="617"/>
    </row>
    <row r="9" spans="2:40" ht="9" customHeight="1">
      <c r="R9" s="617"/>
      <c r="S9" s="617"/>
      <c r="T9" s="617"/>
      <c r="U9" s="617"/>
      <c r="V9" s="617"/>
      <c r="W9" s="617"/>
      <c r="X9" s="617"/>
      <c r="Y9" s="617"/>
    </row>
    <row r="10" spans="2:40" ht="18" customHeight="1" thickBot="1">
      <c r="B10" s="607" t="s">
        <v>501</v>
      </c>
    </row>
    <row r="11" spans="2:40" ht="29.25" customHeight="1" thickBot="1">
      <c r="C11" s="671"/>
      <c r="D11" s="672"/>
      <c r="E11" s="672"/>
      <c r="F11" s="672"/>
      <c r="G11" s="672"/>
      <c r="H11" s="672"/>
      <c r="I11" s="672"/>
      <c r="J11" s="672"/>
      <c r="K11" s="672"/>
      <c r="L11" s="672"/>
      <c r="M11" s="673"/>
      <c r="N11" s="1059" t="s">
        <v>471</v>
      </c>
      <c r="O11" s="1059"/>
      <c r="P11" s="1059"/>
      <c r="Q11" s="1059"/>
      <c r="R11" s="1059"/>
      <c r="S11" s="1059"/>
      <c r="T11" s="1059"/>
      <c r="U11" s="1059"/>
      <c r="V11" s="1060"/>
      <c r="W11" s="1087" t="s">
        <v>500</v>
      </c>
      <c r="X11" s="1088"/>
      <c r="Y11" s="1088"/>
      <c r="Z11" s="1088"/>
      <c r="AA11" s="1088"/>
      <c r="AB11" s="1088"/>
      <c r="AC11" s="1088"/>
      <c r="AD11" s="1088"/>
      <c r="AE11" s="1089"/>
      <c r="AG11" s="1094" t="s">
        <v>499</v>
      </c>
      <c r="AH11" s="1095"/>
      <c r="AI11" s="1096"/>
      <c r="AJ11" s="674" t="str">
        <f>IFERROR(IF(N13&gt;=N12,"○","×"),"")</f>
        <v/>
      </c>
    </row>
    <row r="12" spans="2:40" ht="27.75" customHeight="1" thickBot="1">
      <c r="C12" s="675" t="s">
        <v>417</v>
      </c>
      <c r="D12" s="1097" t="s">
        <v>498</v>
      </c>
      <c r="E12" s="1097"/>
      <c r="F12" s="1097"/>
      <c r="G12" s="1097"/>
      <c r="H12" s="1097"/>
      <c r="I12" s="1097"/>
      <c r="J12" s="1097"/>
      <c r="K12" s="1097"/>
      <c r="L12" s="1097"/>
      <c r="M12" s="1097"/>
      <c r="N12" s="1098" t="e">
        <f>【参考】計算結果!$D$14-N38+N39</f>
        <v>#N/A</v>
      </c>
      <c r="O12" s="1098"/>
      <c r="P12" s="1098"/>
      <c r="Q12" s="1098"/>
      <c r="R12" s="1098"/>
      <c r="S12" s="1098"/>
      <c r="T12" s="1098"/>
      <c r="U12" s="1098"/>
      <c r="V12" s="676" t="s">
        <v>468</v>
      </c>
      <c r="W12" s="1098">
        <f>【参考】計算結果!$D$20</f>
        <v>0</v>
      </c>
      <c r="X12" s="1098"/>
      <c r="Y12" s="1098"/>
      <c r="Z12" s="1098"/>
      <c r="AA12" s="1098"/>
      <c r="AB12" s="1098"/>
      <c r="AC12" s="1098"/>
      <c r="AD12" s="1098"/>
      <c r="AE12" s="677" t="s">
        <v>468</v>
      </c>
      <c r="AF12" s="678"/>
      <c r="AG12" s="1099" t="s">
        <v>497</v>
      </c>
      <c r="AH12" s="1100"/>
      <c r="AI12" s="1101"/>
      <c r="AJ12" s="674" t="str">
        <f>IFERROR(IF(W13&gt;=W12,"○","×"),"")</f>
        <v>○</v>
      </c>
    </row>
    <row r="13" spans="2:40" ht="27.75" customHeight="1">
      <c r="C13" s="679" t="s">
        <v>410</v>
      </c>
      <c r="D13" s="1072" t="s">
        <v>496</v>
      </c>
      <c r="E13" s="1073"/>
      <c r="F13" s="1073"/>
      <c r="G13" s="1073"/>
      <c r="H13" s="1073"/>
      <c r="I13" s="1073"/>
      <c r="J13" s="1073"/>
      <c r="K13" s="1073"/>
      <c r="L13" s="1073"/>
      <c r="M13" s="1074"/>
      <c r="N13" s="1090">
        <f>ROUNDDOWN(N14+N15,-3)</f>
        <v>0</v>
      </c>
      <c r="O13" s="1090"/>
      <c r="P13" s="1090"/>
      <c r="Q13" s="1090"/>
      <c r="R13" s="1090"/>
      <c r="S13" s="1090"/>
      <c r="T13" s="1090"/>
      <c r="U13" s="1090"/>
      <c r="V13" s="708" t="s">
        <v>468</v>
      </c>
      <c r="W13" s="1090">
        <f>ROUNDDOWN(W14+W15,-3)</f>
        <v>0</v>
      </c>
      <c r="X13" s="1090"/>
      <c r="Y13" s="1090"/>
      <c r="Z13" s="1090"/>
      <c r="AA13" s="1090"/>
      <c r="AB13" s="1090"/>
      <c r="AC13" s="1090"/>
      <c r="AD13" s="1090"/>
      <c r="AE13" s="491" t="s">
        <v>468</v>
      </c>
      <c r="AF13" s="678"/>
      <c r="AG13" s="678"/>
    </row>
    <row r="14" spans="2:40" ht="27.75" customHeight="1">
      <c r="C14" s="679"/>
      <c r="D14" s="1072" t="s">
        <v>495</v>
      </c>
      <c r="E14" s="1073"/>
      <c r="F14" s="1073"/>
      <c r="G14" s="1073"/>
      <c r="H14" s="1073"/>
      <c r="I14" s="1073"/>
      <c r="J14" s="1073"/>
      <c r="K14" s="1073"/>
      <c r="L14" s="1073"/>
      <c r="M14" s="1074"/>
      <c r="N14" s="1081">
        <f>様式4別添1!T61</f>
        <v>0</v>
      </c>
      <c r="O14" s="1081"/>
      <c r="P14" s="1081"/>
      <c r="Q14" s="1081"/>
      <c r="R14" s="1081"/>
      <c r="S14" s="1081"/>
      <c r="T14" s="1081"/>
      <c r="U14" s="1081"/>
      <c r="V14" s="680" t="s">
        <v>468</v>
      </c>
      <c r="W14" s="1081">
        <f>様式4別添1!X61</f>
        <v>0</v>
      </c>
      <c r="X14" s="1081"/>
      <c r="Y14" s="1081"/>
      <c r="Z14" s="1081"/>
      <c r="AA14" s="1081"/>
      <c r="AB14" s="1081"/>
      <c r="AC14" s="1081"/>
      <c r="AD14" s="1081"/>
      <c r="AE14" s="680" t="s">
        <v>468</v>
      </c>
      <c r="AF14" s="678"/>
      <c r="AG14" s="678"/>
    </row>
    <row r="15" spans="2:40" ht="27.75" customHeight="1">
      <c r="C15" s="679"/>
      <c r="D15" s="1072" t="s">
        <v>494</v>
      </c>
      <c r="E15" s="1073"/>
      <c r="F15" s="1073"/>
      <c r="G15" s="1073"/>
      <c r="H15" s="1073"/>
      <c r="I15" s="1073"/>
      <c r="J15" s="1073"/>
      <c r="K15" s="1073"/>
      <c r="L15" s="1073"/>
      <c r="M15" s="1074"/>
      <c r="N15" s="1084"/>
      <c r="O15" s="1084"/>
      <c r="P15" s="1084"/>
      <c r="Q15" s="1084"/>
      <c r="R15" s="1084"/>
      <c r="S15" s="1084"/>
      <c r="T15" s="1084"/>
      <c r="U15" s="1084"/>
      <c r="V15" s="680" t="s">
        <v>468</v>
      </c>
      <c r="W15" s="1084"/>
      <c r="X15" s="1084"/>
      <c r="Y15" s="1084"/>
      <c r="Z15" s="1084"/>
      <c r="AA15" s="1084"/>
      <c r="AB15" s="1084"/>
      <c r="AC15" s="1084"/>
      <c r="AD15" s="1084"/>
      <c r="AE15" s="676" t="s">
        <v>468</v>
      </c>
      <c r="AF15" s="678"/>
      <c r="AG15" s="678"/>
    </row>
    <row r="16" spans="2:40" ht="27.75" customHeight="1">
      <c r="C16" s="606"/>
      <c r="D16" s="681"/>
      <c r="E16" s="681"/>
      <c r="F16" s="681"/>
      <c r="G16" s="681"/>
      <c r="H16" s="681"/>
      <c r="I16" s="681"/>
      <c r="J16" s="681"/>
      <c r="K16" s="681"/>
      <c r="L16" s="681"/>
      <c r="M16" s="681"/>
      <c r="O16" s="682"/>
      <c r="P16" s="682"/>
      <c r="Q16" s="682"/>
      <c r="R16" s="682"/>
      <c r="S16" s="682"/>
      <c r="T16" s="682"/>
      <c r="U16" s="682"/>
      <c r="V16" s="682"/>
      <c r="W16" s="682"/>
      <c r="X16" s="683"/>
      <c r="Y16" s="682"/>
      <c r="Z16" s="682"/>
      <c r="AA16" s="682"/>
      <c r="AB16" s="682"/>
      <c r="AC16" s="682"/>
      <c r="AD16" s="682"/>
      <c r="AE16" s="682"/>
      <c r="AF16" s="682"/>
      <c r="AG16" s="682"/>
      <c r="AH16" s="678"/>
    </row>
    <row r="17" spans="2:53" ht="18" customHeight="1" thickBot="1">
      <c r="B17" s="607" t="s">
        <v>493</v>
      </c>
      <c r="AY17" s="670"/>
    </row>
    <row r="18" spans="2:53" ht="30.75" customHeight="1" thickBot="1">
      <c r="C18" s="684" t="s">
        <v>417</v>
      </c>
      <c r="D18" s="1082" t="s">
        <v>709</v>
      </c>
      <c r="E18" s="1082"/>
      <c r="F18" s="1082"/>
      <c r="G18" s="1082"/>
      <c r="H18" s="1082"/>
      <c r="I18" s="1082"/>
      <c r="J18" s="1082"/>
      <c r="K18" s="1082"/>
      <c r="L18" s="1082"/>
      <c r="M18" s="1082"/>
      <c r="N18" s="1082"/>
      <c r="O18" s="1082"/>
      <c r="P18" s="1082"/>
      <c r="Q18" s="1082"/>
      <c r="R18" s="1082"/>
      <c r="S18" s="1082"/>
      <c r="T18" s="1082"/>
      <c r="U18" s="1082"/>
      <c r="V18" s="1082"/>
      <c r="W18" s="1082"/>
      <c r="X18" s="1083"/>
      <c r="Y18" s="1075">
        <f>Y19-Y20-Y21-Y22-Y23</f>
        <v>0</v>
      </c>
      <c r="Z18" s="1076"/>
      <c r="AA18" s="1076"/>
      <c r="AB18" s="1076"/>
      <c r="AC18" s="1076"/>
      <c r="AD18" s="1076"/>
      <c r="AE18" s="1076"/>
      <c r="AF18" s="1076"/>
      <c r="AG18" s="1077"/>
      <c r="AH18" s="677" t="s">
        <v>468</v>
      </c>
      <c r="AJ18" s="685" t="str">
        <f>IFERROR(IF(Y18&gt;=Y24,"○","×"),"")</f>
        <v>○</v>
      </c>
      <c r="AY18" s="670" t="s">
        <v>492</v>
      </c>
      <c r="AZ18" s="492"/>
    </row>
    <row r="19" spans="2:53" ht="27.75" customHeight="1">
      <c r="C19" s="686"/>
      <c r="D19" s="1072" t="s">
        <v>491</v>
      </c>
      <c r="E19" s="1073"/>
      <c r="F19" s="1073"/>
      <c r="G19" s="1073"/>
      <c r="H19" s="1073"/>
      <c r="I19" s="1073"/>
      <c r="J19" s="1073"/>
      <c r="K19" s="1073"/>
      <c r="L19" s="1073"/>
      <c r="M19" s="1073"/>
      <c r="N19" s="1073"/>
      <c r="O19" s="1073"/>
      <c r="P19" s="1073"/>
      <c r="Q19" s="1073"/>
      <c r="R19" s="1073"/>
      <c r="S19" s="1073"/>
      <c r="T19" s="1073"/>
      <c r="U19" s="1073"/>
      <c r="V19" s="1073"/>
      <c r="W19" s="1073"/>
      <c r="X19" s="1074"/>
      <c r="Y19" s="1075">
        <f>様式4別添1!S61</f>
        <v>0</v>
      </c>
      <c r="Z19" s="1076"/>
      <c r="AA19" s="1076"/>
      <c r="AB19" s="1076"/>
      <c r="AC19" s="1076"/>
      <c r="AD19" s="1076"/>
      <c r="AE19" s="1076"/>
      <c r="AF19" s="1076"/>
      <c r="AG19" s="1077"/>
      <c r="AH19" s="677" t="s">
        <v>468</v>
      </c>
      <c r="AY19" s="670" t="s">
        <v>490</v>
      </c>
      <c r="AZ19" s="492"/>
    </row>
    <row r="20" spans="2:53" ht="27.75" customHeight="1">
      <c r="C20" s="686"/>
      <c r="D20" s="1072" t="s">
        <v>489</v>
      </c>
      <c r="E20" s="1073"/>
      <c r="F20" s="1073"/>
      <c r="G20" s="1073"/>
      <c r="H20" s="1073"/>
      <c r="I20" s="1073"/>
      <c r="J20" s="1073"/>
      <c r="K20" s="1073"/>
      <c r="L20" s="1073"/>
      <c r="M20" s="1073"/>
      <c r="N20" s="1073"/>
      <c r="O20" s="1073"/>
      <c r="P20" s="1073"/>
      <c r="Q20" s="1073"/>
      <c r="R20" s="1073"/>
      <c r="S20" s="1073"/>
      <c r="T20" s="1073"/>
      <c r="U20" s="1073"/>
      <c r="V20" s="1073"/>
      <c r="W20" s="1073"/>
      <c r="X20" s="1074"/>
      <c r="Y20" s="1075">
        <f>N14+W14</f>
        <v>0</v>
      </c>
      <c r="Z20" s="1076"/>
      <c r="AA20" s="1076"/>
      <c r="AB20" s="1076"/>
      <c r="AC20" s="1076"/>
      <c r="AD20" s="1076"/>
      <c r="AE20" s="1076"/>
      <c r="AF20" s="1076"/>
      <c r="AG20" s="1077"/>
      <c r="AH20" s="677" t="s">
        <v>468</v>
      </c>
      <c r="AX20" s="687"/>
      <c r="AY20" s="688" t="s">
        <v>488</v>
      </c>
      <c r="AZ20" s="689" t="e">
        <f>$AZ$18/$AZ$19*$N$14</f>
        <v>#DIV/0!</v>
      </c>
      <c r="BA20" s="689" t="e">
        <f>$AZ$18/$AZ$19*$W$14</f>
        <v>#DIV/0!</v>
      </c>
    </row>
    <row r="21" spans="2:53" ht="27.75" customHeight="1">
      <c r="C21" s="686"/>
      <c r="D21" s="1072" t="s">
        <v>487</v>
      </c>
      <c r="E21" s="1073"/>
      <c r="F21" s="1073"/>
      <c r="G21" s="1073"/>
      <c r="H21" s="1073"/>
      <c r="I21" s="1073"/>
      <c r="J21" s="1073"/>
      <c r="K21" s="1073"/>
      <c r="L21" s="1073"/>
      <c r="M21" s="1073"/>
      <c r="N21" s="1073"/>
      <c r="O21" s="1073"/>
      <c r="P21" s="1073"/>
      <c r="Q21" s="1073"/>
      <c r="R21" s="1073"/>
      <c r="S21" s="1073"/>
      <c r="T21" s="1073"/>
      <c r="U21" s="1073"/>
      <c r="V21" s="1073"/>
      <c r="W21" s="1073"/>
      <c r="X21" s="1074"/>
      <c r="Y21" s="1075">
        <f>様式4別添1!AA61</f>
        <v>0</v>
      </c>
      <c r="Z21" s="1076"/>
      <c r="AA21" s="1076"/>
      <c r="AB21" s="1076"/>
      <c r="AC21" s="1076"/>
      <c r="AD21" s="1076"/>
      <c r="AE21" s="1076"/>
      <c r="AF21" s="1076"/>
      <c r="AG21" s="1077"/>
      <c r="AH21" s="676" t="s">
        <v>468</v>
      </c>
      <c r="AZ21" s="690" t="s">
        <v>486</v>
      </c>
      <c r="BA21" s="690" t="s">
        <v>485</v>
      </c>
    </row>
    <row r="22" spans="2:53" ht="27.75" customHeight="1">
      <c r="C22" s="686"/>
      <c r="D22" s="1072" t="s">
        <v>484</v>
      </c>
      <c r="E22" s="1073"/>
      <c r="F22" s="1073"/>
      <c r="G22" s="1073"/>
      <c r="H22" s="1073"/>
      <c r="I22" s="1073"/>
      <c r="J22" s="1073"/>
      <c r="K22" s="1073"/>
      <c r="L22" s="1073"/>
      <c r="M22" s="1073"/>
      <c r="N22" s="1073"/>
      <c r="O22" s="1073"/>
      <c r="P22" s="1073"/>
      <c r="Q22" s="1073"/>
      <c r="R22" s="1073"/>
      <c r="S22" s="1073"/>
      <c r="T22" s="1073"/>
      <c r="U22" s="1073"/>
      <c r="V22" s="1073"/>
      <c r="W22" s="1073"/>
      <c r="X22" s="1074"/>
      <c r="Y22" s="1075">
        <f>様式4別添1!AB61</f>
        <v>0</v>
      </c>
      <c r="Z22" s="1076"/>
      <c r="AA22" s="1076"/>
      <c r="AB22" s="1076"/>
      <c r="AC22" s="1076"/>
      <c r="AD22" s="1076"/>
      <c r="AE22" s="1076"/>
      <c r="AF22" s="1076"/>
      <c r="AG22" s="1077"/>
      <c r="AH22" s="676" t="s">
        <v>468</v>
      </c>
    </row>
    <row r="23" spans="2:53" ht="27.75" customHeight="1">
      <c r="C23" s="686"/>
      <c r="D23" s="1072" t="s">
        <v>483</v>
      </c>
      <c r="E23" s="1073"/>
      <c r="F23" s="1073"/>
      <c r="G23" s="1073"/>
      <c r="H23" s="1073"/>
      <c r="I23" s="1073"/>
      <c r="J23" s="1073"/>
      <c r="K23" s="1073"/>
      <c r="L23" s="1073"/>
      <c r="M23" s="1073"/>
      <c r="N23" s="1073"/>
      <c r="O23" s="1073"/>
      <c r="P23" s="1073"/>
      <c r="Q23" s="1073"/>
      <c r="R23" s="1073"/>
      <c r="S23" s="1073"/>
      <c r="T23" s="1073"/>
      <c r="U23" s="1073"/>
      <c r="V23" s="1073"/>
      <c r="W23" s="1073"/>
      <c r="X23" s="1074"/>
      <c r="Y23" s="1075">
        <f>様式4別添1!AC61</f>
        <v>0</v>
      </c>
      <c r="Z23" s="1076"/>
      <c r="AA23" s="1076"/>
      <c r="AB23" s="1076"/>
      <c r="AC23" s="1076"/>
      <c r="AD23" s="1076"/>
      <c r="AE23" s="1076"/>
      <c r="AF23" s="1076"/>
      <c r="AG23" s="1077"/>
      <c r="AH23" s="676" t="s">
        <v>468</v>
      </c>
    </row>
    <row r="24" spans="2:53" ht="27.75" customHeight="1">
      <c r="C24" s="684" t="s">
        <v>410</v>
      </c>
      <c r="D24" s="1073" t="s">
        <v>482</v>
      </c>
      <c r="E24" s="1073"/>
      <c r="F24" s="1073"/>
      <c r="G24" s="1073"/>
      <c r="H24" s="1073"/>
      <c r="I24" s="1073"/>
      <c r="J24" s="1073"/>
      <c r="K24" s="1073"/>
      <c r="L24" s="1073"/>
      <c r="M24" s="1073"/>
      <c r="N24" s="1073"/>
      <c r="O24" s="1073"/>
      <c r="P24" s="1073"/>
      <c r="Q24" s="1073"/>
      <c r="R24" s="1073"/>
      <c r="S24" s="1073"/>
      <c r="T24" s="1073"/>
      <c r="U24" s="1073"/>
      <c r="V24" s="1073"/>
      <c r="W24" s="1073"/>
      <c r="X24" s="1074"/>
      <c r="Y24" s="1075">
        <f>Y25-(Y26-Y27)-Y28-Y29+Y30</f>
        <v>0</v>
      </c>
      <c r="Z24" s="1076"/>
      <c r="AA24" s="1076"/>
      <c r="AB24" s="1076"/>
      <c r="AC24" s="1076"/>
      <c r="AD24" s="1076"/>
      <c r="AE24" s="1076"/>
      <c r="AF24" s="1076"/>
      <c r="AG24" s="1077"/>
      <c r="AH24" s="677" t="s">
        <v>468</v>
      </c>
    </row>
    <row r="25" spans="2:53" ht="27.75" customHeight="1">
      <c r="C25" s="686"/>
      <c r="D25" s="1072" t="s">
        <v>481</v>
      </c>
      <c r="E25" s="1073"/>
      <c r="F25" s="1073"/>
      <c r="G25" s="1073"/>
      <c r="H25" s="1073"/>
      <c r="I25" s="1073"/>
      <c r="J25" s="1073"/>
      <c r="K25" s="1073"/>
      <c r="L25" s="1073"/>
      <c r="M25" s="1073"/>
      <c r="N25" s="1073"/>
      <c r="O25" s="1073"/>
      <c r="P25" s="1073"/>
      <c r="Q25" s="1073"/>
      <c r="R25" s="1073"/>
      <c r="S25" s="1073"/>
      <c r="T25" s="1073"/>
      <c r="U25" s="1073"/>
      <c r="V25" s="1073"/>
      <c r="W25" s="1073"/>
      <c r="X25" s="1074"/>
      <c r="Y25" s="1075">
        <f>様式4別添1!K61</f>
        <v>0</v>
      </c>
      <c r="Z25" s="1076"/>
      <c r="AA25" s="1076"/>
      <c r="AB25" s="1076"/>
      <c r="AC25" s="1076"/>
      <c r="AD25" s="1076"/>
      <c r="AE25" s="1076"/>
      <c r="AF25" s="1076"/>
      <c r="AG25" s="1077"/>
      <c r="AH25" s="677" t="s">
        <v>468</v>
      </c>
    </row>
    <row r="26" spans="2:53" ht="27.75" customHeight="1">
      <c r="C26" s="686"/>
      <c r="D26" s="1072" t="s">
        <v>480</v>
      </c>
      <c r="E26" s="1073"/>
      <c r="F26" s="1073"/>
      <c r="G26" s="1073"/>
      <c r="H26" s="1073"/>
      <c r="I26" s="1073"/>
      <c r="J26" s="1073"/>
      <c r="K26" s="1073"/>
      <c r="L26" s="1073"/>
      <c r="M26" s="1073"/>
      <c r="N26" s="1073"/>
      <c r="O26" s="1073"/>
      <c r="P26" s="1073"/>
      <c r="Q26" s="1073"/>
      <c r="R26" s="1073"/>
      <c r="S26" s="1073"/>
      <c r="T26" s="1073"/>
      <c r="U26" s="1073"/>
      <c r="V26" s="1073"/>
      <c r="W26" s="1073"/>
      <c r="X26" s="1074"/>
      <c r="Y26" s="1075">
        <f>様式4別添1!L61</f>
        <v>0</v>
      </c>
      <c r="Z26" s="1076"/>
      <c r="AA26" s="1076"/>
      <c r="AB26" s="1076"/>
      <c r="AC26" s="1076"/>
      <c r="AD26" s="1076"/>
      <c r="AE26" s="1076"/>
      <c r="AF26" s="1076"/>
      <c r="AG26" s="1077"/>
      <c r="AH26" s="677" t="s">
        <v>468</v>
      </c>
    </row>
    <row r="27" spans="2:53" ht="27.75" customHeight="1">
      <c r="C27" s="686"/>
      <c r="D27" s="1072" t="s">
        <v>479</v>
      </c>
      <c r="E27" s="1073"/>
      <c r="F27" s="1073"/>
      <c r="G27" s="1073"/>
      <c r="H27" s="1073"/>
      <c r="I27" s="1073"/>
      <c r="J27" s="1073"/>
      <c r="K27" s="1073"/>
      <c r="L27" s="1073"/>
      <c r="M27" s="1073"/>
      <c r="N27" s="1073"/>
      <c r="O27" s="1073"/>
      <c r="P27" s="1073"/>
      <c r="Q27" s="1073"/>
      <c r="R27" s="1073"/>
      <c r="S27" s="1073"/>
      <c r="T27" s="1073"/>
      <c r="U27" s="1073"/>
      <c r="V27" s="1073"/>
      <c r="W27" s="1073"/>
      <c r="X27" s="1074"/>
      <c r="Y27" s="1075">
        <f>様式4別添1!M61</f>
        <v>0</v>
      </c>
      <c r="Z27" s="1076"/>
      <c r="AA27" s="1076"/>
      <c r="AB27" s="1076"/>
      <c r="AC27" s="1076"/>
      <c r="AD27" s="1076"/>
      <c r="AE27" s="1076"/>
      <c r="AF27" s="1076"/>
      <c r="AG27" s="1077"/>
      <c r="AH27" s="677" t="s">
        <v>468</v>
      </c>
    </row>
    <row r="28" spans="2:53" ht="27.75" customHeight="1">
      <c r="C28" s="686"/>
      <c r="D28" s="1072" t="s">
        <v>478</v>
      </c>
      <c r="E28" s="1073"/>
      <c r="F28" s="1073"/>
      <c r="G28" s="1073"/>
      <c r="H28" s="1073"/>
      <c r="I28" s="1073"/>
      <c r="J28" s="1073"/>
      <c r="K28" s="1073"/>
      <c r="L28" s="1073"/>
      <c r="M28" s="1073"/>
      <c r="N28" s="1073"/>
      <c r="O28" s="1073"/>
      <c r="P28" s="1073"/>
      <c r="Q28" s="1073"/>
      <c r="R28" s="1073"/>
      <c r="S28" s="1073"/>
      <c r="T28" s="1073"/>
      <c r="U28" s="1073"/>
      <c r="V28" s="1073"/>
      <c r="W28" s="1073"/>
      <c r="X28" s="1074"/>
      <c r="Y28" s="1075">
        <f>様式4別添1!N61</f>
        <v>0</v>
      </c>
      <c r="Z28" s="1076"/>
      <c r="AA28" s="1076"/>
      <c r="AB28" s="1076"/>
      <c r="AC28" s="1076"/>
      <c r="AD28" s="1076"/>
      <c r="AE28" s="1076"/>
      <c r="AF28" s="1076"/>
      <c r="AG28" s="1077"/>
      <c r="AH28" s="677" t="s">
        <v>468</v>
      </c>
    </row>
    <row r="29" spans="2:53" ht="27.75" customHeight="1">
      <c r="C29" s="691"/>
      <c r="D29" s="1073" t="s">
        <v>477</v>
      </c>
      <c r="E29" s="1073"/>
      <c r="F29" s="1073"/>
      <c r="G29" s="1073"/>
      <c r="H29" s="1073"/>
      <c r="I29" s="1073"/>
      <c r="J29" s="1073"/>
      <c r="K29" s="1073"/>
      <c r="L29" s="1073"/>
      <c r="M29" s="1073"/>
      <c r="N29" s="1073"/>
      <c r="O29" s="1073"/>
      <c r="P29" s="1073"/>
      <c r="Q29" s="1073"/>
      <c r="R29" s="1073"/>
      <c r="S29" s="1073"/>
      <c r="T29" s="1073"/>
      <c r="U29" s="1073"/>
      <c r="V29" s="1073"/>
      <c r="W29" s="1073"/>
      <c r="X29" s="1074"/>
      <c r="Y29" s="1075">
        <f>様式4別添1!O61</f>
        <v>0</v>
      </c>
      <c r="Z29" s="1076"/>
      <c r="AA29" s="1076"/>
      <c r="AB29" s="1076"/>
      <c r="AC29" s="1076"/>
      <c r="AD29" s="1076"/>
      <c r="AE29" s="1076"/>
      <c r="AF29" s="1076"/>
      <c r="AG29" s="1077"/>
      <c r="AH29" s="676" t="s">
        <v>468</v>
      </c>
    </row>
    <row r="30" spans="2:53" ht="27.75" customHeight="1">
      <c r="C30" s="675"/>
      <c r="D30" s="1072" t="s">
        <v>476</v>
      </c>
      <c r="E30" s="1073"/>
      <c r="F30" s="1073"/>
      <c r="G30" s="1073"/>
      <c r="H30" s="1073"/>
      <c r="I30" s="1073"/>
      <c r="J30" s="1073"/>
      <c r="K30" s="1073"/>
      <c r="L30" s="1073"/>
      <c r="M30" s="1073"/>
      <c r="N30" s="1073"/>
      <c r="O30" s="1073"/>
      <c r="P30" s="1073"/>
      <c r="Q30" s="1073"/>
      <c r="R30" s="1073"/>
      <c r="S30" s="1073"/>
      <c r="T30" s="1073"/>
      <c r="U30" s="1073"/>
      <c r="V30" s="1073"/>
      <c r="W30" s="1073"/>
      <c r="X30" s="1074"/>
      <c r="Y30" s="1075">
        <f>様式4別添1!P61</f>
        <v>0</v>
      </c>
      <c r="Z30" s="1076"/>
      <c r="AA30" s="1076"/>
      <c r="AB30" s="1076"/>
      <c r="AC30" s="1076"/>
      <c r="AD30" s="1076"/>
      <c r="AE30" s="1076"/>
      <c r="AF30" s="1076"/>
      <c r="AG30" s="1077"/>
      <c r="AH30" s="676" t="s">
        <v>468</v>
      </c>
    </row>
    <row r="31" spans="2:53" ht="9" customHeight="1">
      <c r="C31" s="606"/>
      <c r="D31" s="681"/>
      <c r="E31" s="681"/>
      <c r="F31" s="681"/>
      <c r="G31" s="681"/>
      <c r="H31" s="681"/>
      <c r="I31" s="681"/>
      <c r="J31" s="681"/>
      <c r="K31" s="681"/>
      <c r="L31" s="681"/>
      <c r="M31" s="681"/>
      <c r="N31" s="681"/>
      <c r="O31" s="681"/>
      <c r="P31" s="681"/>
      <c r="Q31" s="681"/>
      <c r="R31" s="681"/>
      <c r="S31" s="681"/>
      <c r="T31" s="681"/>
      <c r="U31" s="681"/>
      <c r="V31" s="681"/>
      <c r="W31" s="681"/>
      <c r="X31" s="681"/>
      <c r="Y31" s="692"/>
      <c r="Z31" s="692"/>
      <c r="AA31" s="692"/>
      <c r="AB31" s="692"/>
      <c r="AC31" s="692"/>
      <c r="AD31" s="692"/>
      <c r="AE31" s="692"/>
      <c r="AF31" s="692"/>
      <c r="AG31" s="692"/>
      <c r="AH31" s="678"/>
    </row>
    <row r="32" spans="2:53" ht="21" customHeight="1">
      <c r="B32" s="607" t="s">
        <v>475</v>
      </c>
    </row>
    <row r="33" spans="2:34" ht="29.25" customHeight="1">
      <c r="C33" s="1072" t="s">
        <v>474</v>
      </c>
      <c r="D33" s="1073"/>
      <c r="E33" s="1073"/>
      <c r="F33" s="1073"/>
      <c r="G33" s="1073"/>
      <c r="H33" s="1073"/>
      <c r="I33" s="1074"/>
      <c r="J33" s="1078"/>
      <c r="K33" s="1079"/>
      <c r="L33" s="1079"/>
      <c r="M33" s="1079"/>
      <c r="N33" s="1079"/>
      <c r="O33" s="1079"/>
      <c r="P33" s="1079"/>
      <c r="Q33" s="1079"/>
      <c r="R33" s="1079"/>
      <c r="S33" s="1079"/>
      <c r="T33" s="1079"/>
      <c r="U33" s="1079"/>
      <c r="V33" s="1079"/>
      <c r="W33" s="1079"/>
      <c r="X33" s="1079"/>
      <c r="Y33" s="1079"/>
      <c r="Z33" s="1079"/>
      <c r="AA33" s="1079"/>
      <c r="AB33" s="1079"/>
      <c r="AC33" s="1079"/>
      <c r="AD33" s="1079"/>
      <c r="AE33" s="1079"/>
      <c r="AF33" s="1079"/>
      <c r="AG33" s="1079"/>
      <c r="AH33" s="1080"/>
    </row>
    <row r="34" spans="2:34" ht="29.25" customHeight="1">
      <c r="C34" s="1072" t="s">
        <v>473</v>
      </c>
      <c r="D34" s="1073"/>
      <c r="E34" s="1073"/>
      <c r="F34" s="1073"/>
      <c r="G34" s="1073"/>
      <c r="H34" s="1073"/>
      <c r="I34" s="1074"/>
      <c r="J34" s="1078"/>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80"/>
    </row>
    <row r="36" spans="2:34" ht="27" customHeight="1">
      <c r="B36" s="607" t="s">
        <v>472</v>
      </c>
    </row>
    <row r="37" spans="2:34" ht="29.25" customHeight="1">
      <c r="C37" s="1058"/>
      <c r="D37" s="1059"/>
      <c r="E37" s="1059"/>
      <c r="F37" s="1059"/>
      <c r="G37" s="1059"/>
      <c r="H37" s="1059"/>
      <c r="I37" s="1059"/>
      <c r="J37" s="1059"/>
      <c r="K37" s="1059"/>
      <c r="L37" s="1059"/>
      <c r="M37" s="1060"/>
      <c r="N37" s="1059" t="s">
        <v>471</v>
      </c>
      <c r="O37" s="1059"/>
      <c r="P37" s="1059"/>
      <c r="Q37" s="1059"/>
      <c r="R37" s="1059"/>
      <c r="S37" s="1059"/>
      <c r="T37" s="1059"/>
      <c r="U37" s="1059"/>
      <c r="V37" s="1060"/>
      <c r="W37" s="1061"/>
      <c r="X37" s="1061"/>
      <c r="Y37" s="1061"/>
    </row>
    <row r="38" spans="2:34" ht="24" customHeight="1">
      <c r="C38" s="693" t="s">
        <v>417</v>
      </c>
      <c r="D38" s="1062" t="s">
        <v>470</v>
      </c>
      <c r="E38" s="1063"/>
      <c r="F38" s="1063"/>
      <c r="G38" s="1063"/>
      <c r="H38" s="1063"/>
      <c r="I38" s="1063"/>
      <c r="J38" s="1063"/>
      <c r="K38" s="1063"/>
      <c r="L38" s="1063"/>
      <c r="M38" s="1064"/>
      <c r="N38" s="1071">
        <f>様式4別添2!E18</f>
        <v>0</v>
      </c>
      <c r="O38" s="1071"/>
      <c r="P38" s="1071"/>
      <c r="Q38" s="1071"/>
      <c r="R38" s="1071"/>
      <c r="S38" s="1071"/>
      <c r="T38" s="1071"/>
      <c r="U38" s="1071"/>
      <c r="V38" s="676" t="s">
        <v>468</v>
      </c>
      <c r="W38" s="1061"/>
      <c r="X38" s="1061"/>
      <c r="Y38" s="1061"/>
    </row>
    <row r="39" spans="2:34" ht="24" customHeight="1">
      <c r="C39" s="694" t="s">
        <v>410</v>
      </c>
      <c r="D39" s="1072" t="s">
        <v>469</v>
      </c>
      <c r="E39" s="1073"/>
      <c r="F39" s="1073"/>
      <c r="G39" s="1073"/>
      <c r="H39" s="1073"/>
      <c r="I39" s="1073"/>
      <c r="J39" s="1073"/>
      <c r="K39" s="1073"/>
      <c r="L39" s="1073"/>
      <c r="M39" s="1074"/>
      <c r="N39" s="1071">
        <f>様式4別添2!F18</f>
        <v>0</v>
      </c>
      <c r="O39" s="1071"/>
      <c r="P39" s="1071"/>
      <c r="Q39" s="1071"/>
      <c r="R39" s="1071"/>
      <c r="S39" s="1071"/>
      <c r="T39" s="1071"/>
      <c r="U39" s="1071"/>
      <c r="V39" s="676" t="s">
        <v>468</v>
      </c>
      <c r="W39" s="1061"/>
      <c r="X39" s="1061"/>
      <c r="Y39" s="1061"/>
    </row>
    <row r="40" spans="2:34" ht="17.100000000000001" customHeight="1">
      <c r="C40" s="695" t="s">
        <v>380</v>
      </c>
      <c r="D40" s="1066" t="s">
        <v>467</v>
      </c>
      <c r="E40" s="1067"/>
      <c r="F40" s="1067"/>
      <c r="G40" s="1067"/>
      <c r="H40" s="1067"/>
      <c r="I40" s="1067"/>
      <c r="J40" s="1067"/>
      <c r="K40" s="1067"/>
      <c r="L40" s="1067"/>
      <c r="M40" s="1067"/>
      <c r="N40" s="1067"/>
      <c r="O40" s="1067"/>
      <c r="P40" s="1067"/>
      <c r="Q40" s="1067"/>
      <c r="R40" s="1067"/>
      <c r="S40" s="1067"/>
      <c r="T40" s="1067"/>
      <c r="U40" s="1067"/>
      <c r="V40" s="1067"/>
      <c r="W40" s="1067"/>
      <c r="X40" s="1067"/>
      <c r="Y40" s="1067"/>
      <c r="Z40" s="1067"/>
      <c r="AA40" s="1067"/>
      <c r="AB40" s="1067"/>
      <c r="AC40" s="1067"/>
      <c r="AD40" s="1067"/>
      <c r="AE40" s="1067"/>
      <c r="AF40" s="1067"/>
      <c r="AG40" s="1067"/>
      <c r="AH40" s="1067"/>
    </row>
    <row r="41" spans="2:34" ht="9" customHeight="1">
      <c r="B41" s="696"/>
      <c r="C41" s="696"/>
      <c r="D41" s="696"/>
      <c r="E41" s="696"/>
      <c r="F41" s="696"/>
      <c r="G41" s="696"/>
      <c r="H41" s="696"/>
      <c r="I41" s="696"/>
      <c r="J41" s="696"/>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696"/>
      <c r="AH41" s="696"/>
    </row>
    <row r="42" spans="2:34" ht="16.149999999999999" customHeight="1">
      <c r="C42" s="607" t="s">
        <v>466</v>
      </c>
    </row>
    <row r="43" spans="2:34" ht="16.149999999999999" customHeight="1">
      <c r="Q43" s="1068" t="s">
        <v>399</v>
      </c>
      <c r="R43" s="1068"/>
      <c r="S43" s="1068"/>
      <c r="T43" s="1068"/>
      <c r="U43" s="1068"/>
      <c r="V43" s="1068"/>
      <c r="W43" s="1068"/>
      <c r="X43" s="1068"/>
      <c r="Y43" s="1069"/>
      <c r="Z43" s="1069"/>
      <c r="AA43" s="1069"/>
      <c r="AB43" s="1069"/>
      <c r="AC43" s="1069"/>
      <c r="AD43" s="1069"/>
      <c r="AE43" s="1069"/>
      <c r="AF43" s="1069"/>
      <c r="AG43" s="1069"/>
      <c r="AH43" s="1069"/>
    </row>
    <row r="44" spans="2:34" ht="17.25" customHeight="1">
      <c r="S44" s="1070" t="s">
        <v>398</v>
      </c>
      <c r="T44" s="1070"/>
      <c r="U44" s="1070"/>
      <c r="V44" s="1070"/>
      <c r="W44" s="1070"/>
      <c r="X44" s="1070"/>
      <c r="Y44" s="848"/>
      <c r="Z44" s="848"/>
      <c r="AA44" s="848"/>
      <c r="AB44" s="848"/>
      <c r="AC44" s="848"/>
      <c r="AD44" s="848"/>
      <c r="AE44" s="848"/>
      <c r="AF44" s="848"/>
      <c r="AG44" s="848"/>
      <c r="AH44" s="848"/>
    </row>
    <row r="45" spans="2:34" ht="17.25" customHeight="1">
      <c r="S45" s="1065" t="s">
        <v>397</v>
      </c>
      <c r="T45" s="1065"/>
      <c r="U45" s="1065"/>
      <c r="V45" s="1065"/>
      <c r="W45" s="1065"/>
      <c r="X45" s="1065"/>
      <c r="Y45" s="840"/>
      <c r="Z45" s="840"/>
      <c r="AA45" s="840"/>
      <c r="AB45" s="840"/>
      <c r="AC45" s="840"/>
      <c r="AD45" s="840"/>
      <c r="AE45" s="840"/>
      <c r="AF45" s="840"/>
      <c r="AG45" s="840"/>
      <c r="AH45" s="840"/>
    </row>
  </sheetData>
  <sheetProtection algorithmName="SHA-512" hashValue="VtJlMP8h/QhxBJdrNTt5GAIFyJDK48GrE4j2w932HPFUqTEn36zjVZBKOnGPm7FYO95Utx42Fz0v+0JQkCGcHg==" saltValue="jdyRXC99LQBD3+Fvv0GJYg==" spinCount="100000" sheet="1" insertRows="0"/>
  <mergeCells count="69">
    <mergeCell ref="R6:W6"/>
    <mergeCell ref="X6:AJ6"/>
    <mergeCell ref="B2:AJ2"/>
    <mergeCell ref="R4:W4"/>
    <mergeCell ref="X4:AJ4"/>
    <mergeCell ref="R5:W5"/>
    <mergeCell ref="X5:AJ5"/>
    <mergeCell ref="R7:W7"/>
    <mergeCell ref="N11:V11"/>
    <mergeCell ref="W11:AE11"/>
    <mergeCell ref="D13:M13"/>
    <mergeCell ref="N13:U13"/>
    <mergeCell ref="W13:AD13"/>
    <mergeCell ref="X7:AJ7"/>
    <mergeCell ref="AG11:AI11"/>
    <mergeCell ref="D12:M12"/>
    <mergeCell ref="N12:U12"/>
    <mergeCell ref="W12:AD12"/>
    <mergeCell ref="AG12:AI12"/>
    <mergeCell ref="D14:M14"/>
    <mergeCell ref="N14:U14"/>
    <mergeCell ref="W14:AD14"/>
    <mergeCell ref="D20:X20"/>
    <mergeCell ref="Y20:AG20"/>
    <mergeCell ref="D18:X18"/>
    <mergeCell ref="Y18:AG18"/>
    <mergeCell ref="D19:X19"/>
    <mergeCell ref="Y19:AG19"/>
    <mergeCell ref="D15:M15"/>
    <mergeCell ref="N15:U15"/>
    <mergeCell ref="W15:AD15"/>
    <mergeCell ref="D21:X21"/>
    <mergeCell ref="Y21:AG21"/>
    <mergeCell ref="D22:X22"/>
    <mergeCell ref="Y22:AG22"/>
    <mergeCell ref="C34:I34"/>
    <mergeCell ref="J34:AH34"/>
    <mergeCell ref="D25:X25"/>
    <mergeCell ref="Y25:AG25"/>
    <mergeCell ref="D26:X26"/>
    <mergeCell ref="Y26:AG26"/>
    <mergeCell ref="D28:X28"/>
    <mergeCell ref="Y28:AG28"/>
    <mergeCell ref="D30:X30"/>
    <mergeCell ref="Y30:AG30"/>
    <mergeCell ref="C33:I33"/>
    <mergeCell ref="J33:AH33"/>
    <mergeCell ref="D29:X29"/>
    <mergeCell ref="Y29:AG29"/>
    <mergeCell ref="D23:X23"/>
    <mergeCell ref="Y23:AG23"/>
    <mergeCell ref="D24:X24"/>
    <mergeCell ref="Y24:AG24"/>
    <mergeCell ref="D27:X27"/>
    <mergeCell ref="Y27:AG27"/>
    <mergeCell ref="C37:M37"/>
    <mergeCell ref="N37:V37"/>
    <mergeCell ref="W37:Y39"/>
    <mergeCell ref="D38:M38"/>
    <mergeCell ref="S45:X45"/>
    <mergeCell ref="Y45:AH45"/>
    <mergeCell ref="D40:AH40"/>
    <mergeCell ref="Q43:X43"/>
    <mergeCell ref="Y43:AH43"/>
    <mergeCell ref="S44:X44"/>
    <mergeCell ref="Y44:AH44"/>
    <mergeCell ref="N38:U38"/>
    <mergeCell ref="D39:M39"/>
    <mergeCell ref="N39:U39"/>
  </mergeCells>
  <phoneticPr fontId="4"/>
  <dataValidations count="1">
    <dataValidation type="whole" operator="greaterThanOrEqual" allowBlank="1" showInputMessage="1" showErrorMessage="1" prompt="整数のみ入力してください。" sqref="N15:U15 W15:AD15" xr:uid="{D91F495C-4FC4-4A46-B7C0-E5BEA577144C}">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72A3-2A5D-4178-BAD6-8EFA45CF1942}">
  <sheetPr>
    <pageSetUpPr fitToPage="1"/>
  </sheetPr>
  <dimension ref="A1:AX94"/>
  <sheetViews>
    <sheetView showGridLines="0" view="pageBreakPreview" zoomScale="55" zoomScaleNormal="100" zoomScaleSheetLayoutView="55" workbookViewId="0">
      <selection activeCell="B11" sqref="B11:D11"/>
    </sheetView>
  </sheetViews>
  <sheetFormatPr defaultColWidth="9.125" defaultRowHeight="12"/>
  <cols>
    <col min="1" max="3" width="4.625" style="493" customWidth="1"/>
    <col min="4" max="4" width="15" style="493" customWidth="1"/>
    <col min="5" max="5" width="7.125" style="493" customWidth="1"/>
    <col min="6" max="6" width="16" style="493" customWidth="1"/>
    <col min="7" max="7" width="12.125" style="493" customWidth="1"/>
    <col min="8" max="8" width="7.625" style="493" customWidth="1"/>
    <col min="9" max="9" width="10.125" style="493" customWidth="1"/>
    <col min="10" max="10" width="8.5" style="493" customWidth="1"/>
    <col min="11" max="16" width="21.375" style="493" customWidth="1"/>
    <col min="17" max="17" width="26.125" style="493" customWidth="1"/>
    <col min="18" max="20" width="21.375" style="493" customWidth="1"/>
    <col min="21" max="21" width="16.375" style="493" customWidth="1"/>
    <col min="22" max="23" width="16.875" style="493" customWidth="1"/>
    <col min="24" max="24" width="21.375" style="493" customWidth="1"/>
    <col min="25" max="25" width="38.875" style="493" customWidth="1"/>
    <col min="26" max="29" width="21.375" style="493" customWidth="1"/>
    <col min="30" max="30" width="26.125" style="493" customWidth="1"/>
    <col min="31" max="33" width="19.375" style="493" customWidth="1"/>
    <col min="34" max="36" width="18.5" style="493" customWidth="1"/>
    <col min="37" max="37" width="18.125" style="493" customWidth="1"/>
    <col min="38" max="38" width="15.375" style="493" customWidth="1"/>
    <col min="39" max="40" width="19.5" style="493" customWidth="1"/>
    <col min="41" max="41" width="22.375" style="493" customWidth="1"/>
    <col min="42" max="42" width="2.5" style="493" customWidth="1"/>
    <col min="43" max="43" width="5.75" style="493" bestFit="1" customWidth="1"/>
    <col min="44" max="44" width="9.5" style="493" bestFit="1" customWidth="1"/>
    <col min="45" max="45" width="7.375" style="493" bestFit="1" customWidth="1"/>
    <col min="46" max="47" width="34.5" style="493" bestFit="1" customWidth="1"/>
    <col min="48" max="49" width="22" style="493" bestFit="1" customWidth="1"/>
    <col min="50" max="50" width="67" style="493" customWidth="1"/>
    <col min="51" max="16384" width="9.125" style="493"/>
  </cols>
  <sheetData>
    <row r="1" spans="1:50" ht="33.6" customHeight="1">
      <c r="A1" s="563" t="s">
        <v>567</v>
      </c>
      <c r="P1" s="519"/>
      <c r="AE1" s="1158" t="s">
        <v>566</v>
      </c>
      <c r="AF1" s="1167">
        <f>様式4!$X$5</f>
        <v>0</v>
      </c>
      <c r="AG1" s="1168"/>
      <c r="AQ1" s="713" t="s">
        <v>634</v>
      </c>
      <c r="AR1" s="713" t="s">
        <v>635</v>
      </c>
      <c r="AS1" s="713" t="s">
        <v>636</v>
      </c>
      <c r="AT1" s="713" t="s">
        <v>637</v>
      </c>
      <c r="AU1" s="713" t="s">
        <v>638</v>
      </c>
      <c r="AV1" s="713" t="s">
        <v>639</v>
      </c>
      <c r="AW1" s="713" t="s">
        <v>640</v>
      </c>
      <c r="AX1" s="713" t="s">
        <v>641</v>
      </c>
    </row>
    <row r="2" spans="1:50" ht="33.6" customHeight="1">
      <c r="A2" s="562"/>
      <c r="P2" s="519"/>
      <c r="AE2" s="1159"/>
      <c r="AF2" s="1169"/>
      <c r="AG2" s="1170"/>
      <c r="AQ2" s="714">
        <f>A11</f>
        <v>1</v>
      </c>
      <c r="AR2" s="714" t="str">
        <f>IF(B11="","",B11)</f>
        <v/>
      </c>
      <c r="AS2" s="714" t="str">
        <f>IF(F11="","",F11)</f>
        <v/>
      </c>
      <c r="AT2" s="714" t="str">
        <f>IF(K11="","",K11)</f>
        <v/>
      </c>
      <c r="AU2" s="714" t="str">
        <f>IF(S11="","",S11)</f>
        <v/>
      </c>
      <c r="AV2" s="714">
        <f>IF(T11="","",T11)</f>
        <v>0</v>
      </c>
      <c r="AW2" s="714" t="str">
        <f>IF(X11="","",X11)</f>
        <v/>
      </c>
      <c r="AX2" s="715" t="str">
        <f>IF(AE11="","",AE11)</f>
        <v/>
      </c>
    </row>
    <row r="3" spans="1:50" ht="24.75" customHeight="1" thickBot="1">
      <c r="A3" s="556" t="s">
        <v>565</v>
      </c>
      <c r="B3" s="556"/>
      <c r="C3" s="556"/>
      <c r="D3" s="556"/>
      <c r="E3" s="556"/>
      <c r="F3" s="556"/>
      <c r="G3" s="556"/>
      <c r="H3" s="556"/>
      <c r="I3" s="556"/>
      <c r="J3" s="556"/>
      <c r="K3" s="556"/>
      <c r="L3" s="556"/>
      <c r="M3" s="556"/>
      <c r="N3" s="556"/>
      <c r="O3" s="556"/>
      <c r="P3" s="556"/>
      <c r="Q3" s="556"/>
      <c r="R3" s="556"/>
      <c r="T3" s="556"/>
      <c r="U3" s="556"/>
      <c r="V3" s="556"/>
      <c r="W3" s="556"/>
      <c r="X3" s="556"/>
      <c r="Y3" s="556"/>
      <c r="Z3" s="556"/>
      <c r="AA3" s="556"/>
      <c r="AB3" s="556"/>
      <c r="AC3" s="556"/>
      <c r="AD3" s="556"/>
      <c r="AE3" s="1160"/>
      <c r="AF3" s="1171"/>
      <c r="AG3" s="1172"/>
      <c r="AJ3" s="547"/>
      <c r="AQ3" s="714">
        <f>A12</f>
        <v>2</v>
      </c>
      <c r="AR3" s="714" t="str">
        <f t="shared" ref="AR3:AR51" si="0">IF(B12="","",B12)</f>
        <v/>
      </c>
      <c r="AS3" s="714" t="str">
        <f t="shared" ref="AS3:AS51" si="1">IF(F12="","",F12)</f>
        <v/>
      </c>
      <c r="AT3" s="714" t="str">
        <f t="shared" ref="AT3:AT51" si="2">IF(K12="","",K12)</f>
        <v/>
      </c>
      <c r="AU3" s="714" t="str">
        <f t="shared" ref="AU3:AV18" si="3">IF(S12="","",S12)</f>
        <v/>
      </c>
      <c r="AV3" s="714">
        <f t="shared" si="3"/>
        <v>0</v>
      </c>
      <c r="AW3" s="714" t="str">
        <f t="shared" ref="AW3:AW51" si="4">IF(X12="","",X12)</f>
        <v/>
      </c>
      <c r="AX3" s="715" t="str">
        <f t="shared" ref="AX3:AX51" si="5">IF(AE12="","",AE12)</f>
        <v/>
      </c>
    </row>
    <row r="4" spans="1:50" ht="24.75" customHeight="1">
      <c r="A4" s="556"/>
      <c r="B4" s="556"/>
      <c r="C4" s="556"/>
      <c r="D4" s="556"/>
      <c r="E4" s="556"/>
      <c r="F4" s="556"/>
      <c r="G4" s="556"/>
      <c r="H4" s="556"/>
      <c r="I4" s="556"/>
      <c r="J4" s="556"/>
      <c r="K4" s="556"/>
      <c r="L4" s="556"/>
      <c r="M4" s="556"/>
      <c r="N4" s="556"/>
      <c r="O4" s="556"/>
      <c r="P4" s="556"/>
      <c r="Q4" s="556"/>
      <c r="R4" s="556"/>
      <c r="T4" s="556"/>
      <c r="U4" s="556"/>
      <c r="V4" s="556"/>
      <c r="W4" s="556"/>
      <c r="X4" s="556"/>
      <c r="Y4" s="556"/>
      <c r="Z4" s="556"/>
      <c r="AA4" s="556"/>
      <c r="AB4" s="556"/>
      <c r="AC4" s="556"/>
      <c r="AD4" s="556"/>
      <c r="AE4" s="556"/>
      <c r="AF4" s="556"/>
      <c r="AG4" s="561"/>
      <c r="AH4" s="556"/>
      <c r="AI4" s="556"/>
      <c r="AJ4" s="556"/>
      <c r="AK4" s="561"/>
      <c r="AL4" s="561"/>
      <c r="AM4" s="560"/>
      <c r="AN4" s="560"/>
      <c r="AO4" s="559"/>
      <c r="AP4" s="547"/>
      <c r="AQ4" s="714">
        <f t="shared" ref="AQ4:AQ51" si="6">A13</f>
        <v>3</v>
      </c>
      <c r="AR4" s="714" t="str">
        <f t="shared" si="0"/>
        <v/>
      </c>
      <c r="AS4" s="714" t="str">
        <f t="shared" si="1"/>
        <v/>
      </c>
      <c r="AT4" s="714" t="str">
        <f t="shared" si="2"/>
        <v/>
      </c>
      <c r="AU4" s="714" t="str">
        <f t="shared" si="3"/>
        <v/>
      </c>
      <c r="AV4" s="714">
        <f t="shared" si="3"/>
        <v>0</v>
      </c>
      <c r="AW4" s="714" t="str">
        <f t="shared" si="4"/>
        <v/>
      </c>
      <c r="AX4" s="715" t="str">
        <f t="shared" si="5"/>
        <v/>
      </c>
    </row>
    <row r="5" spans="1:50" s="555" customFormat="1" ht="39.75" customHeight="1" thickBot="1">
      <c r="A5" s="1173" t="s">
        <v>564</v>
      </c>
      <c r="B5" s="1173"/>
      <c r="C5" s="1173"/>
      <c r="D5" s="1173"/>
      <c r="E5" s="1173"/>
      <c r="F5" s="1173"/>
      <c r="G5" s="1173"/>
      <c r="H5" s="1173"/>
      <c r="I5" s="1173"/>
      <c r="J5" s="1173"/>
      <c r="K5" s="1173"/>
      <c r="L5" s="1173"/>
      <c r="M5" s="1173"/>
      <c r="N5" s="1173"/>
      <c r="O5" s="556"/>
      <c r="P5" s="556"/>
      <c r="Q5" s="556"/>
      <c r="R5" s="556"/>
      <c r="T5" s="558"/>
      <c r="U5" s="558"/>
      <c r="V5" s="558"/>
      <c r="W5" s="558"/>
      <c r="X5" s="556"/>
      <c r="Y5" s="556"/>
      <c r="Z5" s="556"/>
      <c r="AA5" s="556"/>
      <c r="AB5" s="556"/>
      <c r="AC5" s="556"/>
      <c r="AD5" s="558"/>
      <c r="AE5" s="558"/>
      <c r="AF5" s="558"/>
      <c r="AG5" s="558"/>
      <c r="AH5" s="556"/>
      <c r="AI5" s="558"/>
      <c r="AJ5" s="558"/>
      <c r="AK5" s="558"/>
      <c r="AL5" s="558"/>
      <c r="AM5" s="558"/>
      <c r="AN5" s="558"/>
      <c r="AO5" s="557"/>
      <c r="AP5" s="556"/>
      <c r="AQ5" s="714">
        <f t="shared" si="6"/>
        <v>4</v>
      </c>
      <c r="AR5" s="714" t="str">
        <f t="shared" si="0"/>
        <v/>
      </c>
      <c r="AS5" s="714" t="str">
        <f t="shared" si="1"/>
        <v/>
      </c>
      <c r="AT5" s="714" t="str">
        <f t="shared" si="2"/>
        <v/>
      </c>
      <c r="AU5" s="714" t="str">
        <f t="shared" si="3"/>
        <v/>
      </c>
      <c r="AV5" s="714">
        <f t="shared" si="3"/>
        <v>0</v>
      </c>
      <c r="AW5" s="714" t="str">
        <f t="shared" si="4"/>
        <v/>
      </c>
      <c r="AX5" s="715" t="str">
        <f t="shared" si="5"/>
        <v/>
      </c>
    </row>
    <row r="6" spans="1:50" ht="33" customHeight="1">
      <c r="A6" s="1174" t="s">
        <v>563</v>
      </c>
      <c r="B6" s="1175" t="s">
        <v>562</v>
      </c>
      <c r="C6" s="1175"/>
      <c r="D6" s="1175"/>
      <c r="E6" s="1175" t="s">
        <v>561</v>
      </c>
      <c r="F6" s="1175" t="s">
        <v>560</v>
      </c>
      <c r="G6" s="1175" t="s">
        <v>559</v>
      </c>
      <c r="H6" s="1175" t="s">
        <v>558</v>
      </c>
      <c r="I6" s="1175" t="s">
        <v>557</v>
      </c>
      <c r="J6" s="1175" t="s">
        <v>556</v>
      </c>
      <c r="K6" s="1185" t="s">
        <v>555</v>
      </c>
      <c r="L6" s="1186"/>
      <c r="M6" s="1186"/>
      <c r="N6" s="1186"/>
      <c r="O6" s="1187"/>
      <c r="P6" s="1187"/>
      <c r="Q6" s="1187"/>
      <c r="R6" s="1188"/>
      <c r="S6" s="1189" t="s">
        <v>554</v>
      </c>
      <c r="T6" s="1190"/>
      <c r="U6" s="1190"/>
      <c r="V6" s="1190"/>
      <c r="W6" s="1190"/>
      <c r="X6" s="1190"/>
      <c r="Y6" s="1190"/>
      <c r="Z6" s="1190"/>
      <c r="AA6" s="1191"/>
      <c r="AB6" s="1191"/>
      <c r="AC6" s="1191"/>
      <c r="AD6" s="1192"/>
      <c r="AE6" s="1176" t="s">
        <v>553</v>
      </c>
      <c r="AF6" s="1177"/>
      <c r="AG6" s="1177"/>
      <c r="AH6" s="547"/>
      <c r="AQ6" s="714">
        <f t="shared" si="6"/>
        <v>5</v>
      </c>
      <c r="AR6" s="714" t="str">
        <f t="shared" si="0"/>
        <v/>
      </c>
      <c r="AS6" s="714" t="str">
        <f t="shared" si="1"/>
        <v/>
      </c>
      <c r="AT6" s="714" t="str">
        <f t="shared" si="2"/>
        <v/>
      </c>
      <c r="AU6" s="714" t="str">
        <f t="shared" si="3"/>
        <v/>
      </c>
      <c r="AV6" s="714">
        <f t="shared" si="3"/>
        <v>0</v>
      </c>
      <c r="AW6" s="714" t="str">
        <f t="shared" si="4"/>
        <v/>
      </c>
      <c r="AX6" s="715" t="str">
        <f t="shared" si="5"/>
        <v/>
      </c>
    </row>
    <row r="7" spans="1:50" ht="44.25" customHeight="1">
      <c r="A7" s="1174"/>
      <c r="B7" s="1175"/>
      <c r="C7" s="1175"/>
      <c r="D7" s="1175"/>
      <c r="E7" s="1175"/>
      <c r="F7" s="1175"/>
      <c r="G7" s="1175"/>
      <c r="H7" s="1175"/>
      <c r="I7" s="1175"/>
      <c r="J7" s="1175"/>
      <c r="K7" s="554" t="s">
        <v>417</v>
      </c>
      <c r="L7" s="552" t="s">
        <v>410</v>
      </c>
      <c r="M7" s="552" t="s">
        <v>552</v>
      </c>
      <c r="N7" s="552" t="s">
        <v>551</v>
      </c>
      <c r="O7" s="553" t="s">
        <v>550</v>
      </c>
      <c r="P7" s="553" t="s">
        <v>549</v>
      </c>
      <c r="Q7" s="552" t="s">
        <v>548</v>
      </c>
      <c r="R7" s="1178" t="s">
        <v>547</v>
      </c>
      <c r="S7" s="551" t="s">
        <v>546</v>
      </c>
      <c r="T7" s="550" t="s">
        <v>545</v>
      </c>
      <c r="U7" s="1180" t="s">
        <v>544</v>
      </c>
      <c r="V7" s="1181"/>
      <c r="W7" s="1182"/>
      <c r="X7" s="550" t="s">
        <v>543</v>
      </c>
      <c r="Y7" s="1180" t="s">
        <v>542</v>
      </c>
      <c r="Z7" s="1182"/>
      <c r="AA7" s="550" t="s">
        <v>541</v>
      </c>
      <c r="AB7" s="550" t="s">
        <v>540</v>
      </c>
      <c r="AC7" s="549" t="s">
        <v>539</v>
      </c>
      <c r="AD7" s="548" t="s">
        <v>538</v>
      </c>
      <c r="AE7" s="1176"/>
      <c r="AF7" s="1177"/>
      <c r="AG7" s="1177"/>
      <c r="AH7" s="547"/>
      <c r="AQ7" s="714">
        <f t="shared" si="6"/>
        <v>6</v>
      </c>
      <c r="AR7" s="714" t="str">
        <f t="shared" si="0"/>
        <v/>
      </c>
      <c r="AS7" s="714" t="str">
        <f t="shared" si="1"/>
        <v/>
      </c>
      <c r="AT7" s="714" t="str">
        <f t="shared" si="2"/>
        <v/>
      </c>
      <c r="AU7" s="714" t="str">
        <f t="shared" si="3"/>
        <v/>
      </c>
      <c r="AV7" s="714">
        <f t="shared" si="3"/>
        <v>0</v>
      </c>
      <c r="AW7" s="714" t="str">
        <f t="shared" si="4"/>
        <v/>
      </c>
      <c r="AX7" s="715" t="str">
        <f t="shared" si="5"/>
        <v/>
      </c>
    </row>
    <row r="8" spans="1:50" ht="44.25" customHeight="1">
      <c r="A8" s="1174"/>
      <c r="B8" s="1175"/>
      <c r="C8" s="1175"/>
      <c r="D8" s="1175"/>
      <c r="E8" s="1175"/>
      <c r="F8" s="1175"/>
      <c r="G8" s="1175"/>
      <c r="H8" s="1175"/>
      <c r="I8" s="1175"/>
      <c r="J8" s="1175"/>
      <c r="K8" s="1183" t="s">
        <v>537</v>
      </c>
      <c r="L8" s="1156" t="s">
        <v>716</v>
      </c>
      <c r="M8" s="1156" t="s">
        <v>536</v>
      </c>
      <c r="N8" s="1156" t="s">
        <v>535</v>
      </c>
      <c r="O8" s="1130" t="s">
        <v>534</v>
      </c>
      <c r="P8" s="1130" t="s">
        <v>533</v>
      </c>
      <c r="Q8" s="1184" t="s">
        <v>532</v>
      </c>
      <c r="R8" s="1179"/>
      <c r="S8" s="1140" t="s">
        <v>531</v>
      </c>
      <c r="T8" s="1141" t="s">
        <v>471</v>
      </c>
      <c r="U8" s="1142"/>
      <c r="V8" s="1142"/>
      <c r="W8" s="1143"/>
      <c r="X8" s="1142" t="s">
        <v>530</v>
      </c>
      <c r="Y8" s="1142"/>
      <c r="Z8" s="1143"/>
      <c r="AA8" s="1193" t="s">
        <v>529</v>
      </c>
      <c r="AB8" s="1156" t="s">
        <v>528</v>
      </c>
      <c r="AC8" s="1130" t="s">
        <v>715</v>
      </c>
      <c r="AD8" s="1157" t="s">
        <v>527</v>
      </c>
      <c r="AE8" s="1176"/>
      <c r="AF8" s="1177"/>
      <c r="AG8" s="1177"/>
      <c r="AH8" s="547"/>
      <c r="AQ8" s="714">
        <f t="shared" si="6"/>
        <v>7</v>
      </c>
      <c r="AR8" s="714" t="str">
        <f t="shared" si="0"/>
        <v/>
      </c>
      <c r="AS8" s="714" t="str">
        <f t="shared" si="1"/>
        <v/>
      </c>
      <c r="AT8" s="714" t="str">
        <f t="shared" si="2"/>
        <v/>
      </c>
      <c r="AU8" s="714" t="str">
        <f t="shared" si="3"/>
        <v/>
      </c>
      <c r="AV8" s="714">
        <f t="shared" si="3"/>
        <v>0</v>
      </c>
      <c r="AW8" s="714" t="str">
        <f t="shared" si="4"/>
        <v/>
      </c>
      <c r="AX8" s="715" t="str">
        <f t="shared" si="5"/>
        <v/>
      </c>
    </row>
    <row r="9" spans="1:50" ht="64.5" customHeight="1">
      <c r="A9" s="1174"/>
      <c r="B9" s="1175"/>
      <c r="C9" s="1175"/>
      <c r="D9" s="1175"/>
      <c r="E9" s="1175"/>
      <c r="F9" s="1175"/>
      <c r="G9" s="1175"/>
      <c r="H9" s="1175"/>
      <c r="I9" s="1175"/>
      <c r="J9" s="1175"/>
      <c r="K9" s="1183"/>
      <c r="L9" s="1156"/>
      <c r="M9" s="1156"/>
      <c r="N9" s="1156"/>
      <c r="O9" s="1131"/>
      <c r="P9" s="1131"/>
      <c r="Q9" s="1184"/>
      <c r="R9" s="1161" t="s">
        <v>526</v>
      </c>
      <c r="S9" s="1140"/>
      <c r="T9" s="1163" t="s">
        <v>525</v>
      </c>
      <c r="U9" s="1164"/>
      <c r="V9" s="1164"/>
      <c r="W9" s="1164"/>
      <c r="X9" s="1165" t="s">
        <v>524</v>
      </c>
      <c r="Y9" s="1165" t="s">
        <v>621</v>
      </c>
      <c r="Z9" s="1165" t="s">
        <v>523</v>
      </c>
      <c r="AA9" s="1193"/>
      <c r="AB9" s="1156"/>
      <c r="AC9" s="1131"/>
      <c r="AD9" s="1157"/>
      <c r="AE9" s="1176"/>
      <c r="AF9" s="1177"/>
      <c r="AG9" s="1177"/>
      <c r="AH9" s="546"/>
      <c r="AQ9" s="714">
        <f t="shared" si="6"/>
        <v>8</v>
      </c>
      <c r="AR9" s="714" t="str">
        <f t="shared" si="0"/>
        <v/>
      </c>
      <c r="AS9" s="714" t="str">
        <f t="shared" si="1"/>
        <v/>
      </c>
      <c r="AT9" s="714" t="str">
        <f t="shared" si="2"/>
        <v/>
      </c>
      <c r="AU9" s="714" t="str">
        <f t="shared" si="3"/>
        <v/>
      </c>
      <c r="AV9" s="714">
        <f t="shared" si="3"/>
        <v>0</v>
      </c>
      <c r="AW9" s="714" t="str">
        <f t="shared" si="4"/>
        <v/>
      </c>
      <c r="AX9" s="715" t="str">
        <f t="shared" si="5"/>
        <v/>
      </c>
    </row>
    <row r="10" spans="1:50" ht="88.5" customHeight="1">
      <c r="A10" s="1174"/>
      <c r="B10" s="1175"/>
      <c r="C10" s="1175"/>
      <c r="D10" s="1175"/>
      <c r="E10" s="1175"/>
      <c r="F10" s="1175"/>
      <c r="G10" s="1175"/>
      <c r="H10" s="1175"/>
      <c r="I10" s="1175"/>
      <c r="J10" s="1175"/>
      <c r="K10" s="1183"/>
      <c r="L10" s="1156"/>
      <c r="M10" s="1156"/>
      <c r="N10" s="1156"/>
      <c r="O10" s="1132"/>
      <c r="P10" s="1132"/>
      <c r="Q10" s="1184"/>
      <c r="R10" s="1162"/>
      <c r="S10" s="1140"/>
      <c r="T10" s="545" t="s">
        <v>522</v>
      </c>
      <c r="U10" s="544" t="s">
        <v>521</v>
      </c>
      <c r="V10" s="544" t="s">
        <v>520</v>
      </c>
      <c r="W10" s="544" t="s">
        <v>519</v>
      </c>
      <c r="X10" s="1166"/>
      <c r="Y10" s="1166"/>
      <c r="Z10" s="1166"/>
      <c r="AA10" s="1193"/>
      <c r="AB10" s="1156"/>
      <c r="AC10" s="1132"/>
      <c r="AD10" s="1157"/>
      <c r="AE10" s="1176"/>
      <c r="AF10" s="1177"/>
      <c r="AG10" s="1177"/>
      <c r="AH10" s="543"/>
      <c r="AI10" s="711" t="s">
        <v>633</v>
      </c>
      <c r="AJ10" s="493" t="s">
        <v>724</v>
      </c>
      <c r="AQ10" s="714">
        <f t="shared" si="6"/>
        <v>9</v>
      </c>
      <c r="AR10" s="714" t="str">
        <f t="shared" si="0"/>
        <v/>
      </c>
      <c r="AS10" s="714" t="str">
        <f t="shared" si="1"/>
        <v/>
      </c>
      <c r="AT10" s="714" t="str">
        <f t="shared" si="2"/>
        <v/>
      </c>
      <c r="AU10" s="714" t="str">
        <f t="shared" si="3"/>
        <v/>
      </c>
      <c r="AV10" s="714">
        <f t="shared" si="3"/>
        <v>0</v>
      </c>
      <c r="AW10" s="714" t="str">
        <f t="shared" si="4"/>
        <v/>
      </c>
      <c r="AX10" s="715" t="str">
        <f t="shared" si="5"/>
        <v/>
      </c>
    </row>
    <row r="11" spans="1:50" s="498" customFormat="1" ht="30" customHeight="1">
      <c r="A11" s="542">
        <f>ROWS(A$11:A11)</f>
        <v>1</v>
      </c>
      <c r="B11" s="1147"/>
      <c r="C11" s="1147"/>
      <c r="D11" s="1147"/>
      <c r="E11" s="541"/>
      <c r="F11" s="541"/>
      <c r="G11" s="697"/>
      <c r="H11" s="697"/>
      <c r="I11" s="697"/>
      <c r="J11" s="698"/>
      <c r="K11" s="532"/>
      <c r="L11" s="1148" t="s">
        <v>603</v>
      </c>
      <c r="M11" s="1148" t="s">
        <v>603</v>
      </c>
      <c r="N11" s="1150" t="s">
        <v>603</v>
      </c>
      <c r="O11" s="529"/>
      <c r="P11" s="529"/>
      <c r="Q11" s="1153" t="s">
        <v>603</v>
      </c>
      <c r="R11" s="1139"/>
      <c r="S11" s="540"/>
      <c r="T11" s="530">
        <f t="shared" ref="T11:T61" si="7">SUM(U11:W11)</f>
        <v>0</v>
      </c>
      <c r="U11" s="529"/>
      <c r="V11" s="529"/>
      <c r="W11" s="529"/>
      <c r="X11" s="710"/>
      <c r="Y11" s="529"/>
      <c r="Z11" s="529"/>
      <c r="AA11" s="539"/>
      <c r="AB11" s="1122" t="s">
        <v>603</v>
      </c>
      <c r="AC11" s="538"/>
      <c r="AD11" s="1122" t="s">
        <v>603</v>
      </c>
      <c r="AE11" s="1125"/>
      <c r="AF11" s="1126"/>
      <c r="AG11" s="1126"/>
      <c r="AH11" s="520"/>
      <c r="AI11" s="712" t="str">
        <f>IF($Y11=$Y$79,1,IF($Y11=$Y$80,2,IF($Y11=$Y$81,3,"-")))</f>
        <v>-</v>
      </c>
      <c r="AJ11" s="498">
        <f>IF(AND($F11=$F$79,$X11&gt;0),1,0)</f>
        <v>0</v>
      </c>
      <c r="AQ11" s="714">
        <f t="shared" si="6"/>
        <v>10</v>
      </c>
      <c r="AR11" s="714" t="str">
        <f t="shared" si="0"/>
        <v/>
      </c>
      <c r="AS11" s="714" t="str">
        <f t="shared" si="1"/>
        <v/>
      </c>
      <c r="AT11" s="714" t="str">
        <f t="shared" si="2"/>
        <v/>
      </c>
      <c r="AU11" s="714" t="str">
        <f t="shared" si="3"/>
        <v/>
      </c>
      <c r="AV11" s="714">
        <f t="shared" si="3"/>
        <v>0</v>
      </c>
      <c r="AW11" s="714" t="str">
        <f t="shared" si="4"/>
        <v/>
      </c>
      <c r="AX11" s="715" t="str">
        <f t="shared" si="5"/>
        <v/>
      </c>
    </row>
    <row r="12" spans="1:50" s="498" customFormat="1" ht="30" customHeight="1">
      <c r="A12" s="542">
        <f>ROWS(A$11:A12)</f>
        <v>2</v>
      </c>
      <c r="B12" s="1127"/>
      <c r="C12" s="1128"/>
      <c r="D12" s="1129"/>
      <c r="E12" s="541"/>
      <c r="F12" s="537"/>
      <c r="G12" s="697"/>
      <c r="H12" s="699"/>
      <c r="I12" s="699"/>
      <c r="J12" s="698"/>
      <c r="K12" s="532"/>
      <c r="L12" s="1149"/>
      <c r="M12" s="1149"/>
      <c r="N12" s="1151"/>
      <c r="O12" s="529"/>
      <c r="P12" s="529"/>
      <c r="Q12" s="1154"/>
      <c r="R12" s="1139"/>
      <c r="S12" s="540"/>
      <c r="T12" s="530">
        <f t="shared" si="7"/>
        <v>0</v>
      </c>
      <c r="U12" s="529"/>
      <c r="V12" s="529"/>
      <c r="W12" s="529"/>
      <c r="X12" s="710"/>
      <c r="Y12" s="529"/>
      <c r="Z12" s="529"/>
      <c r="AA12" s="539"/>
      <c r="AB12" s="1123"/>
      <c r="AC12" s="538"/>
      <c r="AD12" s="1123"/>
      <c r="AE12" s="1125"/>
      <c r="AF12" s="1126"/>
      <c r="AG12" s="1126"/>
      <c r="AH12" s="520"/>
      <c r="AI12" s="712" t="str">
        <f t="shared" ref="AI12:AI60" si="8">IF($Y12=$Y$79,1,IF($Y12=$Y$80,2,IF($Y12=$Y$81,3,"-")))</f>
        <v>-</v>
      </c>
      <c r="AJ12" s="498">
        <f t="shared" ref="AJ12:AJ60" si="9">IF(AND($F12=$F$79,$X12&gt;0),1,0)</f>
        <v>0</v>
      </c>
      <c r="AQ12" s="714">
        <f t="shared" si="6"/>
        <v>11</v>
      </c>
      <c r="AR12" s="714" t="str">
        <f t="shared" si="0"/>
        <v/>
      </c>
      <c r="AS12" s="714" t="str">
        <f t="shared" si="1"/>
        <v/>
      </c>
      <c r="AT12" s="714" t="str">
        <f t="shared" si="2"/>
        <v/>
      </c>
      <c r="AU12" s="714" t="str">
        <f t="shared" si="3"/>
        <v/>
      </c>
      <c r="AV12" s="714">
        <f t="shared" si="3"/>
        <v>0</v>
      </c>
      <c r="AW12" s="714" t="str">
        <f t="shared" si="4"/>
        <v/>
      </c>
      <c r="AX12" s="715" t="str">
        <f t="shared" si="5"/>
        <v/>
      </c>
    </row>
    <row r="13" spans="1:50" s="498" customFormat="1" ht="30" customHeight="1">
      <c r="A13" s="536">
        <f>ROWS(A$11:A13)</f>
        <v>3</v>
      </c>
      <c r="B13" s="1127"/>
      <c r="C13" s="1128"/>
      <c r="D13" s="1129"/>
      <c r="E13" s="537"/>
      <c r="F13" s="537"/>
      <c r="G13" s="697"/>
      <c r="H13" s="697"/>
      <c r="I13" s="697"/>
      <c r="J13" s="698"/>
      <c r="K13" s="532"/>
      <c r="L13" s="1149"/>
      <c r="M13" s="1149"/>
      <c r="N13" s="1151"/>
      <c r="O13" s="529"/>
      <c r="P13" s="529"/>
      <c r="Q13" s="1154"/>
      <c r="R13" s="1139"/>
      <c r="S13" s="535"/>
      <c r="T13" s="530">
        <f t="shared" si="7"/>
        <v>0</v>
      </c>
      <c r="U13" s="529"/>
      <c r="V13" s="529"/>
      <c r="W13" s="529"/>
      <c r="X13" s="529"/>
      <c r="Y13" s="529"/>
      <c r="Z13" s="529"/>
      <c r="AA13" s="539"/>
      <c r="AB13" s="1123"/>
      <c r="AC13" s="534"/>
      <c r="AD13" s="1123"/>
      <c r="AE13" s="1144"/>
      <c r="AF13" s="1115"/>
      <c r="AG13" s="1115"/>
      <c r="AH13" s="520"/>
      <c r="AI13" s="712" t="str">
        <f t="shared" si="8"/>
        <v>-</v>
      </c>
      <c r="AJ13" s="498">
        <f t="shared" si="9"/>
        <v>0</v>
      </c>
      <c r="AQ13" s="714">
        <f t="shared" si="6"/>
        <v>12</v>
      </c>
      <c r="AR13" s="714" t="str">
        <f t="shared" si="0"/>
        <v/>
      </c>
      <c r="AS13" s="714" t="str">
        <f t="shared" si="1"/>
        <v/>
      </c>
      <c r="AT13" s="714" t="str">
        <f t="shared" si="2"/>
        <v/>
      </c>
      <c r="AU13" s="714" t="str">
        <f t="shared" si="3"/>
        <v/>
      </c>
      <c r="AV13" s="714">
        <f t="shared" si="3"/>
        <v>0</v>
      </c>
      <c r="AW13" s="714" t="str">
        <f t="shared" si="4"/>
        <v/>
      </c>
      <c r="AX13" s="715" t="str">
        <f t="shared" si="5"/>
        <v/>
      </c>
    </row>
    <row r="14" spans="1:50" s="498" customFormat="1" ht="30" customHeight="1">
      <c r="A14" s="536">
        <f>ROWS(A$11:A14)</f>
        <v>4</v>
      </c>
      <c r="B14" s="1127"/>
      <c r="C14" s="1128"/>
      <c r="D14" s="1129"/>
      <c r="E14" s="537"/>
      <c r="F14" s="537"/>
      <c r="G14" s="697"/>
      <c r="H14" s="697"/>
      <c r="I14" s="697"/>
      <c r="J14" s="698"/>
      <c r="K14" s="532"/>
      <c r="L14" s="1149"/>
      <c r="M14" s="1149"/>
      <c r="N14" s="1151"/>
      <c r="O14" s="529"/>
      <c r="P14" s="529"/>
      <c r="Q14" s="1154"/>
      <c r="R14" s="1139"/>
      <c r="S14" s="535"/>
      <c r="T14" s="530">
        <f t="shared" si="7"/>
        <v>0</v>
      </c>
      <c r="U14" s="529"/>
      <c r="V14" s="529"/>
      <c r="W14" s="529"/>
      <c r="X14" s="529"/>
      <c r="Y14" s="529"/>
      <c r="Z14" s="529"/>
      <c r="AA14" s="539"/>
      <c r="AB14" s="1123"/>
      <c r="AC14" s="534"/>
      <c r="AD14" s="1123"/>
      <c r="AE14" s="1145"/>
      <c r="AF14" s="1146"/>
      <c r="AG14" s="1146"/>
      <c r="AH14" s="520"/>
      <c r="AI14" s="712" t="str">
        <f t="shared" si="8"/>
        <v>-</v>
      </c>
      <c r="AJ14" s="498">
        <f t="shared" si="9"/>
        <v>0</v>
      </c>
      <c r="AQ14" s="714">
        <f t="shared" si="6"/>
        <v>13</v>
      </c>
      <c r="AR14" s="714" t="str">
        <f t="shared" si="0"/>
        <v/>
      </c>
      <c r="AS14" s="714" t="str">
        <f t="shared" si="1"/>
        <v/>
      </c>
      <c r="AT14" s="714" t="str">
        <f t="shared" si="2"/>
        <v/>
      </c>
      <c r="AU14" s="714" t="str">
        <f t="shared" si="3"/>
        <v/>
      </c>
      <c r="AV14" s="714">
        <f t="shared" si="3"/>
        <v>0</v>
      </c>
      <c r="AW14" s="714" t="str">
        <f t="shared" si="4"/>
        <v/>
      </c>
      <c r="AX14" s="715" t="str">
        <f t="shared" si="5"/>
        <v/>
      </c>
    </row>
    <row r="15" spans="1:50" s="498" customFormat="1" ht="30" customHeight="1">
      <c r="A15" s="536">
        <f>ROWS(A$11:A15)</f>
        <v>5</v>
      </c>
      <c r="B15" s="1127"/>
      <c r="C15" s="1128"/>
      <c r="D15" s="1129"/>
      <c r="E15" s="537"/>
      <c r="F15" s="537"/>
      <c r="G15" s="697"/>
      <c r="H15" s="697"/>
      <c r="I15" s="697"/>
      <c r="J15" s="698"/>
      <c r="K15" s="532"/>
      <c r="L15" s="1149"/>
      <c r="M15" s="1149"/>
      <c r="N15" s="1151"/>
      <c r="O15" s="529"/>
      <c r="P15" s="529"/>
      <c r="Q15" s="1154"/>
      <c r="R15" s="1139"/>
      <c r="S15" s="535"/>
      <c r="T15" s="530">
        <f t="shared" si="7"/>
        <v>0</v>
      </c>
      <c r="U15" s="529"/>
      <c r="V15" s="529"/>
      <c r="W15" s="529"/>
      <c r="X15" s="529"/>
      <c r="Y15" s="529"/>
      <c r="Z15" s="529"/>
      <c r="AA15" s="539"/>
      <c r="AB15" s="1123"/>
      <c r="AC15" s="534"/>
      <c r="AD15" s="1123"/>
      <c r="AE15" s="1125"/>
      <c r="AF15" s="1126"/>
      <c r="AG15" s="1126"/>
      <c r="AH15" s="520"/>
      <c r="AI15" s="712" t="str">
        <f t="shared" si="8"/>
        <v>-</v>
      </c>
      <c r="AJ15" s="498">
        <f t="shared" si="9"/>
        <v>0</v>
      </c>
      <c r="AQ15" s="714">
        <f t="shared" si="6"/>
        <v>14</v>
      </c>
      <c r="AR15" s="714" t="str">
        <f t="shared" si="0"/>
        <v/>
      </c>
      <c r="AS15" s="714" t="str">
        <f t="shared" si="1"/>
        <v/>
      </c>
      <c r="AT15" s="714" t="str">
        <f t="shared" si="2"/>
        <v/>
      </c>
      <c r="AU15" s="714" t="str">
        <f t="shared" si="3"/>
        <v/>
      </c>
      <c r="AV15" s="714">
        <f t="shared" si="3"/>
        <v>0</v>
      </c>
      <c r="AW15" s="714" t="str">
        <f t="shared" si="4"/>
        <v/>
      </c>
      <c r="AX15" s="715" t="str">
        <f t="shared" si="5"/>
        <v/>
      </c>
    </row>
    <row r="16" spans="1:50" s="498" customFormat="1" ht="30" customHeight="1">
      <c r="A16" s="536">
        <f>ROWS(A$11:A16)</f>
        <v>6</v>
      </c>
      <c r="B16" s="1127"/>
      <c r="C16" s="1128"/>
      <c r="D16" s="1129"/>
      <c r="E16" s="537"/>
      <c r="F16" s="537"/>
      <c r="G16" s="697"/>
      <c r="H16" s="700"/>
      <c r="I16" s="700"/>
      <c r="J16" s="701"/>
      <c r="K16" s="532"/>
      <c r="L16" s="1149"/>
      <c r="M16" s="1149"/>
      <c r="N16" s="1151"/>
      <c r="O16" s="529"/>
      <c r="P16" s="529"/>
      <c r="Q16" s="1154"/>
      <c r="R16" s="1139"/>
      <c r="S16" s="535"/>
      <c r="T16" s="530">
        <f t="shared" ref="T16:T35" si="10">SUM(U16:W16)</f>
        <v>0</v>
      </c>
      <c r="U16" s="529"/>
      <c r="V16" s="529"/>
      <c r="W16" s="529"/>
      <c r="X16" s="529"/>
      <c r="Y16" s="529"/>
      <c r="Z16" s="529"/>
      <c r="AA16" s="539"/>
      <c r="AB16" s="1123"/>
      <c r="AC16" s="534"/>
      <c r="AD16" s="1123"/>
      <c r="AE16" s="1114"/>
      <c r="AF16" s="1115"/>
      <c r="AG16" s="1115"/>
      <c r="AH16" s="520"/>
      <c r="AI16" s="712" t="str">
        <f t="shared" si="8"/>
        <v>-</v>
      </c>
      <c r="AJ16" s="498">
        <f t="shared" si="9"/>
        <v>0</v>
      </c>
      <c r="AQ16" s="714">
        <f t="shared" si="6"/>
        <v>15</v>
      </c>
      <c r="AR16" s="714" t="str">
        <f t="shared" si="0"/>
        <v/>
      </c>
      <c r="AS16" s="714" t="str">
        <f t="shared" si="1"/>
        <v/>
      </c>
      <c r="AT16" s="714" t="str">
        <f t="shared" si="2"/>
        <v/>
      </c>
      <c r="AU16" s="714" t="str">
        <f t="shared" si="3"/>
        <v/>
      </c>
      <c r="AV16" s="714">
        <f t="shared" si="3"/>
        <v>0</v>
      </c>
      <c r="AW16" s="714" t="str">
        <f t="shared" si="4"/>
        <v/>
      </c>
      <c r="AX16" s="715" t="str">
        <f t="shared" si="5"/>
        <v/>
      </c>
    </row>
    <row r="17" spans="1:50" s="498" customFormat="1" ht="30" customHeight="1">
      <c r="A17" s="536">
        <f>ROWS(A$11:A17)</f>
        <v>7</v>
      </c>
      <c r="B17" s="1127"/>
      <c r="C17" s="1128"/>
      <c r="D17" s="1129"/>
      <c r="E17" s="537"/>
      <c r="F17" s="537"/>
      <c r="G17" s="697"/>
      <c r="H17" s="697"/>
      <c r="I17" s="697"/>
      <c r="J17" s="698"/>
      <c r="K17" s="532"/>
      <c r="L17" s="1149"/>
      <c r="M17" s="1149"/>
      <c r="N17" s="1151"/>
      <c r="O17" s="529"/>
      <c r="P17" s="529"/>
      <c r="Q17" s="1154"/>
      <c r="R17" s="1139"/>
      <c r="S17" s="535"/>
      <c r="T17" s="530">
        <f t="shared" si="10"/>
        <v>0</v>
      </c>
      <c r="U17" s="529"/>
      <c r="V17" s="529"/>
      <c r="W17" s="529"/>
      <c r="X17" s="529"/>
      <c r="Y17" s="529"/>
      <c r="Z17" s="529"/>
      <c r="AA17" s="539"/>
      <c r="AB17" s="1123"/>
      <c r="AC17" s="534"/>
      <c r="AD17" s="1123"/>
      <c r="AE17" s="1114"/>
      <c r="AF17" s="1115"/>
      <c r="AG17" s="1115"/>
      <c r="AH17" s="520"/>
      <c r="AI17" s="712" t="str">
        <f t="shared" si="8"/>
        <v>-</v>
      </c>
      <c r="AJ17" s="498">
        <f t="shared" si="9"/>
        <v>0</v>
      </c>
      <c r="AQ17" s="714">
        <f t="shared" si="6"/>
        <v>16</v>
      </c>
      <c r="AR17" s="714" t="str">
        <f t="shared" si="0"/>
        <v/>
      </c>
      <c r="AS17" s="714" t="str">
        <f t="shared" si="1"/>
        <v/>
      </c>
      <c r="AT17" s="714" t="str">
        <f t="shared" si="2"/>
        <v/>
      </c>
      <c r="AU17" s="714" t="str">
        <f t="shared" si="3"/>
        <v/>
      </c>
      <c r="AV17" s="714">
        <f t="shared" si="3"/>
        <v>0</v>
      </c>
      <c r="AW17" s="714" t="str">
        <f t="shared" si="4"/>
        <v/>
      </c>
      <c r="AX17" s="715" t="str">
        <f t="shared" si="5"/>
        <v/>
      </c>
    </row>
    <row r="18" spans="1:50" s="498" customFormat="1" ht="30" customHeight="1">
      <c r="A18" s="536">
        <f>ROWS(A$11:A18)</f>
        <v>8</v>
      </c>
      <c r="B18" s="1113"/>
      <c r="C18" s="1113"/>
      <c r="D18" s="1113"/>
      <c r="E18" s="537"/>
      <c r="F18" s="537"/>
      <c r="G18" s="702"/>
      <c r="H18" s="702"/>
      <c r="I18" s="697"/>
      <c r="J18" s="698"/>
      <c r="K18" s="532"/>
      <c r="L18" s="1149"/>
      <c r="M18" s="1149"/>
      <c r="N18" s="1151"/>
      <c r="O18" s="529"/>
      <c r="P18" s="529"/>
      <c r="Q18" s="1154"/>
      <c r="R18" s="1139"/>
      <c r="S18" s="535"/>
      <c r="T18" s="530">
        <f t="shared" si="10"/>
        <v>0</v>
      </c>
      <c r="U18" s="529"/>
      <c r="V18" s="529"/>
      <c r="W18" s="529"/>
      <c r="X18" s="529"/>
      <c r="Y18" s="529"/>
      <c r="Z18" s="529"/>
      <c r="AA18" s="539"/>
      <c r="AB18" s="1123"/>
      <c r="AC18" s="534"/>
      <c r="AD18" s="1123"/>
      <c r="AE18" s="1114"/>
      <c r="AF18" s="1115"/>
      <c r="AG18" s="1115"/>
      <c r="AH18" s="520"/>
      <c r="AI18" s="712" t="str">
        <f t="shared" si="8"/>
        <v>-</v>
      </c>
      <c r="AJ18" s="498">
        <f t="shared" si="9"/>
        <v>0</v>
      </c>
      <c r="AQ18" s="714">
        <f t="shared" si="6"/>
        <v>17</v>
      </c>
      <c r="AR18" s="714" t="str">
        <f t="shared" si="0"/>
        <v/>
      </c>
      <c r="AS18" s="714" t="str">
        <f t="shared" si="1"/>
        <v/>
      </c>
      <c r="AT18" s="714" t="str">
        <f t="shared" si="2"/>
        <v/>
      </c>
      <c r="AU18" s="714" t="str">
        <f t="shared" si="3"/>
        <v/>
      </c>
      <c r="AV18" s="714">
        <f t="shared" si="3"/>
        <v>0</v>
      </c>
      <c r="AW18" s="714" t="str">
        <f t="shared" si="4"/>
        <v/>
      </c>
      <c r="AX18" s="715" t="str">
        <f t="shared" si="5"/>
        <v/>
      </c>
    </row>
    <row r="19" spans="1:50" s="498" customFormat="1" ht="30" customHeight="1">
      <c r="A19" s="536">
        <f>ROWS(A$11:A19)</f>
        <v>9</v>
      </c>
      <c r="B19" s="1113"/>
      <c r="C19" s="1113"/>
      <c r="D19" s="1113"/>
      <c r="E19" s="537"/>
      <c r="F19" s="537"/>
      <c r="G19" s="702"/>
      <c r="H19" s="702"/>
      <c r="I19" s="697"/>
      <c r="J19" s="698"/>
      <c r="K19" s="532"/>
      <c r="L19" s="1149"/>
      <c r="M19" s="1149"/>
      <c r="N19" s="1151"/>
      <c r="O19" s="529"/>
      <c r="P19" s="529"/>
      <c r="Q19" s="1154"/>
      <c r="R19" s="1139"/>
      <c r="S19" s="535"/>
      <c r="T19" s="530">
        <f t="shared" si="10"/>
        <v>0</v>
      </c>
      <c r="U19" s="529"/>
      <c r="V19" s="529"/>
      <c r="W19" s="529"/>
      <c r="X19" s="529"/>
      <c r="Y19" s="529"/>
      <c r="Z19" s="529"/>
      <c r="AA19" s="539"/>
      <c r="AB19" s="1123"/>
      <c r="AC19" s="534"/>
      <c r="AD19" s="1123"/>
      <c r="AE19" s="1114"/>
      <c r="AF19" s="1115"/>
      <c r="AG19" s="1115"/>
      <c r="AH19" s="520"/>
      <c r="AI19" s="712" t="str">
        <f t="shared" si="8"/>
        <v>-</v>
      </c>
      <c r="AJ19" s="498">
        <f t="shared" si="9"/>
        <v>0</v>
      </c>
      <c r="AQ19" s="714">
        <f t="shared" si="6"/>
        <v>18</v>
      </c>
      <c r="AR19" s="714" t="str">
        <f t="shared" si="0"/>
        <v/>
      </c>
      <c r="AS19" s="714" t="str">
        <f t="shared" si="1"/>
        <v/>
      </c>
      <c r="AT19" s="714" t="str">
        <f t="shared" si="2"/>
        <v/>
      </c>
      <c r="AU19" s="714" t="str">
        <f t="shared" ref="AU19:AV34" si="11">IF(S28="","",S28)</f>
        <v/>
      </c>
      <c r="AV19" s="714">
        <f t="shared" si="11"/>
        <v>0</v>
      </c>
      <c r="AW19" s="714" t="str">
        <f t="shared" si="4"/>
        <v/>
      </c>
      <c r="AX19" s="715" t="str">
        <f t="shared" si="5"/>
        <v/>
      </c>
    </row>
    <row r="20" spans="1:50" s="498" customFormat="1" ht="30" customHeight="1">
      <c r="A20" s="536">
        <f>ROWS(A$11:A20)</f>
        <v>10</v>
      </c>
      <c r="B20" s="1113"/>
      <c r="C20" s="1113"/>
      <c r="D20" s="1113"/>
      <c r="E20" s="537"/>
      <c r="F20" s="537"/>
      <c r="G20" s="702"/>
      <c r="H20" s="702"/>
      <c r="I20" s="697"/>
      <c r="J20" s="698"/>
      <c r="K20" s="532"/>
      <c r="L20" s="1149"/>
      <c r="M20" s="1149"/>
      <c r="N20" s="1151"/>
      <c r="O20" s="529"/>
      <c r="P20" s="529"/>
      <c r="Q20" s="1154"/>
      <c r="R20" s="1139"/>
      <c r="S20" s="535"/>
      <c r="T20" s="530">
        <f t="shared" si="10"/>
        <v>0</v>
      </c>
      <c r="U20" s="529"/>
      <c r="V20" s="529"/>
      <c r="W20" s="529"/>
      <c r="X20" s="529"/>
      <c r="Y20" s="529"/>
      <c r="Z20" s="529"/>
      <c r="AA20" s="539"/>
      <c r="AB20" s="1123"/>
      <c r="AC20" s="534"/>
      <c r="AD20" s="1123"/>
      <c r="AE20" s="1114"/>
      <c r="AF20" s="1115"/>
      <c r="AG20" s="1115"/>
      <c r="AH20" s="520"/>
      <c r="AI20" s="712" t="str">
        <f t="shared" si="8"/>
        <v>-</v>
      </c>
      <c r="AJ20" s="498">
        <f t="shared" si="9"/>
        <v>0</v>
      </c>
      <c r="AQ20" s="714">
        <f t="shared" si="6"/>
        <v>19</v>
      </c>
      <c r="AR20" s="714" t="str">
        <f t="shared" si="0"/>
        <v/>
      </c>
      <c r="AS20" s="714" t="str">
        <f t="shared" si="1"/>
        <v/>
      </c>
      <c r="AT20" s="714" t="str">
        <f t="shared" si="2"/>
        <v/>
      </c>
      <c r="AU20" s="714" t="str">
        <f t="shared" si="11"/>
        <v/>
      </c>
      <c r="AV20" s="714">
        <f t="shared" si="11"/>
        <v>0</v>
      </c>
      <c r="AW20" s="714" t="str">
        <f t="shared" si="4"/>
        <v/>
      </c>
      <c r="AX20" s="715" t="str">
        <f t="shared" si="5"/>
        <v/>
      </c>
    </row>
    <row r="21" spans="1:50" s="498" customFormat="1" ht="30" customHeight="1">
      <c r="A21" s="536">
        <f>ROWS(A$11:A21)</f>
        <v>11</v>
      </c>
      <c r="B21" s="1113"/>
      <c r="C21" s="1113"/>
      <c r="D21" s="1113"/>
      <c r="E21" s="537"/>
      <c r="F21" s="537"/>
      <c r="G21" s="702"/>
      <c r="H21" s="702"/>
      <c r="I21" s="697"/>
      <c r="J21" s="698"/>
      <c r="K21" s="532"/>
      <c r="L21" s="1149"/>
      <c r="M21" s="1149"/>
      <c r="N21" s="1151"/>
      <c r="O21" s="529"/>
      <c r="P21" s="529"/>
      <c r="Q21" s="1154"/>
      <c r="R21" s="1139"/>
      <c r="S21" s="535"/>
      <c r="T21" s="530">
        <f t="shared" si="10"/>
        <v>0</v>
      </c>
      <c r="U21" s="529"/>
      <c r="V21" s="529"/>
      <c r="W21" s="529"/>
      <c r="X21" s="529"/>
      <c r="Y21" s="529"/>
      <c r="Z21" s="529"/>
      <c r="AA21" s="539"/>
      <c r="AB21" s="1123"/>
      <c r="AC21" s="534"/>
      <c r="AD21" s="1123"/>
      <c r="AE21" s="1114"/>
      <c r="AF21" s="1115"/>
      <c r="AG21" s="1115"/>
      <c r="AH21" s="520"/>
      <c r="AI21" s="712" t="str">
        <f t="shared" si="8"/>
        <v>-</v>
      </c>
      <c r="AJ21" s="498">
        <f t="shared" si="9"/>
        <v>0</v>
      </c>
      <c r="AQ21" s="714">
        <f t="shared" si="6"/>
        <v>20</v>
      </c>
      <c r="AR21" s="714" t="str">
        <f t="shared" si="0"/>
        <v/>
      </c>
      <c r="AS21" s="714" t="str">
        <f t="shared" si="1"/>
        <v/>
      </c>
      <c r="AT21" s="714" t="str">
        <f t="shared" si="2"/>
        <v/>
      </c>
      <c r="AU21" s="714" t="str">
        <f t="shared" si="11"/>
        <v/>
      </c>
      <c r="AV21" s="714">
        <f t="shared" si="11"/>
        <v>0</v>
      </c>
      <c r="AW21" s="714" t="str">
        <f t="shared" si="4"/>
        <v/>
      </c>
      <c r="AX21" s="715" t="str">
        <f t="shared" si="5"/>
        <v/>
      </c>
    </row>
    <row r="22" spans="1:50" s="498" customFormat="1" ht="30" customHeight="1">
      <c r="A22" s="536">
        <f>ROWS(A$11:A22)</f>
        <v>12</v>
      </c>
      <c r="B22" s="1113"/>
      <c r="C22" s="1113"/>
      <c r="D22" s="1113"/>
      <c r="E22" s="537"/>
      <c r="F22" s="537"/>
      <c r="G22" s="702"/>
      <c r="H22" s="702"/>
      <c r="I22" s="697"/>
      <c r="J22" s="698"/>
      <c r="K22" s="532"/>
      <c r="L22" s="1149"/>
      <c r="M22" s="1149"/>
      <c r="N22" s="1151"/>
      <c r="O22" s="529"/>
      <c r="P22" s="529"/>
      <c r="Q22" s="1154"/>
      <c r="R22" s="1139"/>
      <c r="S22" s="535"/>
      <c r="T22" s="530">
        <f t="shared" si="10"/>
        <v>0</v>
      </c>
      <c r="U22" s="529"/>
      <c r="V22" s="529"/>
      <c r="W22" s="529"/>
      <c r="X22" s="529"/>
      <c r="Y22" s="529"/>
      <c r="Z22" s="529"/>
      <c r="AA22" s="539"/>
      <c r="AB22" s="1123"/>
      <c r="AC22" s="534"/>
      <c r="AD22" s="1123"/>
      <c r="AE22" s="1114"/>
      <c r="AF22" s="1115"/>
      <c r="AG22" s="1115"/>
      <c r="AH22" s="520"/>
      <c r="AI22" s="712" t="str">
        <f t="shared" si="8"/>
        <v>-</v>
      </c>
      <c r="AJ22" s="498">
        <f t="shared" si="9"/>
        <v>0</v>
      </c>
      <c r="AQ22" s="714">
        <f t="shared" si="6"/>
        <v>21</v>
      </c>
      <c r="AR22" s="714" t="str">
        <f t="shared" si="0"/>
        <v/>
      </c>
      <c r="AS22" s="714" t="str">
        <f t="shared" si="1"/>
        <v/>
      </c>
      <c r="AT22" s="714" t="str">
        <f t="shared" si="2"/>
        <v/>
      </c>
      <c r="AU22" s="714" t="str">
        <f t="shared" si="11"/>
        <v/>
      </c>
      <c r="AV22" s="714">
        <f t="shared" si="11"/>
        <v>0</v>
      </c>
      <c r="AW22" s="714" t="str">
        <f t="shared" si="4"/>
        <v/>
      </c>
      <c r="AX22" s="715" t="str">
        <f t="shared" si="5"/>
        <v/>
      </c>
    </row>
    <row r="23" spans="1:50" s="498" customFormat="1" ht="30" customHeight="1">
      <c r="A23" s="536">
        <f>ROWS(A$11:A23)</f>
        <v>13</v>
      </c>
      <c r="B23" s="1113"/>
      <c r="C23" s="1113"/>
      <c r="D23" s="1113"/>
      <c r="E23" s="537"/>
      <c r="F23" s="537"/>
      <c r="G23" s="702"/>
      <c r="H23" s="702"/>
      <c r="I23" s="697"/>
      <c r="J23" s="698"/>
      <c r="K23" s="532"/>
      <c r="L23" s="1149"/>
      <c r="M23" s="1149"/>
      <c r="N23" s="1151"/>
      <c r="O23" s="529"/>
      <c r="P23" s="529"/>
      <c r="Q23" s="1154"/>
      <c r="R23" s="1139"/>
      <c r="S23" s="535"/>
      <c r="T23" s="530">
        <f t="shared" si="10"/>
        <v>0</v>
      </c>
      <c r="U23" s="529"/>
      <c r="V23" s="529"/>
      <c r="W23" s="529"/>
      <c r="X23" s="529"/>
      <c r="Y23" s="529"/>
      <c r="Z23" s="529"/>
      <c r="AA23" s="539"/>
      <c r="AB23" s="1123"/>
      <c r="AC23" s="534"/>
      <c r="AD23" s="1123"/>
      <c r="AE23" s="1114"/>
      <c r="AF23" s="1115"/>
      <c r="AG23" s="1115"/>
      <c r="AH23" s="520"/>
      <c r="AI23" s="712" t="str">
        <f t="shared" si="8"/>
        <v>-</v>
      </c>
      <c r="AJ23" s="498">
        <f t="shared" si="9"/>
        <v>0</v>
      </c>
      <c r="AQ23" s="714">
        <f t="shared" si="6"/>
        <v>22</v>
      </c>
      <c r="AR23" s="714" t="str">
        <f t="shared" si="0"/>
        <v/>
      </c>
      <c r="AS23" s="714" t="str">
        <f t="shared" si="1"/>
        <v/>
      </c>
      <c r="AT23" s="714" t="str">
        <f t="shared" si="2"/>
        <v/>
      </c>
      <c r="AU23" s="714" t="str">
        <f t="shared" si="11"/>
        <v/>
      </c>
      <c r="AV23" s="714">
        <f t="shared" si="11"/>
        <v>0</v>
      </c>
      <c r="AW23" s="714" t="str">
        <f t="shared" si="4"/>
        <v/>
      </c>
      <c r="AX23" s="715" t="str">
        <f t="shared" si="5"/>
        <v/>
      </c>
    </row>
    <row r="24" spans="1:50" s="498" customFormat="1" ht="30" customHeight="1">
      <c r="A24" s="536">
        <f>ROWS(A$11:A24)</f>
        <v>14</v>
      </c>
      <c r="B24" s="1113"/>
      <c r="C24" s="1113"/>
      <c r="D24" s="1113"/>
      <c r="E24" s="537"/>
      <c r="F24" s="537"/>
      <c r="G24" s="702"/>
      <c r="H24" s="702"/>
      <c r="I24" s="697"/>
      <c r="J24" s="698"/>
      <c r="K24" s="532"/>
      <c r="L24" s="1149"/>
      <c r="M24" s="1149"/>
      <c r="N24" s="1151"/>
      <c r="O24" s="529"/>
      <c r="P24" s="529"/>
      <c r="Q24" s="1154"/>
      <c r="R24" s="1139"/>
      <c r="S24" s="535"/>
      <c r="T24" s="530">
        <f t="shared" si="10"/>
        <v>0</v>
      </c>
      <c r="U24" s="529"/>
      <c r="V24" s="529"/>
      <c r="W24" s="529"/>
      <c r="X24" s="529"/>
      <c r="Y24" s="529"/>
      <c r="Z24" s="529"/>
      <c r="AA24" s="539"/>
      <c r="AB24" s="1123"/>
      <c r="AC24" s="534"/>
      <c r="AD24" s="1123"/>
      <c r="AE24" s="1114"/>
      <c r="AF24" s="1115"/>
      <c r="AG24" s="1115"/>
      <c r="AH24" s="520"/>
      <c r="AI24" s="712" t="str">
        <f t="shared" si="8"/>
        <v>-</v>
      </c>
      <c r="AJ24" s="498">
        <f t="shared" si="9"/>
        <v>0</v>
      </c>
      <c r="AQ24" s="714">
        <f t="shared" si="6"/>
        <v>23</v>
      </c>
      <c r="AR24" s="714" t="str">
        <f t="shared" si="0"/>
        <v/>
      </c>
      <c r="AS24" s="714" t="str">
        <f t="shared" si="1"/>
        <v/>
      </c>
      <c r="AT24" s="714" t="str">
        <f t="shared" si="2"/>
        <v/>
      </c>
      <c r="AU24" s="714" t="str">
        <f t="shared" si="11"/>
        <v/>
      </c>
      <c r="AV24" s="714">
        <f t="shared" si="11"/>
        <v>0</v>
      </c>
      <c r="AW24" s="714" t="str">
        <f t="shared" si="4"/>
        <v/>
      </c>
      <c r="AX24" s="715" t="str">
        <f t="shared" si="5"/>
        <v/>
      </c>
    </row>
    <row r="25" spans="1:50" s="498" customFormat="1" ht="30" customHeight="1">
      <c r="A25" s="536">
        <f>ROWS(A$11:A25)</f>
        <v>15</v>
      </c>
      <c r="B25" s="1113"/>
      <c r="C25" s="1113"/>
      <c r="D25" s="1113"/>
      <c r="E25" s="537"/>
      <c r="F25" s="537"/>
      <c r="G25" s="702"/>
      <c r="H25" s="702"/>
      <c r="I25" s="697"/>
      <c r="J25" s="698"/>
      <c r="K25" s="532"/>
      <c r="L25" s="1149"/>
      <c r="M25" s="1149"/>
      <c r="N25" s="1151"/>
      <c r="O25" s="529"/>
      <c r="P25" s="529"/>
      <c r="Q25" s="1154"/>
      <c r="R25" s="1139"/>
      <c r="S25" s="535"/>
      <c r="T25" s="530">
        <f t="shared" si="10"/>
        <v>0</v>
      </c>
      <c r="U25" s="529"/>
      <c r="V25" s="529"/>
      <c r="W25" s="529"/>
      <c r="X25" s="529"/>
      <c r="Y25" s="529"/>
      <c r="Z25" s="529"/>
      <c r="AA25" s="539"/>
      <c r="AB25" s="1123"/>
      <c r="AC25" s="534"/>
      <c r="AD25" s="1123"/>
      <c r="AE25" s="1114"/>
      <c r="AF25" s="1115"/>
      <c r="AG25" s="1115"/>
      <c r="AH25" s="520"/>
      <c r="AI25" s="712" t="str">
        <f t="shared" si="8"/>
        <v>-</v>
      </c>
      <c r="AJ25" s="498">
        <f t="shared" si="9"/>
        <v>0</v>
      </c>
      <c r="AQ25" s="714">
        <f t="shared" si="6"/>
        <v>24</v>
      </c>
      <c r="AR25" s="714" t="str">
        <f t="shared" si="0"/>
        <v/>
      </c>
      <c r="AS25" s="714" t="str">
        <f t="shared" si="1"/>
        <v/>
      </c>
      <c r="AT25" s="714" t="str">
        <f t="shared" si="2"/>
        <v/>
      </c>
      <c r="AU25" s="714" t="str">
        <f t="shared" si="11"/>
        <v/>
      </c>
      <c r="AV25" s="714">
        <f t="shared" si="11"/>
        <v>0</v>
      </c>
      <c r="AW25" s="714" t="str">
        <f t="shared" si="4"/>
        <v/>
      </c>
      <c r="AX25" s="715" t="str">
        <f t="shared" si="5"/>
        <v/>
      </c>
    </row>
    <row r="26" spans="1:50" s="498" customFormat="1" ht="30" customHeight="1">
      <c r="A26" s="536">
        <f>ROWS(A$11:A26)</f>
        <v>16</v>
      </c>
      <c r="B26" s="1113"/>
      <c r="C26" s="1113"/>
      <c r="D26" s="1113"/>
      <c r="E26" s="537"/>
      <c r="F26" s="537"/>
      <c r="G26" s="702"/>
      <c r="H26" s="702"/>
      <c r="I26" s="697"/>
      <c r="J26" s="698"/>
      <c r="K26" s="532"/>
      <c r="L26" s="1149"/>
      <c r="M26" s="1149"/>
      <c r="N26" s="1151"/>
      <c r="O26" s="529"/>
      <c r="P26" s="529"/>
      <c r="Q26" s="1154"/>
      <c r="R26" s="1139"/>
      <c r="S26" s="535"/>
      <c r="T26" s="530">
        <f t="shared" si="10"/>
        <v>0</v>
      </c>
      <c r="U26" s="529"/>
      <c r="V26" s="529"/>
      <c r="W26" s="529"/>
      <c r="X26" s="529"/>
      <c r="Y26" s="529"/>
      <c r="Z26" s="529"/>
      <c r="AA26" s="539"/>
      <c r="AB26" s="1123"/>
      <c r="AC26" s="534"/>
      <c r="AD26" s="1123"/>
      <c r="AE26" s="1114"/>
      <c r="AF26" s="1115"/>
      <c r="AG26" s="1115"/>
      <c r="AH26" s="520"/>
      <c r="AI26" s="712" t="str">
        <f t="shared" si="8"/>
        <v>-</v>
      </c>
      <c r="AJ26" s="498">
        <f t="shared" si="9"/>
        <v>0</v>
      </c>
      <c r="AQ26" s="714">
        <f t="shared" si="6"/>
        <v>25</v>
      </c>
      <c r="AR26" s="714" t="str">
        <f t="shared" si="0"/>
        <v/>
      </c>
      <c r="AS26" s="714" t="str">
        <f t="shared" si="1"/>
        <v/>
      </c>
      <c r="AT26" s="714" t="str">
        <f t="shared" si="2"/>
        <v/>
      </c>
      <c r="AU26" s="714" t="str">
        <f t="shared" si="11"/>
        <v/>
      </c>
      <c r="AV26" s="714">
        <f t="shared" si="11"/>
        <v>0</v>
      </c>
      <c r="AW26" s="714" t="str">
        <f t="shared" si="4"/>
        <v/>
      </c>
      <c r="AX26" s="715" t="str">
        <f t="shared" si="5"/>
        <v/>
      </c>
    </row>
    <row r="27" spans="1:50" s="498" customFormat="1" ht="30" customHeight="1">
      <c r="A27" s="536">
        <f>ROWS(A$11:A27)</f>
        <v>17</v>
      </c>
      <c r="B27" s="1113"/>
      <c r="C27" s="1113"/>
      <c r="D27" s="1113"/>
      <c r="E27" s="537"/>
      <c r="F27" s="537"/>
      <c r="G27" s="702"/>
      <c r="H27" s="702"/>
      <c r="I27" s="697"/>
      <c r="J27" s="698"/>
      <c r="K27" s="532"/>
      <c r="L27" s="1149"/>
      <c r="M27" s="1149"/>
      <c r="N27" s="1151"/>
      <c r="O27" s="529"/>
      <c r="P27" s="529"/>
      <c r="Q27" s="1154"/>
      <c r="R27" s="1139"/>
      <c r="S27" s="535"/>
      <c r="T27" s="530">
        <f t="shared" si="10"/>
        <v>0</v>
      </c>
      <c r="U27" s="529"/>
      <c r="V27" s="529"/>
      <c r="W27" s="529"/>
      <c r="X27" s="529"/>
      <c r="Y27" s="529"/>
      <c r="Z27" s="529"/>
      <c r="AA27" s="539"/>
      <c r="AB27" s="1123"/>
      <c r="AC27" s="534"/>
      <c r="AD27" s="1123"/>
      <c r="AE27" s="1114"/>
      <c r="AF27" s="1115"/>
      <c r="AG27" s="1115"/>
      <c r="AH27" s="520"/>
      <c r="AI27" s="712" t="str">
        <f t="shared" si="8"/>
        <v>-</v>
      </c>
      <c r="AJ27" s="498">
        <f t="shared" si="9"/>
        <v>0</v>
      </c>
      <c r="AQ27" s="714">
        <f t="shared" si="6"/>
        <v>26</v>
      </c>
      <c r="AR27" s="714" t="str">
        <f t="shared" si="0"/>
        <v/>
      </c>
      <c r="AS27" s="714" t="str">
        <f t="shared" si="1"/>
        <v/>
      </c>
      <c r="AT27" s="714" t="str">
        <f t="shared" si="2"/>
        <v/>
      </c>
      <c r="AU27" s="714" t="str">
        <f t="shared" si="11"/>
        <v/>
      </c>
      <c r="AV27" s="714">
        <f t="shared" si="11"/>
        <v>0</v>
      </c>
      <c r="AW27" s="714" t="str">
        <f t="shared" si="4"/>
        <v/>
      </c>
      <c r="AX27" s="715" t="str">
        <f t="shared" si="5"/>
        <v/>
      </c>
    </row>
    <row r="28" spans="1:50" s="498" customFormat="1" ht="30" customHeight="1">
      <c r="A28" s="536">
        <f>ROWS(A$11:A28)</f>
        <v>18</v>
      </c>
      <c r="B28" s="1113"/>
      <c r="C28" s="1113"/>
      <c r="D28" s="1113"/>
      <c r="E28" s="537"/>
      <c r="F28" s="537"/>
      <c r="G28" s="702"/>
      <c r="H28" s="702"/>
      <c r="I28" s="697"/>
      <c r="J28" s="698"/>
      <c r="K28" s="532"/>
      <c r="L28" s="1149"/>
      <c r="M28" s="1149"/>
      <c r="N28" s="1151"/>
      <c r="O28" s="529"/>
      <c r="P28" s="529"/>
      <c r="Q28" s="1154"/>
      <c r="R28" s="1139"/>
      <c r="S28" s="535"/>
      <c r="T28" s="530">
        <f t="shared" si="10"/>
        <v>0</v>
      </c>
      <c r="U28" s="529"/>
      <c r="V28" s="529"/>
      <c r="W28" s="529"/>
      <c r="X28" s="529"/>
      <c r="Y28" s="529"/>
      <c r="Z28" s="529"/>
      <c r="AA28" s="539"/>
      <c r="AB28" s="1123"/>
      <c r="AC28" s="534"/>
      <c r="AD28" s="1123"/>
      <c r="AE28" s="1114"/>
      <c r="AF28" s="1115"/>
      <c r="AG28" s="1115"/>
      <c r="AH28" s="520"/>
      <c r="AI28" s="712" t="str">
        <f t="shared" si="8"/>
        <v>-</v>
      </c>
      <c r="AJ28" s="498">
        <f t="shared" si="9"/>
        <v>0</v>
      </c>
      <c r="AQ28" s="714">
        <f t="shared" si="6"/>
        <v>27</v>
      </c>
      <c r="AR28" s="714" t="str">
        <f t="shared" si="0"/>
        <v/>
      </c>
      <c r="AS28" s="714" t="str">
        <f t="shared" si="1"/>
        <v/>
      </c>
      <c r="AT28" s="714" t="str">
        <f t="shared" si="2"/>
        <v/>
      </c>
      <c r="AU28" s="714" t="str">
        <f t="shared" si="11"/>
        <v/>
      </c>
      <c r="AV28" s="714">
        <f t="shared" si="11"/>
        <v>0</v>
      </c>
      <c r="AW28" s="714" t="str">
        <f t="shared" si="4"/>
        <v/>
      </c>
      <c r="AX28" s="715" t="str">
        <f t="shared" si="5"/>
        <v/>
      </c>
    </row>
    <row r="29" spans="1:50" s="498" customFormat="1" ht="30" customHeight="1">
      <c r="A29" s="536">
        <f>ROWS(A$11:A29)</f>
        <v>19</v>
      </c>
      <c r="B29" s="1113"/>
      <c r="C29" s="1113"/>
      <c r="D29" s="1113"/>
      <c r="E29" s="537"/>
      <c r="F29" s="537"/>
      <c r="G29" s="702"/>
      <c r="H29" s="702"/>
      <c r="I29" s="697"/>
      <c r="J29" s="698"/>
      <c r="K29" s="532"/>
      <c r="L29" s="1149"/>
      <c r="M29" s="1149"/>
      <c r="N29" s="1151"/>
      <c r="O29" s="529"/>
      <c r="P29" s="529"/>
      <c r="Q29" s="1154"/>
      <c r="R29" s="1139"/>
      <c r="S29" s="535"/>
      <c r="T29" s="530">
        <f t="shared" si="10"/>
        <v>0</v>
      </c>
      <c r="U29" s="529"/>
      <c r="V29" s="529"/>
      <c r="W29" s="529"/>
      <c r="X29" s="529"/>
      <c r="Y29" s="529"/>
      <c r="Z29" s="529"/>
      <c r="AA29" s="539"/>
      <c r="AB29" s="1123"/>
      <c r="AC29" s="534"/>
      <c r="AD29" s="1123"/>
      <c r="AE29" s="1114"/>
      <c r="AF29" s="1115"/>
      <c r="AG29" s="1115"/>
      <c r="AH29" s="520"/>
      <c r="AI29" s="712" t="str">
        <f t="shared" si="8"/>
        <v>-</v>
      </c>
      <c r="AJ29" s="498">
        <f t="shared" si="9"/>
        <v>0</v>
      </c>
      <c r="AQ29" s="714">
        <f t="shared" si="6"/>
        <v>28</v>
      </c>
      <c r="AR29" s="714" t="str">
        <f t="shared" si="0"/>
        <v/>
      </c>
      <c r="AS29" s="714" t="str">
        <f t="shared" si="1"/>
        <v/>
      </c>
      <c r="AT29" s="714" t="str">
        <f t="shared" si="2"/>
        <v/>
      </c>
      <c r="AU29" s="714" t="str">
        <f t="shared" si="11"/>
        <v/>
      </c>
      <c r="AV29" s="714">
        <f t="shared" si="11"/>
        <v>0</v>
      </c>
      <c r="AW29" s="714" t="str">
        <f t="shared" si="4"/>
        <v/>
      </c>
      <c r="AX29" s="715" t="str">
        <f t="shared" si="5"/>
        <v/>
      </c>
    </row>
    <row r="30" spans="1:50" s="498" customFormat="1" ht="30" customHeight="1">
      <c r="A30" s="536">
        <f>ROWS(A$11:A30)</f>
        <v>20</v>
      </c>
      <c r="B30" s="1113"/>
      <c r="C30" s="1113"/>
      <c r="D30" s="1113"/>
      <c r="E30" s="537"/>
      <c r="F30" s="537"/>
      <c r="G30" s="702"/>
      <c r="H30" s="702"/>
      <c r="I30" s="697"/>
      <c r="J30" s="698"/>
      <c r="K30" s="532"/>
      <c r="L30" s="1149"/>
      <c r="M30" s="1149"/>
      <c r="N30" s="1151"/>
      <c r="O30" s="529"/>
      <c r="P30" s="529"/>
      <c r="Q30" s="1154"/>
      <c r="R30" s="1139"/>
      <c r="S30" s="535"/>
      <c r="T30" s="530">
        <f t="shared" si="10"/>
        <v>0</v>
      </c>
      <c r="U30" s="529"/>
      <c r="V30" s="529"/>
      <c r="W30" s="529"/>
      <c r="X30" s="529"/>
      <c r="Y30" s="529"/>
      <c r="Z30" s="529"/>
      <c r="AA30" s="539"/>
      <c r="AB30" s="1123"/>
      <c r="AC30" s="534"/>
      <c r="AD30" s="1123"/>
      <c r="AE30" s="1114"/>
      <c r="AF30" s="1115"/>
      <c r="AG30" s="1115"/>
      <c r="AH30" s="520"/>
      <c r="AI30" s="712" t="str">
        <f t="shared" si="8"/>
        <v>-</v>
      </c>
      <c r="AJ30" s="498">
        <f t="shared" si="9"/>
        <v>0</v>
      </c>
      <c r="AQ30" s="714">
        <f t="shared" si="6"/>
        <v>29</v>
      </c>
      <c r="AR30" s="714" t="str">
        <f t="shared" si="0"/>
        <v/>
      </c>
      <c r="AS30" s="714" t="str">
        <f t="shared" si="1"/>
        <v/>
      </c>
      <c r="AT30" s="714" t="str">
        <f t="shared" si="2"/>
        <v/>
      </c>
      <c r="AU30" s="714" t="str">
        <f t="shared" si="11"/>
        <v/>
      </c>
      <c r="AV30" s="714">
        <f t="shared" si="11"/>
        <v>0</v>
      </c>
      <c r="AW30" s="714" t="str">
        <f t="shared" si="4"/>
        <v/>
      </c>
      <c r="AX30" s="715" t="str">
        <f t="shared" si="5"/>
        <v/>
      </c>
    </row>
    <row r="31" spans="1:50" s="498" customFormat="1" ht="30" customHeight="1">
      <c r="A31" s="536">
        <f>ROWS(A$11:A31)</f>
        <v>21</v>
      </c>
      <c r="B31" s="1113"/>
      <c r="C31" s="1113"/>
      <c r="D31" s="1113"/>
      <c r="E31" s="537"/>
      <c r="F31" s="537"/>
      <c r="G31" s="702"/>
      <c r="H31" s="702"/>
      <c r="I31" s="697"/>
      <c r="J31" s="698"/>
      <c r="K31" s="532"/>
      <c r="L31" s="1149"/>
      <c r="M31" s="1149"/>
      <c r="N31" s="1151"/>
      <c r="O31" s="529"/>
      <c r="P31" s="529"/>
      <c r="Q31" s="1154"/>
      <c r="R31" s="1139"/>
      <c r="S31" s="535"/>
      <c r="T31" s="530">
        <f t="shared" si="10"/>
        <v>0</v>
      </c>
      <c r="U31" s="529"/>
      <c r="V31" s="529"/>
      <c r="W31" s="529"/>
      <c r="X31" s="529"/>
      <c r="Y31" s="529"/>
      <c r="Z31" s="529"/>
      <c r="AA31" s="539"/>
      <c r="AB31" s="1123"/>
      <c r="AC31" s="534"/>
      <c r="AD31" s="1123"/>
      <c r="AE31" s="1114"/>
      <c r="AF31" s="1115"/>
      <c r="AG31" s="1115"/>
      <c r="AH31" s="520"/>
      <c r="AI31" s="712" t="str">
        <f t="shared" si="8"/>
        <v>-</v>
      </c>
      <c r="AJ31" s="498">
        <f t="shared" si="9"/>
        <v>0</v>
      </c>
      <c r="AQ31" s="714">
        <f t="shared" si="6"/>
        <v>30</v>
      </c>
      <c r="AR31" s="714" t="str">
        <f t="shared" si="0"/>
        <v/>
      </c>
      <c r="AS31" s="714" t="str">
        <f t="shared" si="1"/>
        <v/>
      </c>
      <c r="AT31" s="714" t="str">
        <f t="shared" si="2"/>
        <v/>
      </c>
      <c r="AU31" s="714" t="str">
        <f t="shared" si="11"/>
        <v/>
      </c>
      <c r="AV31" s="714">
        <f t="shared" si="11"/>
        <v>0</v>
      </c>
      <c r="AW31" s="714" t="str">
        <f t="shared" si="4"/>
        <v/>
      </c>
      <c r="AX31" s="715" t="str">
        <f t="shared" si="5"/>
        <v/>
      </c>
    </row>
    <row r="32" spans="1:50" s="498" customFormat="1" ht="30" customHeight="1">
      <c r="A32" s="536">
        <f>ROWS(A$11:A32)</f>
        <v>22</v>
      </c>
      <c r="B32" s="1113"/>
      <c r="C32" s="1113"/>
      <c r="D32" s="1113"/>
      <c r="E32" s="537"/>
      <c r="F32" s="537"/>
      <c r="G32" s="702"/>
      <c r="H32" s="702"/>
      <c r="I32" s="697"/>
      <c r="J32" s="698"/>
      <c r="K32" s="532"/>
      <c r="L32" s="1149"/>
      <c r="M32" s="1149"/>
      <c r="N32" s="1151"/>
      <c r="O32" s="529"/>
      <c r="P32" s="529"/>
      <c r="Q32" s="1154"/>
      <c r="R32" s="1139"/>
      <c r="S32" s="535"/>
      <c r="T32" s="530">
        <f t="shared" si="10"/>
        <v>0</v>
      </c>
      <c r="U32" s="529"/>
      <c r="V32" s="529"/>
      <c r="W32" s="529"/>
      <c r="X32" s="529"/>
      <c r="Y32" s="529"/>
      <c r="Z32" s="529"/>
      <c r="AA32" s="539"/>
      <c r="AB32" s="1123"/>
      <c r="AC32" s="534"/>
      <c r="AD32" s="1123"/>
      <c r="AE32" s="1114"/>
      <c r="AF32" s="1115"/>
      <c r="AG32" s="1115"/>
      <c r="AH32" s="520"/>
      <c r="AI32" s="712" t="str">
        <f t="shared" si="8"/>
        <v>-</v>
      </c>
      <c r="AJ32" s="498">
        <f t="shared" si="9"/>
        <v>0</v>
      </c>
      <c r="AQ32" s="714">
        <f t="shared" si="6"/>
        <v>31</v>
      </c>
      <c r="AR32" s="714" t="str">
        <f t="shared" si="0"/>
        <v/>
      </c>
      <c r="AS32" s="714" t="str">
        <f t="shared" si="1"/>
        <v/>
      </c>
      <c r="AT32" s="714" t="str">
        <f t="shared" si="2"/>
        <v/>
      </c>
      <c r="AU32" s="714" t="str">
        <f t="shared" si="11"/>
        <v/>
      </c>
      <c r="AV32" s="714">
        <f t="shared" si="11"/>
        <v>0</v>
      </c>
      <c r="AW32" s="714" t="str">
        <f t="shared" si="4"/>
        <v/>
      </c>
      <c r="AX32" s="715" t="str">
        <f t="shared" si="5"/>
        <v/>
      </c>
    </row>
    <row r="33" spans="1:50" s="498" customFormat="1" ht="30" customHeight="1">
      <c r="A33" s="536">
        <f>ROWS(A$11:A33)</f>
        <v>23</v>
      </c>
      <c r="B33" s="1113"/>
      <c r="C33" s="1113"/>
      <c r="D33" s="1113"/>
      <c r="E33" s="537"/>
      <c r="F33" s="537"/>
      <c r="G33" s="702"/>
      <c r="H33" s="702"/>
      <c r="I33" s="697"/>
      <c r="J33" s="698"/>
      <c r="K33" s="532"/>
      <c r="L33" s="1149"/>
      <c r="M33" s="1149"/>
      <c r="N33" s="1151"/>
      <c r="O33" s="529"/>
      <c r="P33" s="529"/>
      <c r="Q33" s="1154"/>
      <c r="R33" s="1139"/>
      <c r="S33" s="535"/>
      <c r="T33" s="530">
        <f t="shared" si="10"/>
        <v>0</v>
      </c>
      <c r="U33" s="529"/>
      <c r="V33" s="529"/>
      <c r="W33" s="529"/>
      <c r="X33" s="529"/>
      <c r="Y33" s="529"/>
      <c r="Z33" s="529"/>
      <c r="AA33" s="539"/>
      <c r="AB33" s="1123"/>
      <c r="AC33" s="534"/>
      <c r="AD33" s="1123"/>
      <c r="AE33" s="1114"/>
      <c r="AF33" s="1115"/>
      <c r="AG33" s="1115"/>
      <c r="AH33" s="520"/>
      <c r="AI33" s="712" t="str">
        <f t="shared" si="8"/>
        <v>-</v>
      </c>
      <c r="AJ33" s="498">
        <f t="shared" si="9"/>
        <v>0</v>
      </c>
      <c r="AQ33" s="714">
        <f t="shared" si="6"/>
        <v>32</v>
      </c>
      <c r="AR33" s="714" t="str">
        <f t="shared" si="0"/>
        <v/>
      </c>
      <c r="AS33" s="714" t="str">
        <f t="shared" si="1"/>
        <v/>
      </c>
      <c r="AT33" s="714" t="str">
        <f t="shared" si="2"/>
        <v/>
      </c>
      <c r="AU33" s="714" t="str">
        <f t="shared" si="11"/>
        <v/>
      </c>
      <c r="AV33" s="714">
        <f t="shared" si="11"/>
        <v>0</v>
      </c>
      <c r="AW33" s="714" t="str">
        <f t="shared" si="4"/>
        <v/>
      </c>
      <c r="AX33" s="715" t="str">
        <f t="shared" si="5"/>
        <v/>
      </c>
    </row>
    <row r="34" spans="1:50" s="498" customFormat="1" ht="30" customHeight="1">
      <c r="A34" s="536">
        <f>ROWS(A$11:A34)</f>
        <v>24</v>
      </c>
      <c r="B34" s="1113"/>
      <c r="C34" s="1113"/>
      <c r="D34" s="1113"/>
      <c r="E34" s="537"/>
      <c r="F34" s="537"/>
      <c r="G34" s="702"/>
      <c r="H34" s="702"/>
      <c r="I34" s="697"/>
      <c r="J34" s="698"/>
      <c r="K34" s="532"/>
      <c r="L34" s="1149"/>
      <c r="M34" s="1149"/>
      <c r="N34" s="1151"/>
      <c r="O34" s="529"/>
      <c r="P34" s="529"/>
      <c r="Q34" s="1154"/>
      <c r="R34" s="1139"/>
      <c r="S34" s="535"/>
      <c r="T34" s="530">
        <f t="shared" si="10"/>
        <v>0</v>
      </c>
      <c r="U34" s="529"/>
      <c r="V34" s="529"/>
      <c r="W34" s="529"/>
      <c r="X34" s="529"/>
      <c r="Y34" s="529"/>
      <c r="Z34" s="529"/>
      <c r="AA34" s="539"/>
      <c r="AB34" s="1123"/>
      <c r="AC34" s="534"/>
      <c r="AD34" s="1123"/>
      <c r="AE34" s="1114"/>
      <c r="AF34" s="1115"/>
      <c r="AG34" s="1115"/>
      <c r="AH34" s="520"/>
      <c r="AI34" s="712" t="str">
        <f t="shared" si="8"/>
        <v>-</v>
      </c>
      <c r="AJ34" s="498">
        <f t="shared" si="9"/>
        <v>0</v>
      </c>
      <c r="AQ34" s="714">
        <f t="shared" si="6"/>
        <v>33</v>
      </c>
      <c r="AR34" s="714" t="str">
        <f t="shared" si="0"/>
        <v/>
      </c>
      <c r="AS34" s="714" t="str">
        <f t="shared" si="1"/>
        <v/>
      </c>
      <c r="AT34" s="714" t="str">
        <f t="shared" si="2"/>
        <v/>
      </c>
      <c r="AU34" s="714" t="str">
        <f t="shared" si="11"/>
        <v/>
      </c>
      <c r="AV34" s="714">
        <f t="shared" si="11"/>
        <v>0</v>
      </c>
      <c r="AW34" s="714" t="str">
        <f t="shared" si="4"/>
        <v/>
      </c>
      <c r="AX34" s="715" t="str">
        <f t="shared" si="5"/>
        <v/>
      </c>
    </row>
    <row r="35" spans="1:50" s="498" customFormat="1" ht="30" customHeight="1">
      <c r="A35" s="536">
        <f>ROWS(A$11:A35)</f>
        <v>25</v>
      </c>
      <c r="B35" s="1113"/>
      <c r="C35" s="1113"/>
      <c r="D35" s="1113"/>
      <c r="E35" s="537"/>
      <c r="F35" s="537"/>
      <c r="G35" s="702"/>
      <c r="H35" s="702"/>
      <c r="I35" s="697"/>
      <c r="J35" s="698"/>
      <c r="K35" s="532"/>
      <c r="L35" s="1149"/>
      <c r="M35" s="1149"/>
      <c r="N35" s="1151"/>
      <c r="O35" s="529"/>
      <c r="P35" s="529"/>
      <c r="Q35" s="1154"/>
      <c r="R35" s="1139"/>
      <c r="S35" s="535"/>
      <c r="T35" s="530">
        <f t="shared" si="10"/>
        <v>0</v>
      </c>
      <c r="U35" s="529"/>
      <c r="V35" s="529"/>
      <c r="W35" s="529"/>
      <c r="X35" s="529"/>
      <c r="Y35" s="529"/>
      <c r="Z35" s="529"/>
      <c r="AA35" s="539"/>
      <c r="AB35" s="1123"/>
      <c r="AC35" s="534"/>
      <c r="AD35" s="1123"/>
      <c r="AE35" s="1114"/>
      <c r="AF35" s="1115"/>
      <c r="AG35" s="1115"/>
      <c r="AH35" s="520"/>
      <c r="AI35" s="712" t="str">
        <f t="shared" si="8"/>
        <v>-</v>
      </c>
      <c r="AJ35" s="498">
        <f t="shared" si="9"/>
        <v>0</v>
      </c>
      <c r="AQ35" s="714">
        <f t="shared" si="6"/>
        <v>34</v>
      </c>
      <c r="AR35" s="714" t="str">
        <f t="shared" si="0"/>
        <v/>
      </c>
      <c r="AS35" s="714" t="str">
        <f t="shared" si="1"/>
        <v/>
      </c>
      <c r="AT35" s="714" t="str">
        <f t="shared" si="2"/>
        <v/>
      </c>
      <c r="AU35" s="714" t="str">
        <f t="shared" ref="AU35:AV50" si="12">IF(S44="","",S44)</f>
        <v/>
      </c>
      <c r="AV35" s="714">
        <f t="shared" si="12"/>
        <v>0</v>
      </c>
      <c r="AW35" s="714" t="str">
        <f t="shared" si="4"/>
        <v/>
      </c>
      <c r="AX35" s="715" t="str">
        <f t="shared" si="5"/>
        <v/>
      </c>
    </row>
    <row r="36" spans="1:50" s="498" customFormat="1" ht="30" customHeight="1">
      <c r="A36" s="536">
        <f>ROWS(A$11:A36)</f>
        <v>26</v>
      </c>
      <c r="B36" s="1127"/>
      <c r="C36" s="1128"/>
      <c r="D36" s="1129"/>
      <c r="E36" s="537"/>
      <c r="F36" s="537"/>
      <c r="G36" s="697"/>
      <c r="H36" s="700"/>
      <c r="I36" s="700"/>
      <c r="J36" s="701"/>
      <c r="K36" s="532"/>
      <c r="L36" s="1149"/>
      <c r="M36" s="1149"/>
      <c r="N36" s="1151"/>
      <c r="O36" s="529"/>
      <c r="P36" s="529"/>
      <c r="Q36" s="1154"/>
      <c r="R36" s="1139"/>
      <c r="S36" s="535"/>
      <c r="T36" s="530">
        <f t="shared" si="7"/>
        <v>0</v>
      </c>
      <c r="U36" s="529"/>
      <c r="V36" s="529"/>
      <c r="W36" s="529"/>
      <c r="X36" s="529"/>
      <c r="Y36" s="529"/>
      <c r="Z36" s="529"/>
      <c r="AA36" s="539"/>
      <c r="AB36" s="1123"/>
      <c r="AC36" s="534"/>
      <c r="AD36" s="1123"/>
      <c r="AE36" s="1114"/>
      <c r="AF36" s="1115"/>
      <c r="AG36" s="1115"/>
      <c r="AH36" s="520"/>
      <c r="AI36" s="712" t="str">
        <f t="shared" si="8"/>
        <v>-</v>
      </c>
      <c r="AJ36" s="498">
        <f t="shared" si="9"/>
        <v>0</v>
      </c>
      <c r="AQ36" s="714">
        <f t="shared" si="6"/>
        <v>35</v>
      </c>
      <c r="AR36" s="714" t="str">
        <f t="shared" si="0"/>
        <v/>
      </c>
      <c r="AS36" s="714" t="str">
        <f t="shared" si="1"/>
        <v/>
      </c>
      <c r="AT36" s="714" t="str">
        <f t="shared" si="2"/>
        <v/>
      </c>
      <c r="AU36" s="714" t="str">
        <f t="shared" si="12"/>
        <v/>
      </c>
      <c r="AV36" s="714">
        <f t="shared" si="12"/>
        <v>0</v>
      </c>
      <c r="AW36" s="714" t="str">
        <f t="shared" si="4"/>
        <v/>
      </c>
      <c r="AX36" s="715" t="str">
        <f t="shared" si="5"/>
        <v/>
      </c>
    </row>
    <row r="37" spans="1:50" s="498" customFormat="1" ht="30" customHeight="1">
      <c r="A37" s="536">
        <f>ROWS(A$11:A37)</f>
        <v>27</v>
      </c>
      <c r="B37" s="1127"/>
      <c r="C37" s="1128"/>
      <c r="D37" s="1129"/>
      <c r="E37" s="537"/>
      <c r="F37" s="537"/>
      <c r="G37" s="697"/>
      <c r="H37" s="697"/>
      <c r="I37" s="697"/>
      <c r="J37" s="698"/>
      <c r="K37" s="532"/>
      <c r="L37" s="1149"/>
      <c r="M37" s="1149"/>
      <c r="N37" s="1151"/>
      <c r="O37" s="529"/>
      <c r="P37" s="529"/>
      <c r="Q37" s="1154"/>
      <c r="R37" s="1139"/>
      <c r="S37" s="535"/>
      <c r="T37" s="530">
        <f t="shared" si="7"/>
        <v>0</v>
      </c>
      <c r="U37" s="529"/>
      <c r="V37" s="529"/>
      <c r="W37" s="529"/>
      <c r="X37" s="529"/>
      <c r="Y37" s="529"/>
      <c r="Z37" s="529"/>
      <c r="AA37" s="539"/>
      <c r="AB37" s="1123"/>
      <c r="AC37" s="534"/>
      <c r="AD37" s="1123"/>
      <c r="AE37" s="1114"/>
      <c r="AF37" s="1115"/>
      <c r="AG37" s="1115"/>
      <c r="AH37" s="520"/>
      <c r="AI37" s="712" t="str">
        <f t="shared" si="8"/>
        <v>-</v>
      </c>
      <c r="AJ37" s="498">
        <f t="shared" si="9"/>
        <v>0</v>
      </c>
      <c r="AQ37" s="714">
        <f t="shared" si="6"/>
        <v>36</v>
      </c>
      <c r="AR37" s="714" t="str">
        <f t="shared" si="0"/>
        <v/>
      </c>
      <c r="AS37" s="714" t="str">
        <f t="shared" si="1"/>
        <v/>
      </c>
      <c r="AT37" s="714" t="str">
        <f t="shared" si="2"/>
        <v/>
      </c>
      <c r="AU37" s="714" t="str">
        <f t="shared" si="12"/>
        <v/>
      </c>
      <c r="AV37" s="714">
        <f t="shared" si="12"/>
        <v>0</v>
      </c>
      <c r="AW37" s="714" t="str">
        <f t="shared" si="4"/>
        <v/>
      </c>
      <c r="AX37" s="715" t="str">
        <f t="shared" si="5"/>
        <v/>
      </c>
    </row>
    <row r="38" spans="1:50" s="498" customFormat="1" ht="30" customHeight="1">
      <c r="A38" s="536">
        <f>ROWS(A$11:A38)</f>
        <v>28</v>
      </c>
      <c r="B38" s="1113"/>
      <c r="C38" s="1113"/>
      <c r="D38" s="1113"/>
      <c r="E38" s="537"/>
      <c r="F38" s="537"/>
      <c r="G38" s="702"/>
      <c r="H38" s="702"/>
      <c r="I38" s="697"/>
      <c r="J38" s="698"/>
      <c r="K38" s="532"/>
      <c r="L38" s="1149"/>
      <c r="M38" s="1149"/>
      <c r="N38" s="1151"/>
      <c r="O38" s="529"/>
      <c r="P38" s="529"/>
      <c r="Q38" s="1154"/>
      <c r="R38" s="1139"/>
      <c r="S38" s="535"/>
      <c r="T38" s="530">
        <f t="shared" si="7"/>
        <v>0</v>
      </c>
      <c r="U38" s="529"/>
      <c r="V38" s="529"/>
      <c r="W38" s="529"/>
      <c r="X38" s="529"/>
      <c r="Y38" s="529"/>
      <c r="Z38" s="529"/>
      <c r="AA38" s="539"/>
      <c r="AB38" s="1123"/>
      <c r="AC38" s="534"/>
      <c r="AD38" s="1123"/>
      <c r="AE38" s="1114"/>
      <c r="AF38" s="1115"/>
      <c r="AG38" s="1115"/>
      <c r="AH38" s="520"/>
      <c r="AI38" s="712" t="str">
        <f t="shared" si="8"/>
        <v>-</v>
      </c>
      <c r="AJ38" s="498">
        <f t="shared" si="9"/>
        <v>0</v>
      </c>
      <c r="AQ38" s="714">
        <f t="shared" si="6"/>
        <v>37</v>
      </c>
      <c r="AR38" s="714" t="str">
        <f t="shared" si="0"/>
        <v/>
      </c>
      <c r="AS38" s="714" t="str">
        <f t="shared" si="1"/>
        <v/>
      </c>
      <c r="AT38" s="714" t="str">
        <f t="shared" si="2"/>
        <v/>
      </c>
      <c r="AU38" s="714" t="str">
        <f t="shared" si="12"/>
        <v/>
      </c>
      <c r="AV38" s="714">
        <f t="shared" si="12"/>
        <v>0</v>
      </c>
      <c r="AW38" s="714" t="str">
        <f t="shared" si="4"/>
        <v/>
      </c>
      <c r="AX38" s="715" t="str">
        <f t="shared" si="5"/>
        <v/>
      </c>
    </row>
    <row r="39" spans="1:50" s="498" customFormat="1" ht="30" customHeight="1">
      <c r="A39" s="536">
        <f>ROWS(A$11:A39)</f>
        <v>29</v>
      </c>
      <c r="B39" s="1113"/>
      <c r="C39" s="1113"/>
      <c r="D39" s="1113"/>
      <c r="E39" s="537"/>
      <c r="F39" s="537"/>
      <c r="G39" s="702"/>
      <c r="H39" s="702"/>
      <c r="I39" s="697"/>
      <c r="J39" s="698"/>
      <c r="K39" s="532"/>
      <c r="L39" s="1149"/>
      <c r="M39" s="1149"/>
      <c r="N39" s="1151"/>
      <c r="O39" s="529"/>
      <c r="P39" s="529"/>
      <c r="Q39" s="1154"/>
      <c r="R39" s="1139"/>
      <c r="S39" s="535"/>
      <c r="T39" s="530">
        <f t="shared" si="7"/>
        <v>0</v>
      </c>
      <c r="U39" s="529"/>
      <c r="V39" s="529"/>
      <c r="W39" s="529"/>
      <c r="X39" s="529"/>
      <c r="Y39" s="529"/>
      <c r="Z39" s="529"/>
      <c r="AA39" s="539"/>
      <c r="AB39" s="1123"/>
      <c r="AC39" s="534"/>
      <c r="AD39" s="1123"/>
      <c r="AE39" s="1114"/>
      <c r="AF39" s="1115"/>
      <c r="AG39" s="1115"/>
      <c r="AH39" s="520"/>
      <c r="AI39" s="712" t="str">
        <f t="shared" si="8"/>
        <v>-</v>
      </c>
      <c r="AJ39" s="498">
        <f t="shared" si="9"/>
        <v>0</v>
      </c>
      <c r="AQ39" s="714">
        <f t="shared" si="6"/>
        <v>38</v>
      </c>
      <c r="AR39" s="714" t="str">
        <f t="shared" si="0"/>
        <v/>
      </c>
      <c r="AS39" s="714" t="str">
        <f t="shared" si="1"/>
        <v/>
      </c>
      <c r="AT39" s="714" t="str">
        <f t="shared" si="2"/>
        <v/>
      </c>
      <c r="AU39" s="714" t="str">
        <f t="shared" si="12"/>
        <v/>
      </c>
      <c r="AV39" s="714">
        <f t="shared" si="12"/>
        <v>0</v>
      </c>
      <c r="AW39" s="714" t="str">
        <f t="shared" si="4"/>
        <v/>
      </c>
      <c r="AX39" s="715" t="str">
        <f t="shared" si="5"/>
        <v/>
      </c>
    </row>
    <row r="40" spans="1:50" s="498" customFormat="1" ht="30" customHeight="1">
      <c r="A40" s="536">
        <f>ROWS(A$11:A40)</f>
        <v>30</v>
      </c>
      <c r="B40" s="1113"/>
      <c r="C40" s="1113"/>
      <c r="D40" s="1113"/>
      <c r="E40" s="537"/>
      <c r="F40" s="537"/>
      <c r="G40" s="702"/>
      <c r="H40" s="702"/>
      <c r="I40" s="697"/>
      <c r="J40" s="698"/>
      <c r="K40" s="532"/>
      <c r="L40" s="1149"/>
      <c r="M40" s="1149"/>
      <c r="N40" s="1151"/>
      <c r="O40" s="529"/>
      <c r="P40" s="529"/>
      <c r="Q40" s="1154"/>
      <c r="R40" s="1139"/>
      <c r="S40" s="535"/>
      <c r="T40" s="530">
        <f t="shared" si="7"/>
        <v>0</v>
      </c>
      <c r="U40" s="529"/>
      <c r="V40" s="529"/>
      <c r="W40" s="529"/>
      <c r="X40" s="529"/>
      <c r="Y40" s="529"/>
      <c r="Z40" s="529"/>
      <c r="AA40" s="539"/>
      <c r="AB40" s="1123"/>
      <c r="AC40" s="534"/>
      <c r="AD40" s="1123"/>
      <c r="AE40" s="1114"/>
      <c r="AF40" s="1115"/>
      <c r="AG40" s="1115"/>
      <c r="AH40" s="520"/>
      <c r="AI40" s="712" t="str">
        <f t="shared" si="8"/>
        <v>-</v>
      </c>
      <c r="AJ40" s="498">
        <f t="shared" si="9"/>
        <v>0</v>
      </c>
      <c r="AQ40" s="714">
        <f t="shared" si="6"/>
        <v>39</v>
      </c>
      <c r="AR40" s="714" t="str">
        <f t="shared" si="0"/>
        <v/>
      </c>
      <c r="AS40" s="714" t="str">
        <f t="shared" si="1"/>
        <v/>
      </c>
      <c r="AT40" s="714" t="str">
        <f t="shared" si="2"/>
        <v/>
      </c>
      <c r="AU40" s="714" t="str">
        <f t="shared" si="12"/>
        <v/>
      </c>
      <c r="AV40" s="714">
        <f t="shared" si="12"/>
        <v>0</v>
      </c>
      <c r="AW40" s="714" t="str">
        <f t="shared" si="4"/>
        <v/>
      </c>
      <c r="AX40" s="715" t="str">
        <f t="shared" si="5"/>
        <v/>
      </c>
    </row>
    <row r="41" spans="1:50" s="498" customFormat="1" ht="30" customHeight="1">
      <c r="A41" s="536">
        <f>ROWS(A$11:A41)</f>
        <v>31</v>
      </c>
      <c r="B41" s="1113"/>
      <c r="C41" s="1113"/>
      <c r="D41" s="1113"/>
      <c r="E41" s="537"/>
      <c r="F41" s="537"/>
      <c r="G41" s="702"/>
      <c r="H41" s="702"/>
      <c r="I41" s="697"/>
      <c r="J41" s="698"/>
      <c r="K41" s="532"/>
      <c r="L41" s="1149"/>
      <c r="M41" s="1149"/>
      <c r="N41" s="1151"/>
      <c r="O41" s="529"/>
      <c r="P41" s="529"/>
      <c r="Q41" s="1154"/>
      <c r="R41" s="1139"/>
      <c r="S41" s="535"/>
      <c r="T41" s="530">
        <f t="shared" si="7"/>
        <v>0</v>
      </c>
      <c r="U41" s="529"/>
      <c r="V41" s="529"/>
      <c r="W41" s="529"/>
      <c r="X41" s="529"/>
      <c r="Y41" s="529"/>
      <c r="Z41" s="529"/>
      <c r="AA41" s="539"/>
      <c r="AB41" s="1123"/>
      <c r="AC41" s="534"/>
      <c r="AD41" s="1123"/>
      <c r="AE41" s="1114"/>
      <c r="AF41" s="1115"/>
      <c r="AG41" s="1115"/>
      <c r="AH41" s="520"/>
      <c r="AI41" s="712" t="str">
        <f t="shared" si="8"/>
        <v>-</v>
      </c>
      <c r="AJ41" s="498">
        <f t="shared" si="9"/>
        <v>0</v>
      </c>
      <c r="AQ41" s="714">
        <f t="shared" si="6"/>
        <v>40</v>
      </c>
      <c r="AR41" s="714" t="str">
        <f t="shared" si="0"/>
        <v/>
      </c>
      <c r="AS41" s="714" t="str">
        <f t="shared" si="1"/>
        <v/>
      </c>
      <c r="AT41" s="714" t="str">
        <f t="shared" si="2"/>
        <v/>
      </c>
      <c r="AU41" s="714" t="str">
        <f t="shared" si="12"/>
        <v/>
      </c>
      <c r="AV41" s="714">
        <f t="shared" si="12"/>
        <v>0</v>
      </c>
      <c r="AW41" s="714" t="str">
        <f t="shared" si="4"/>
        <v/>
      </c>
      <c r="AX41" s="715" t="str">
        <f t="shared" si="5"/>
        <v/>
      </c>
    </row>
    <row r="42" spans="1:50" s="498" customFormat="1" ht="30" customHeight="1">
      <c r="A42" s="536">
        <f>ROWS(A$11:A42)</f>
        <v>32</v>
      </c>
      <c r="B42" s="1113"/>
      <c r="C42" s="1113"/>
      <c r="D42" s="1113"/>
      <c r="E42" s="537"/>
      <c r="F42" s="537"/>
      <c r="G42" s="702"/>
      <c r="H42" s="702"/>
      <c r="I42" s="697"/>
      <c r="J42" s="698"/>
      <c r="K42" s="532"/>
      <c r="L42" s="1149"/>
      <c r="M42" s="1149"/>
      <c r="N42" s="1151"/>
      <c r="O42" s="529"/>
      <c r="P42" s="529"/>
      <c r="Q42" s="1154"/>
      <c r="R42" s="1139"/>
      <c r="S42" s="535"/>
      <c r="T42" s="530">
        <f t="shared" si="7"/>
        <v>0</v>
      </c>
      <c r="U42" s="529"/>
      <c r="V42" s="529"/>
      <c r="W42" s="529"/>
      <c r="X42" s="529"/>
      <c r="Y42" s="529"/>
      <c r="Z42" s="529"/>
      <c r="AA42" s="539"/>
      <c r="AB42" s="1123"/>
      <c r="AC42" s="534"/>
      <c r="AD42" s="1123"/>
      <c r="AE42" s="1114"/>
      <c r="AF42" s="1115"/>
      <c r="AG42" s="1115"/>
      <c r="AH42" s="520"/>
      <c r="AI42" s="712" t="str">
        <f t="shared" si="8"/>
        <v>-</v>
      </c>
      <c r="AJ42" s="498">
        <f t="shared" si="9"/>
        <v>0</v>
      </c>
      <c r="AQ42" s="714">
        <f t="shared" si="6"/>
        <v>41</v>
      </c>
      <c r="AR42" s="714" t="str">
        <f t="shared" si="0"/>
        <v/>
      </c>
      <c r="AS42" s="714" t="str">
        <f t="shared" si="1"/>
        <v/>
      </c>
      <c r="AT42" s="714" t="str">
        <f t="shared" si="2"/>
        <v/>
      </c>
      <c r="AU42" s="714" t="str">
        <f t="shared" si="12"/>
        <v/>
      </c>
      <c r="AV42" s="714">
        <f t="shared" si="12"/>
        <v>0</v>
      </c>
      <c r="AW42" s="714" t="str">
        <f t="shared" si="4"/>
        <v/>
      </c>
      <c r="AX42" s="715" t="str">
        <f t="shared" si="5"/>
        <v/>
      </c>
    </row>
    <row r="43" spans="1:50" s="498" customFormat="1" ht="30" customHeight="1">
      <c r="A43" s="536">
        <f>ROWS(A$11:A43)</f>
        <v>33</v>
      </c>
      <c r="B43" s="1113"/>
      <c r="C43" s="1113"/>
      <c r="D43" s="1113"/>
      <c r="E43" s="537"/>
      <c r="F43" s="537"/>
      <c r="G43" s="702"/>
      <c r="H43" s="702"/>
      <c r="I43" s="697"/>
      <c r="J43" s="698"/>
      <c r="K43" s="532"/>
      <c r="L43" s="1149"/>
      <c r="M43" s="1149"/>
      <c r="N43" s="1151"/>
      <c r="O43" s="529"/>
      <c r="P43" s="529"/>
      <c r="Q43" s="1154"/>
      <c r="R43" s="1139"/>
      <c r="S43" s="535"/>
      <c r="T43" s="530">
        <f t="shared" si="7"/>
        <v>0</v>
      </c>
      <c r="U43" s="529"/>
      <c r="V43" s="529"/>
      <c r="W43" s="529"/>
      <c r="X43" s="529"/>
      <c r="Y43" s="529"/>
      <c r="Z43" s="529"/>
      <c r="AA43" s="539"/>
      <c r="AB43" s="1123"/>
      <c r="AC43" s="534"/>
      <c r="AD43" s="1123"/>
      <c r="AE43" s="1114"/>
      <c r="AF43" s="1115"/>
      <c r="AG43" s="1115"/>
      <c r="AH43" s="520"/>
      <c r="AI43" s="712" t="str">
        <f t="shared" si="8"/>
        <v>-</v>
      </c>
      <c r="AJ43" s="498">
        <f t="shared" si="9"/>
        <v>0</v>
      </c>
      <c r="AQ43" s="714">
        <f t="shared" si="6"/>
        <v>42</v>
      </c>
      <c r="AR43" s="714" t="str">
        <f t="shared" si="0"/>
        <v/>
      </c>
      <c r="AS43" s="714" t="str">
        <f t="shared" si="1"/>
        <v/>
      </c>
      <c r="AT43" s="714" t="str">
        <f t="shared" si="2"/>
        <v/>
      </c>
      <c r="AU43" s="714" t="str">
        <f t="shared" si="12"/>
        <v/>
      </c>
      <c r="AV43" s="714">
        <f t="shared" si="12"/>
        <v>0</v>
      </c>
      <c r="AW43" s="714" t="str">
        <f t="shared" si="4"/>
        <v/>
      </c>
      <c r="AX43" s="715" t="str">
        <f t="shared" si="5"/>
        <v/>
      </c>
    </row>
    <row r="44" spans="1:50" s="498" customFormat="1" ht="30" customHeight="1">
      <c r="A44" s="536">
        <f>ROWS(A$11:A44)</f>
        <v>34</v>
      </c>
      <c r="B44" s="1113"/>
      <c r="C44" s="1113"/>
      <c r="D44" s="1113"/>
      <c r="E44" s="537"/>
      <c r="F44" s="537"/>
      <c r="G44" s="702"/>
      <c r="H44" s="702"/>
      <c r="I44" s="697"/>
      <c r="J44" s="698"/>
      <c r="K44" s="532"/>
      <c r="L44" s="1149"/>
      <c r="M44" s="1149"/>
      <c r="N44" s="1151"/>
      <c r="O44" s="529"/>
      <c r="P44" s="529"/>
      <c r="Q44" s="1154"/>
      <c r="R44" s="1139"/>
      <c r="S44" s="535"/>
      <c r="T44" s="530">
        <f t="shared" si="7"/>
        <v>0</v>
      </c>
      <c r="U44" s="529"/>
      <c r="V44" s="529"/>
      <c r="W44" s="529"/>
      <c r="X44" s="529"/>
      <c r="Y44" s="529"/>
      <c r="Z44" s="529"/>
      <c r="AA44" s="539"/>
      <c r="AB44" s="1123"/>
      <c r="AC44" s="534"/>
      <c r="AD44" s="1123"/>
      <c r="AE44" s="1114"/>
      <c r="AF44" s="1115"/>
      <c r="AG44" s="1115"/>
      <c r="AH44" s="520"/>
      <c r="AI44" s="712" t="str">
        <f t="shared" si="8"/>
        <v>-</v>
      </c>
      <c r="AJ44" s="498">
        <f t="shared" si="9"/>
        <v>0</v>
      </c>
      <c r="AQ44" s="714">
        <f t="shared" si="6"/>
        <v>43</v>
      </c>
      <c r="AR44" s="714" t="str">
        <f t="shared" si="0"/>
        <v/>
      </c>
      <c r="AS44" s="714" t="str">
        <f t="shared" si="1"/>
        <v/>
      </c>
      <c r="AT44" s="714" t="str">
        <f t="shared" si="2"/>
        <v/>
      </c>
      <c r="AU44" s="714" t="str">
        <f t="shared" si="12"/>
        <v/>
      </c>
      <c r="AV44" s="714">
        <f t="shared" si="12"/>
        <v>0</v>
      </c>
      <c r="AW44" s="714" t="str">
        <f t="shared" si="4"/>
        <v/>
      </c>
      <c r="AX44" s="715" t="str">
        <f t="shared" si="5"/>
        <v/>
      </c>
    </row>
    <row r="45" spans="1:50" s="498" customFormat="1" ht="30" customHeight="1">
      <c r="A45" s="536">
        <f>ROWS(A$11:A45)</f>
        <v>35</v>
      </c>
      <c r="B45" s="1113"/>
      <c r="C45" s="1113"/>
      <c r="D45" s="1113"/>
      <c r="E45" s="537"/>
      <c r="F45" s="537"/>
      <c r="G45" s="702"/>
      <c r="H45" s="702"/>
      <c r="I45" s="697"/>
      <c r="J45" s="698"/>
      <c r="K45" s="532"/>
      <c r="L45" s="1149"/>
      <c r="M45" s="1149"/>
      <c r="N45" s="1151"/>
      <c r="O45" s="529"/>
      <c r="P45" s="529"/>
      <c r="Q45" s="1154"/>
      <c r="R45" s="1139"/>
      <c r="S45" s="535"/>
      <c r="T45" s="530">
        <f t="shared" si="7"/>
        <v>0</v>
      </c>
      <c r="U45" s="529"/>
      <c r="V45" s="529"/>
      <c r="W45" s="529"/>
      <c r="X45" s="529"/>
      <c r="Y45" s="529"/>
      <c r="Z45" s="529"/>
      <c r="AA45" s="539"/>
      <c r="AB45" s="1123"/>
      <c r="AC45" s="534"/>
      <c r="AD45" s="1123"/>
      <c r="AE45" s="1114"/>
      <c r="AF45" s="1115"/>
      <c r="AG45" s="1115"/>
      <c r="AH45" s="520"/>
      <c r="AI45" s="712" t="str">
        <f t="shared" si="8"/>
        <v>-</v>
      </c>
      <c r="AJ45" s="498">
        <f t="shared" si="9"/>
        <v>0</v>
      </c>
      <c r="AQ45" s="714">
        <f t="shared" si="6"/>
        <v>44</v>
      </c>
      <c r="AR45" s="714" t="str">
        <f t="shared" si="0"/>
        <v/>
      </c>
      <c r="AS45" s="714" t="str">
        <f t="shared" si="1"/>
        <v/>
      </c>
      <c r="AT45" s="714" t="str">
        <f t="shared" si="2"/>
        <v/>
      </c>
      <c r="AU45" s="714" t="str">
        <f t="shared" si="12"/>
        <v/>
      </c>
      <c r="AV45" s="714">
        <f t="shared" si="12"/>
        <v>0</v>
      </c>
      <c r="AW45" s="714" t="str">
        <f t="shared" si="4"/>
        <v/>
      </c>
      <c r="AX45" s="715" t="str">
        <f t="shared" si="5"/>
        <v/>
      </c>
    </row>
    <row r="46" spans="1:50" s="498" customFormat="1" ht="30" customHeight="1">
      <c r="A46" s="536">
        <f>ROWS(A$11:A46)</f>
        <v>36</v>
      </c>
      <c r="B46" s="1113"/>
      <c r="C46" s="1113"/>
      <c r="D46" s="1113"/>
      <c r="E46" s="537"/>
      <c r="F46" s="537"/>
      <c r="G46" s="702"/>
      <c r="H46" s="702"/>
      <c r="I46" s="697"/>
      <c r="J46" s="698"/>
      <c r="K46" s="532"/>
      <c r="L46" s="1149"/>
      <c r="M46" s="1149"/>
      <c r="N46" s="1151"/>
      <c r="O46" s="529"/>
      <c r="P46" s="529"/>
      <c r="Q46" s="1154"/>
      <c r="R46" s="1139"/>
      <c r="S46" s="535"/>
      <c r="T46" s="530">
        <f t="shared" si="7"/>
        <v>0</v>
      </c>
      <c r="U46" s="529"/>
      <c r="V46" s="529"/>
      <c r="W46" s="529"/>
      <c r="X46" s="529"/>
      <c r="Y46" s="529"/>
      <c r="Z46" s="529"/>
      <c r="AA46" s="539"/>
      <c r="AB46" s="1123"/>
      <c r="AC46" s="534"/>
      <c r="AD46" s="1123"/>
      <c r="AE46" s="1114"/>
      <c r="AF46" s="1115"/>
      <c r="AG46" s="1115"/>
      <c r="AH46" s="520"/>
      <c r="AI46" s="712" t="str">
        <f t="shared" si="8"/>
        <v>-</v>
      </c>
      <c r="AJ46" s="498">
        <f t="shared" si="9"/>
        <v>0</v>
      </c>
      <c r="AQ46" s="714">
        <f t="shared" si="6"/>
        <v>45</v>
      </c>
      <c r="AR46" s="714" t="str">
        <f t="shared" si="0"/>
        <v/>
      </c>
      <c r="AS46" s="714" t="str">
        <f t="shared" si="1"/>
        <v/>
      </c>
      <c r="AT46" s="714" t="str">
        <f t="shared" si="2"/>
        <v/>
      </c>
      <c r="AU46" s="714" t="str">
        <f t="shared" si="12"/>
        <v/>
      </c>
      <c r="AV46" s="714">
        <f t="shared" si="12"/>
        <v>0</v>
      </c>
      <c r="AW46" s="714" t="str">
        <f t="shared" si="4"/>
        <v/>
      </c>
      <c r="AX46" s="715" t="str">
        <f t="shared" si="5"/>
        <v/>
      </c>
    </row>
    <row r="47" spans="1:50" s="498" customFormat="1" ht="30" customHeight="1">
      <c r="A47" s="536">
        <f>ROWS(A$11:A47)</f>
        <v>37</v>
      </c>
      <c r="B47" s="1113"/>
      <c r="C47" s="1113"/>
      <c r="D47" s="1113"/>
      <c r="E47" s="537"/>
      <c r="F47" s="537"/>
      <c r="G47" s="702"/>
      <c r="H47" s="702"/>
      <c r="I47" s="697"/>
      <c r="J47" s="698"/>
      <c r="K47" s="532"/>
      <c r="L47" s="1149"/>
      <c r="M47" s="1149"/>
      <c r="N47" s="1151"/>
      <c r="O47" s="529"/>
      <c r="P47" s="529"/>
      <c r="Q47" s="1154"/>
      <c r="R47" s="1139"/>
      <c r="S47" s="535"/>
      <c r="T47" s="530">
        <f t="shared" si="7"/>
        <v>0</v>
      </c>
      <c r="U47" s="529"/>
      <c r="V47" s="529"/>
      <c r="W47" s="529"/>
      <c r="X47" s="529"/>
      <c r="Y47" s="529"/>
      <c r="Z47" s="529"/>
      <c r="AA47" s="539"/>
      <c r="AB47" s="1123"/>
      <c r="AC47" s="534"/>
      <c r="AD47" s="1123"/>
      <c r="AE47" s="1114"/>
      <c r="AF47" s="1115"/>
      <c r="AG47" s="1115"/>
      <c r="AH47" s="520"/>
      <c r="AI47" s="712" t="str">
        <f t="shared" si="8"/>
        <v>-</v>
      </c>
      <c r="AJ47" s="498">
        <f t="shared" si="9"/>
        <v>0</v>
      </c>
      <c r="AQ47" s="714">
        <f t="shared" si="6"/>
        <v>46</v>
      </c>
      <c r="AR47" s="714" t="str">
        <f t="shared" si="0"/>
        <v/>
      </c>
      <c r="AS47" s="714" t="str">
        <f t="shared" si="1"/>
        <v/>
      </c>
      <c r="AT47" s="714" t="str">
        <f t="shared" si="2"/>
        <v/>
      </c>
      <c r="AU47" s="714" t="str">
        <f t="shared" si="12"/>
        <v/>
      </c>
      <c r="AV47" s="714">
        <f t="shared" si="12"/>
        <v>0</v>
      </c>
      <c r="AW47" s="714" t="str">
        <f t="shared" si="4"/>
        <v/>
      </c>
      <c r="AX47" s="715" t="str">
        <f t="shared" si="5"/>
        <v/>
      </c>
    </row>
    <row r="48" spans="1:50" s="498" customFormat="1" ht="30" customHeight="1">
      <c r="A48" s="536">
        <f>ROWS(A$11:A48)</f>
        <v>38</v>
      </c>
      <c r="B48" s="1113"/>
      <c r="C48" s="1113"/>
      <c r="D48" s="1113"/>
      <c r="E48" s="537"/>
      <c r="F48" s="537"/>
      <c r="G48" s="702"/>
      <c r="H48" s="702"/>
      <c r="I48" s="697"/>
      <c r="J48" s="698"/>
      <c r="K48" s="532"/>
      <c r="L48" s="1149"/>
      <c r="M48" s="1149"/>
      <c r="N48" s="1151"/>
      <c r="O48" s="529"/>
      <c r="P48" s="529"/>
      <c r="Q48" s="1154"/>
      <c r="R48" s="1139"/>
      <c r="S48" s="535"/>
      <c r="T48" s="530">
        <f t="shared" si="7"/>
        <v>0</v>
      </c>
      <c r="U48" s="529"/>
      <c r="V48" s="529"/>
      <c r="W48" s="529"/>
      <c r="X48" s="529"/>
      <c r="Y48" s="529"/>
      <c r="Z48" s="529"/>
      <c r="AA48" s="539"/>
      <c r="AB48" s="1123"/>
      <c r="AC48" s="534"/>
      <c r="AD48" s="1123"/>
      <c r="AE48" s="1114"/>
      <c r="AF48" s="1115"/>
      <c r="AG48" s="1115"/>
      <c r="AH48" s="520"/>
      <c r="AI48" s="712" t="str">
        <f t="shared" si="8"/>
        <v>-</v>
      </c>
      <c r="AJ48" s="498">
        <f t="shared" si="9"/>
        <v>0</v>
      </c>
      <c r="AQ48" s="714">
        <f t="shared" si="6"/>
        <v>47</v>
      </c>
      <c r="AR48" s="714" t="str">
        <f t="shared" si="0"/>
        <v/>
      </c>
      <c r="AS48" s="714" t="str">
        <f t="shared" si="1"/>
        <v/>
      </c>
      <c r="AT48" s="714" t="str">
        <f t="shared" si="2"/>
        <v/>
      </c>
      <c r="AU48" s="714" t="str">
        <f t="shared" si="12"/>
        <v/>
      </c>
      <c r="AV48" s="714">
        <f t="shared" si="12"/>
        <v>0</v>
      </c>
      <c r="AW48" s="714" t="str">
        <f t="shared" si="4"/>
        <v/>
      </c>
      <c r="AX48" s="715" t="str">
        <f t="shared" si="5"/>
        <v/>
      </c>
    </row>
    <row r="49" spans="1:50" s="498" customFormat="1" ht="30" customHeight="1">
      <c r="A49" s="536">
        <f>ROWS(A$11:A49)</f>
        <v>39</v>
      </c>
      <c r="B49" s="1113"/>
      <c r="C49" s="1113"/>
      <c r="D49" s="1113"/>
      <c r="E49" s="537"/>
      <c r="F49" s="537"/>
      <c r="G49" s="702"/>
      <c r="H49" s="702"/>
      <c r="I49" s="697"/>
      <c r="J49" s="698"/>
      <c r="K49" s="532"/>
      <c r="L49" s="1149"/>
      <c r="M49" s="1149"/>
      <c r="N49" s="1151"/>
      <c r="O49" s="529"/>
      <c r="P49" s="529"/>
      <c r="Q49" s="1154"/>
      <c r="R49" s="1139"/>
      <c r="S49" s="535"/>
      <c r="T49" s="530">
        <f t="shared" si="7"/>
        <v>0</v>
      </c>
      <c r="U49" s="529"/>
      <c r="V49" s="529"/>
      <c r="W49" s="529"/>
      <c r="X49" s="529"/>
      <c r="Y49" s="529"/>
      <c r="Z49" s="529"/>
      <c r="AA49" s="539"/>
      <c r="AB49" s="1123"/>
      <c r="AC49" s="534"/>
      <c r="AD49" s="1123"/>
      <c r="AE49" s="1114"/>
      <c r="AF49" s="1115"/>
      <c r="AG49" s="1115"/>
      <c r="AH49" s="520"/>
      <c r="AI49" s="712" t="str">
        <f t="shared" si="8"/>
        <v>-</v>
      </c>
      <c r="AJ49" s="498">
        <f t="shared" si="9"/>
        <v>0</v>
      </c>
      <c r="AQ49" s="714">
        <f t="shared" si="6"/>
        <v>48</v>
      </c>
      <c r="AR49" s="714" t="str">
        <f t="shared" si="0"/>
        <v/>
      </c>
      <c r="AS49" s="714" t="str">
        <f t="shared" si="1"/>
        <v/>
      </c>
      <c r="AT49" s="714" t="str">
        <f t="shared" si="2"/>
        <v/>
      </c>
      <c r="AU49" s="714" t="str">
        <f t="shared" si="12"/>
        <v/>
      </c>
      <c r="AV49" s="714">
        <f t="shared" si="12"/>
        <v>0</v>
      </c>
      <c r="AW49" s="714" t="str">
        <f t="shared" si="4"/>
        <v/>
      </c>
      <c r="AX49" s="715" t="str">
        <f t="shared" si="5"/>
        <v/>
      </c>
    </row>
    <row r="50" spans="1:50" s="498" customFormat="1" ht="30" customHeight="1">
      <c r="A50" s="536">
        <f>ROWS(A$11:A50)</f>
        <v>40</v>
      </c>
      <c r="B50" s="1113"/>
      <c r="C50" s="1113"/>
      <c r="D50" s="1113"/>
      <c r="E50" s="537"/>
      <c r="F50" s="537"/>
      <c r="G50" s="702"/>
      <c r="H50" s="702"/>
      <c r="I50" s="697"/>
      <c r="J50" s="698"/>
      <c r="K50" s="532"/>
      <c r="L50" s="1149"/>
      <c r="M50" s="1149"/>
      <c r="N50" s="1151"/>
      <c r="O50" s="529"/>
      <c r="P50" s="529"/>
      <c r="Q50" s="1154"/>
      <c r="R50" s="1139"/>
      <c r="S50" s="535"/>
      <c r="T50" s="530">
        <f t="shared" si="7"/>
        <v>0</v>
      </c>
      <c r="U50" s="529"/>
      <c r="V50" s="529"/>
      <c r="W50" s="529"/>
      <c r="X50" s="529"/>
      <c r="Y50" s="529"/>
      <c r="Z50" s="529"/>
      <c r="AA50" s="539"/>
      <c r="AB50" s="1123"/>
      <c r="AC50" s="534"/>
      <c r="AD50" s="1123"/>
      <c r="AE50" s="1114"/>
      <c r="AF50" s="1115"/>
      <c r="AG50" s="1115"/>
      <c r="AH50" s="520"/>
      <c r="AI50" s="712" t="str">
        <f t="shared" si="8"/>
        <v>-</v>
      </c>
      <c r="AJ50" s="498">
        <f t="shared" si="9"/>
        <v>0</v>
      </c>
      <c r="AQ50" s="714">
        <f t="shared" si="6"/>
        <v>49</v>
      </c>
      <c r="AR50" s="714" t="str">
        <f t="shared" si="0"/>
        <v/>
      </c>
      <c r="AS50" s="714" t="str">
        <f t="shared" si="1"/>
        <v/>
      </c>
      <c r="AT50" s="714" t="str">
        <f t="shared" si="2"/>
        <v/>
      </c>
      <c r="AU50" s="714" t="str">
        <f t="shared" si="12"/>
        <v/>
      </c>
      <c r="AV50" s="714">
        <f t="shared" si="12"/>
        <v>0</v>
      </c>
      <c r="AW50" s="714" t="str">
        <f t="shared" si="4"/>
        <v/>
      </c>
      <c r="AX50" s="715" t="str">
        <f t="shared" si="5"/>
        <v/>
      </c>
    </row>
    <row r="51" spans="1:50" s="498" customFormat="1" ht="30" customHeight="1">
      <c r="A51" s="536">
        <f>ROWS(A$11:A51)</f>
        <v>41</v>
      </c>
      <c r="B51" s="1113"/>
      <c r="C51" s="1113"/>
      <c r="D51" s="1113"/>
      <c r="E51" s="537"/>
      <c r="F51" s="537"/>
      <c r="G51" s="702"/>
      <c r="H51" s="702"/>
      <c r="I51" s="697"/>
      <c r="J51" s="698"/>
      <c r="K51" s="532"/>
      <c r="L51" s="1149"/>
      <c r="M51" s="1149"/>
      <c r="N51" s="1151"/>
      <c r="O51" s="529"/>
      <c r="P51" s="529"/>
      <c r="Q51" s="1154"/>
      <c r="R51" s="1139"/>
      <c r="S51" s="535"/>
      <c r="T51" s="530">
        <f t="shared" si="7"/>
        <v>0</v>
      </c>
      <c r="U51" s="529"/>
      <c r="V51" s="529"/>
      <c r="W51" s="529"/>
      <c r="X51" s="529"/>
      <c r="Y51" s="529"/>
      <c r="Z51" s="529"/>
      <c r="AA51" s="539"/>
      <c r="AB51" s="1123"/>
      <c r="AC51" s="534"/>
      <c r="AD51" s="1123"/>
      <c r="AE51" s="1114"/>
      <c r="AF51" s="1115"/>
      <c r="AG51" s="1115"/>
      <c r="AH51" s="520"/>
      <c r="AI51" s="712" t="str">
        <f t="shared" si="8"/>
        <v>-</v>
      </c>
      <c r="AJ51" s="498">
        <f t="shared" si="9"/>
        <v>0</v>
      </c>
      <c r="AQ51" s="714">
        <f t="shared" si="6"/>
        <v>50</v>
      </c>
      <c r="AR51" s="714" t="str">
        <f t="shared" si="0"/>
        <v/>
      </c>
      <c r="AS51" s="714" t="str">
        <f t="shared" si="1"/>
        <v/>
      </c>
      <c r="AT51" s="714" t="str">
        <f t="shared" si="2"/>
        <v/>
      </c>
      <c r="AU51" s="714" t="str">
        <f>IF(S60="","",S60)</f>
        <v/>
      </c>
      <c r="AV51" s="714">
        <f>IF(T60="","",T60)</f>
        <v>0</v>
      </c>
      <c r="AW51" s="714" t="str">
        <f t="shared" si="4"/>
        <v/>
      </c>
      <c r="AX51" s="715" t="str">
        <f t="shared" si="5"/>
        <v/>
      </c>
    </row>
    <row r="52" spans="1:50" s="498" customFormat="1" ht="30" customHeight="1">
      <c r="A52" s="536">
        <f>ROWS(A$11:A52)</f>
        <v>42</v>
      </c>
      <c r="B52" s="1113"/>
      <c r="C52" s="1113"/>
      <c r="D52" s="1113"/>
      <c r="E52" s="537"/>
      <c r="F52" s="537"/>
      <c r="G52" s="702"/>
      <c r="H52" s="702"/>
      <c r="I52" s="697"/>
      <c r="J52" s="698"/>
      <c r="K52" s="532"/>
      <c r="L52" s="1149"/>
      <c r="M52" s="1149"/>
      <c r="N52" s="1151"/>
      <c r="O52" s="529"/>
      <c r="P52" s="529"/>
      <c r="Q52" s="1154"/>
      <c r="R52" s="1139"/>
      <c r="S52" s="535"/>
      <c r="T52" s="530">
        <f t="shared" si="7"/>
        <v>0</v>
      </c>
      <c r="U52" s="529"/>
      <c r="V52" s="529"/>
      <c r="W52" s="529"/>
      <c r="X52" s="529"/>
      <c r="Y52" s="529"/>
      <c r="Z52" s="529"/>
      <c r="AA52" s="539"/>
      <c r="AB52" s="1123"/>
      <c r="AC52" s="534"/>
      <c r="AD52" s="1123"/>
      <c r="AE52" s="1114"/>
      <c r="AF52" s="1115"/>
      <c r="AG52" s="1115"/>
      <c r="AH52" s="520"/>
      <c r="AI52" s="712" t="str">
        <f t="shared" si="8"/>
        <v>-</v>
      </c>
      <c r="AJ52" s="498">
        <f t="shared" si="9"/>
        <v>0</v>
      </c>
    </row>
    <row r="53" spans="1:50" s="498" customFormat="1" ht="30" customHeight="1">
      <c r="A53" s="536">
        <f>ROWS(A$11:A53)</f>
        <v>43</v>
      </c>
      <c r="B53" s="1113"/>
      <c r="C53" s="1113"/>
      <c r="D53" s="1113"/>
      <c r="E53" s="537"/>
      <c r="F53" s="537"/>
      <c r="G53" s="702"/>
      <c r="H53" s="702"/>
      <c r="I53" s="697"/>
      <c r="J53" s="698"/>
      <c r="K53" s="532"/>
      <c r="L53" s="1149"/>
      <c r="M53" s="1149"/>
      <c r="N53" s="1151"/>
      <c r="O53" s="529"/>
      <c r="P53" s="529"/>
      <c r="Q53" s="1154"/>
      <c r="R53" s="1139"/>
      <c r="S53" s="535"/>
      <c r="T53" s="530">
        <f t="shared" si="7"/>
        <v>0</v>
      </c>
      <c r="U53" s="529"/>
      <c r="V53" s="529"/>
      <c r="W53" s="529"/>
      <c r="X53" s="529"/>
      <c r="Y53" s="529"/>
      <c r="Z53" s="529"/>
      <c r="AA53" s="539"/>
      <c r="AB53" s="1123"/>
      <c r="AC53" s="534"/>
      <c r="AD53" s="1123"/>
      <c r="AE53" s="1114"/>
      <c r="AF53" s="1115"/>
      <c r="AG53" s="1115"/>
      <c r="AH53" s="520"/>
      <c r="AI53" s="712" t="str">
        <f t="shared" si="8"/>
        <v>-</v>
      </c>
      <c r="AJ53" s="498">
        <f t="shared" si="9"/>
        <v>0</v>
      </c>
    </row>
    <row r="54" spans="1:50" s="498" customFormat="1" ht="30" customHeight="1">
      <c r="A54" s="536">
        <f>ROWS(A$11:A54)</f>
        <v>44</v>
      </c>
      <c r="B54" s="1113"/>
      <c r="C54" s="1113"/>
      <c r="D54" s="1113"/>
      <c r="E54" s="537"/>
      <c r="F54" s="537"/>
      <c r="G54" s="702"/>
      <c r="H54" s="702"/>
      <c r="I54" s="697"/>
      <c r="J54" s="698"/>
      <c r="K54" s="532"/>
      <c r="L54" s="1149"/>
      <c r="M54" s="1149"/>
      <c r="N54" s="1151"/>
      <c r="O54" s="529"/>
      <c r="P54" s="529"/>
      <c r="Q54" s="1154"/>
      <c r="R54" s="1139"/>
      <c r="S54" s="535"/>
      <c r="T54" s="530">
        <f t="shared" si="7"/>
        <v>0</v>
      </c>
      <c r="U54" s="529"/>
      <c r="V54" s="529"/>
      <c r="W54" s="529"/>
      <c r="X54" s="529"/>
      <c r="Y54" s="529"/>
      <c r="Z54" s="529"/>
      <c r="AA54" s="539"/>
      <c r="AB54" s="1123"/>
      <c r="AC54" s="534"/>
      <c r="AD54" s="1123"/>
      <c r="AE54" s="1114"/>
      <c r="AF54" s="1115"/>
      <c r="AG54" s="1115"/>
      <c r="AH54" s="520"/>
      <c r="AI54" s="712" t="str">
        <f t="shared" si="8"/>
        <v>-</v>
      </c>
      <c r="AJ54" s="498">
        <f t="shared" si="9"/>
        <v>0</v>
      </c>
    </row>
    <row r="55" spans="1:50" s="498" customFormat="1" ht="30" customHeight="1">
      <c r="A55" s="536">
        <f>ROWS(A$11:A55)</f>
        <v>45</v>
      </c>
      <c r="B55" s="1113"/>
      <c r="C55" s="1113"/>
      <c r="D55" s="1113"/>
      <c r="E55" s="537"/>
      <c r="F55" s="537"/>
      <c r="G55" s="702"/>
      <c r="H55" s="702"/>
      <c r="I55" s="697"/>
      <c r="J55" s="698"/>
      <c r="K55" s="532"/>
      <c r="L55" s="1149"/>
      <c r="M55" s="1149"/>
      <c r="N55" s="1151"/>
      <c r="O55" s="529"/>
      <c r="P55" s="529"/>
      <c r="Q55" s="1154"/>
      <c r="R55" s="1139"/>
      <c r="S55" s="535"/>
      <c r="T55" s="530">
        <f t="shared" si="7"/>
        <v>0</v>
      </c>
      <c r="U55" s="529"/>
      <c r="V55" s="529"/>
      <c r="W55" s="529"/>
      <c r="X55" s="529"/>
      <c r="Y55" s="529"/>
      <c r="Z55" s="529"/>
      <c r="AA55" s="539"/>
      <c r="AB55" s="1123"/>
      <c r="AC55" s="534"/>
      <c r="AD55" s="1123"/>
      <c r="AE55" s="1114"/>
      <c r="AF55" s="1115"/>
      <c r="AG55" s="1115"/>
      <c r="AH55" s="520"/>
      <c r="AI55" s="712" t="str">
        <f t="shared" si="8"/>
        <v>-</v>
      </c>
      <c r="AJ55" s="498">
        <f t="shared" si="9"/>
        <v>0</v>
      </c>
    </row>
    <row r="56" spans="1:50" s="498" customFormat="1" ht="30" customHeight="1">
      <c r="A56" s="536">
        <f>ROWS(A$11:A56)</f>
        <v>46</v>
      </c>
      <c r="B56" s="1113"/>
      <c r="C56" s="1113"/>
      <c r="D56" s="1113"/>
      <c r="E56" s="537"/>
      <c r="F56" s="537"/>
      <c r="G56" s="702"/>
      <c r="H56" s="702"/>
      <c r="I56" s="697"/>
      <c r="J56" s="698"/>
      <c r="K56" s="532"/>
      <c r="L56" s="1149"/>
      <c r="M56" s="1149"/>
      <c r="N56" s="1151"/>
      <c r="O56" s="529"/>
      <c r="P56" s="529"/>
      <c r="Q56" s="1154"/>
      <c r="R56" s="1139"/>
      <c r="S56" s="535"/>
      <c r="T56" s="530">
        <f t="shared" si="7"/>
        <v>0</v>
      </c>
      <c r="U56" s="529"/>
      <c r="V56" s="529"/>
      <c r="W56" s="529"/>
      <c r="X56" s="529"/>
      <c r="Y56" s="529"/>
      <c r="Z56" s="529"/>
      <c r="AA56" s="539"/>
      <c r="AB56" s="1123"/>
      <c r="AC56" s="534"/>
      <c r="AD56" s="1123"/>
      <c r="AE56" s="1114"/>
      <c r="AF56" s="1115"/>
      <c r="AG56" s="1115"/>
      <c r="AH56" s="520"/>
      <c r="AI56" s="712" t="str">
        <f t="shared" si="8"/>
        <v>-</v>
      </c>
      <c r="AJ56" s="498">
        <f t="shared" si="9"/>
        <v>0</v>
      </c>
    </row>
    <row r="57" spans="1:50" s="498" customFormat="1" ht="30" customHeight="1">
      <c r="A57" s="536">
        <f>ROWS(A$11:A57)</f>
        <v>47</v>
      </c>
      <c r="B57" s="1113"/>
      <c r="C57" s="1113"/>
      <c r="D57" s="1113"/>
      <c r="E57" s="537"/>
      <c r="F57" s="537"/>
      <c r="G57" s="702"/>
      <c r="H57" s="702"/>
      <c r="I57" s="697"/>
      <c r="J57" s="698"/>
      <c r="K57" s="532"/>
      <c r="L57" s="1149"/>
      <c r="M57" s="1149"/>
      <c r="N57" s="1151"/>
      <c r="O57" s="529"/>
      <c r="P57" s="529"/>
      <c r="Q57" s="1154"/>
      <c r="R57" s="1139"/>
      <c r="S57" s="535"/>
      <c r="T57" s="530">
        <f t="shared" si="7"/>
        <v>0</v>
      </c>
      <c r="U57" s="529"/>
      <c r="V57" s="529"/>
      <c r="W57" s="529"/>
      <c r="X57" s="529"/>
      <c r="Y57" s="529"/>
      <c r="Z57" s="529"/>
      <c r="AA57" s="539"/>
      <c r="AB57" s="1123"/>
      <c r="AC57" s="534"/>
      <c r="AD57" s="1123"/>
      <c r="AE57" s="1114"/>
      <c r="AF57" s="1115"/>
      <c r="AG57" s="1115"/>
      <c r="AH57" s="520"/>
      <c r="AI57" s="712" t="str">
        <f t="shared" si="8"/>
        <v>-</v>
      </c>
      <c r="AJ57" s="498">
        <f t="shared" si="9"/>
        <v>0</v>
      </c>
    </row>
    <row r="58" spans="1:50" s="498" customFormat="1" ht="30" customHeight="1">
      <c r="A58" s="536">
        <f>ROWS(A$11:A58)</f>
        <v>48</v>
      </c>
      <c r="B58" s="1113"/>
      <c r="C58" s="1113"/>
      <c r="D58" s="1113"/>
      <c r="E58" s="537"/>
      <c r="F58" s="537"/>
      <c r="G58" s="702"/>
      <c r="H58" s="702"/>
      <c r="I58" s="697"/>
      <c r="J58" s="698"/>
      <c r="K58" s="532"/>
      <c r="L58" s="1149"/>
      <c r="M58" s="1149"/>
      <c r="N58" s="1151"/>
      <c r="O58" s="529"/>
      <c r="P58" s="529"/>
      <c r="Q58" s="1154"/>
      <c r="R58" s="1139"/>
      <c r="S58" s="535"/>
      <c r="T58" s="530">
        <f t="shared" si="7"/>
        <v>0</v>
      </c>
      <c r="U58" s="529"/>
      <c r="V58" s="529"/>
      <c r="W58" s="529"/>
      <c r="X58" s="529"/>
      <c r="Y58" s="529"/>
      <c r="Z58" s="529"/>
      <c r="AA58" s="539"/>
      <c r="AB58" s="1123"/>
      <c r="AC58" s="534"/>
      <c r="AD58" s="1123"/>
      <c r="AE58" s="1114"/>
      <c r="AF58" s="1115"/>
      <c r="AG58" s="1115"/>
      <c r="AH58" s="520"/>
      <c r="AI58" s="712" t="str">
        <f t="shared" si="8"/>
        <v>-</v>
      </c>
      <c r="AJ58" s="498">
        <f t="shared" si="9"/>
        <v>0</v>
      </c>
    </row>
    <row r="59" spans="1:50" s="498" customFormat="1" ht="30" customHeight="1">
      <c r="A59" s="536">
        <f>ROWS(A$11:A59)</f>
        <v>49</v>
      </c>
      <c r="B59" s="1113"/>
      <c r="C59" s="1113"/>
      <c r="D59" s="1113"/>
      <c r="E59" s="537"/>
      <c r="F59" s="537"/>
      <c r="G59" s="702"/>
      <c r="H59" s="702"/>
      <c r="I59" s="697"/>
      <c r="J59" s="698"/>
      <c r="K59" s="532"/>
      <c r="L59" s="1149"/>
      <c r="M59" s="1149"/>
      <c r="N59" s="1151"/>
      <c r="O59" s="529"/>
      <c r="P59" s="529"/>
      <c r="Q59" s="1154"/>
      <c r="R59" s="1139"/>
      <c r="S59" s="535"/>
      <c r="T59" s="530">
        <f t="shared" si="7"/>
        <v>0</v>
      </c>
      <c r="U59" s="529"/>
      <c r="V59" s="529"/>
      <c r="W59" s="529"/>
      <c r="X59" s="529"/>
      <c r="Y59" s="529"/>
      <c r="Z59" s="529"/>
      <c r="AA59" s="539"/>
      <c r="AB59" s="1123"/>
      <c r="AC59" s="534"/>
      <c r="AD59" s="1123"/>
      <c r="AE59" s="1114"/>
      <c r="AF59" s="1115"/>
      <c r="AG59" s="1115"/>
      <c r="AH59" s="520"/>
      <c r="AI59" s="712" t="str">
        <f t="shared" si="8"/>
        <v>-</v>
      </c>
      <c r="AJ59" s="498">
        <f t="shared" si="9"/>
        <v>0</v>
      </c>
    </row>
    <row r="60" spans="1:50" s="498" customFormat="1" ht="30" customHeight="1" thickBot="1">
      <c r="A60" s="533">
        <f>ROWS(A$11:A60)</f>
        <v>50</v>
      </c>
      <c r="B60" s="1121"/>
      <c r="C60" s="1121"/>
      <c r="D60" s="1121"/>
      <c r="E60" s="537"/>
      <c r="F60" s="709"/>
      <c r="G60" s="703"/>
      <c r="H60" s="703"/>
      <c r="I60" s="704"/>
      <c r="J60" s="705"/>
      <c r="K60" s="532"/>
      <c r="L60" s="1149"/>
      <c r="M60" s="1149"/>
      <c r="N60" s="1152"/>
      <c r="O60" s="529"/>
      <c r="P60" s="529"/>
      <c r="Q60" s="1155"/>
      <c r="R60" s="1139"/>
      <c r="S60" s="531"/>
      <c r="T60" s="530">
        <f t="shared" si="7"/>
        <v>0</v>
      </c>
      <c r="U60" s="528"/>
      <c r="V60" s="528"/>
      <c r="W60" s="528"/>
      <c r="X60" s="528"/>
      <c r="Y60" s="529"/>
      <c r="Z60" s="528"/>
      <c r="AA60" s="539"/>
      <c r="AB60" s="1124"/>
      <c r="AC60" s="527"/>
      <c r="AD60" s="1124"/>
      <c r="AE60" s="1114"/>
      <c r="AF60" s="1115"/>
      <c r="AG60" s="1115"/>
      <c r="AH60" s="520"/>
      <c r="AI60" s="712" t="str">
        <f t="shared" si="8"/>
        <v>-</v>
      </c>
      <c r="AJ60" s="498">
        <f t="shared" si="9"/>
        <v>0</v>
      </c>
    </row>
    <row r="61" spans="1:50" s="498" customFormat="1" ht="36.75" customHeight="1" thickBot="1">
      <c r="A61" s="526"/>
      <c r="B61" s="1119" t="s">
        <v>518</v>
      </c>
      <c r="C61" s="1120"/>
      <c r="D61" s="1120"/>
      <c r="E61" s="1120"/>
      <c r="F61" s="1120"/>
      <c r="G61" s="1120"/>
      <c r="H61" s="1120"/>
      <c r="I61" s="1120"/>
      <c r="J61" s="1120"/>
      <c r="K61" s="525">
        <f>SUM(K11:K60)</f>
        <v>0</v>
      </c>
      <c r="L61" s="731"/>
      <c r="M61" s="731"/>
      <c r="N61" s="732"/>
      <c r="O61" s="523">
        <f>SUM(O11:O60)</f>
        <v>0</v>
      </c>
      <c r="P61" s="523">
        <f>SUM(P11:P60)</f>
        <v>0</v>
      </c>
      <c r="Q61" s="523">
        <f>K61-(L61-M61)-N61-O61+P61</f>
        <v>0</v>
      </c>
      <c r="R61" s="733"/>
      <c r="S61" s="525">
        <f>ROUNDDOWN(SUM(S11:S60),-3)</f>
        <v>0</v>
      </c>
      <c r="T61" s="523">
        <f t="shared" si="7"/>
        <v>0</v>
      </c>
      <c r="U61" s="523">
        <f>SUM(U11:U60)</f>
        <v>0</v>
      </c>
      <c r="V61" s="523">
        <f>SUM(V11:V60)</f>
        <v>0</v>
      </c>
      <c r="W61" s="523">
        <f>SUM(W11:W60)</f>
        <v>0</v>
      </c>
      <c r="X61" s="523">
        <f>SUM(X11:X60)</f>
        <v>0</v>
      </c>
      <c r="Y61" s="524"/>
      <c r="Z61" s="524"/>
      <c r="AA61" s="523">
        <f>SUM(AA11:AA60)</f>
        <v>0</v>
      </c>
      <c r="AB61" s="733"/>
      <c r="AC61" s="522">
        <f>SUM(AC11:AC60)</f>
        <v>0</v>
      </c>
      <c r="AD61" s="521">
        <f>S61-T61-X61-AA61-AB61-AC61</f>
        <v>0</v>
      </c>
      <c r="AE61" s="1134"/>
      <c r="AF61" s="1135"/>
      <c r="AG61" s="1135"/>
      <c r="AH61" s="520"/>
    </row>
    <row r="62" spans="1:50" ht="12.75" thickBot="1">
      <c r="P62" s="519"/>
    </row>
    <row r="63" spans="1:50" s="498" customFormat="1" ht="69.75" customHeight="1" thickBot="1">
      <c r="B63" s="511"/>
      <c r="C63" s="511"/>
      <c r="D63" s="511"/>
      <c r="E63" s="511"/>
      <c r="F63" s="511"/>
      <c r="G63" s="511"/>
      <c r="H63" s="511"/>
      <c r="I63" s="511"/>
      <c r="J63" s="511"/>
      <c r="K63" s="511"/>
      <c r="L63" s="511"/>
      <c r="M63" s="511"/>
      <c r="N63" s="511"/>
      <c r="O63" s="511"/>
      <c r="P63" s="511"/>
      <c r="Q63" s="511"/>
      <c r="R63" s="511"/>
      <c r="S63" s="1136" t="s">
        <v>517</v>
      </c>
      <c r="T63" s="1137"/>
      <c r="U63" s="1137"/>
      <c r="V63" s="1137"/>
      <c r="W63" s="1138"/>
      <c r="X63" s="518" t="e">
        <f>(U61+V61+X61)/(T61+X61)</f>
        <v>#DIV/0!</v>
      </c>
      <c r="Y63" s="517" t="str">
        <f>IFERROR(IF(X63&gt;=1/2,"○","×"),"")</f>
        <v/>
      </c>
      <c r="Z63" s="511"/>
      <c r="AA63" s="1136" t="s">
        <v>516</v>
      </c>
      <c r="AB63" s="1137"/>
      <c r="AC63" s="1138"/>
      <c r="AD63" s="516" t="str">
        <f>IFERROR(IF(AD61&gt;=Q61,"○","×"),"")</f>
        <v>○</v>
      </c>
      <c r="AE63" s="511"/>
      <c r="AF63" s="511"/>
      <c r="AG63" s="515"/>
      <c r="AH63" s="512"/>
      <c r="AI63" s="514"/>
      <c r="AJ63" s="514"/>
      <c r="AK63" s="514"/>
      <c r="AL63" s="514"/>
      <c r="AM63" s="511"/>
    </row>
    <row r="64" spans="1:50" s="498" customFormat="1" ht="24" customHeight="1">
      <c r="B64" s="511"/>
      <c r="C64" s="511"/>
      <c r="D64" s="511"/>
      <c r="E64" s="511"/>
      <c r="F64" s="511"/>
      <c r="G64" s="511"/>
      <c r="H64" s="511"/>
      <c r="I64" s="511"/>
      <c r="J64" s="511"/>
      <c r="K64" s="513"/>
      <c r="L64" s="513"/>
      <c r="M64" s="513"/>
      <c r="N64" s="511"/>
      <c r="O64" s="511"/>
      <c r="P64" s="511"/>
      <c r="Q64" s="511"/>
      <c r="R64" s="511"/>
      <c r="S64" s="511"/>
      <c r="T64" s="511"/>
      <c r="U64" s="511"/>
      <c r="V64" s="511"/>
      <c r="W64" s="511"/>
      <c r="X64" s="511"/>
      <c r="Y64" s="511"/>
      <c r="Z64" s="511"/>
      <c r="AA64" s="511"/>
      <c r="AB64" s="512"/>
      <c r="AC64" s="512"/>
      <c r="AD64" s="511"/>
    </row>
    <row r="65" spans="1:42" s="501" customFormat="1" ht="19.5" customHeight="1">
      <c r="A65" s="1117" t="s">
        <v>515</v>
      </c>
      <c r="B65" s="1117"/>
      <c r="C65" s="1117"/>
      <c r="D65" s="1117"/>
      <c r="E65" s="1117"/>
      <c r="F65" s="507"/>
      <c r="G65" s="507"/>
      <c r="H65" s="507"/>
      <c r="I65" s="507"/>
      <c r="J65" s="507"/>
      <c r="K65" s="507"/>
      <c r="L65" s="507"/>
      <c r="M65" s="507"/>
      <c r="N65" s="507"/>
      <c r="O65" s="507"/>
      <c r="P65" s="511"/>
      <c r="Q65" s="507"/>
      <c r="R65" s="507"/>
      <c r="S65" s="507"/>
      <c r="T65" s="507"/>
      <c r="U65" s="507"/>
      <c r="V65" s="507"/>
      <c r="W65" s="507"/>
      <c r="X65" s="507"/>
      <c r="Y65" s="507"/>
      <c r="Z65" s="507"/>
      <c r="AA65" s="507"/>
      <c r="AB65" s="507"/>
      <c r="AC65" s="507"/>
      <c r="AD65" s="507"/>
      <c r="AE65" s="507"/>
      <c r="AF65" s="507"/>
      <c r="AG65" s="507"/>
      <c r="AH65" s="507"/>
      <c r="AI65" s="507"/>
      <c r="AJ65" s="507"/>
      <c r="AK65" s="507"/>
      <c r="AL65" s="507"/>
      <c r="AM65" s="506"/>
      <c r="AN65" s="506"/>
      <c r="AO65" s="506"/>
      <c r="AP65" s="505"/>
    </row>
    <row r="66" spans="1:42" s="501" customFormat="1" ht="19.899999999999999" customHeight="1">
      <c r="A66" s="1117" t="s">
        <v>514</v>
      </c>
      <c r="B66" s="1117"/>
      <c r="C66" s="1117"/>
      <c r="D66" s="1117"/>
      <c r="E66" s="1117"/>
      <c r="F66" s="1117"/>
      <c r="G66" s="1117"/>
      <c r="H66" s="1117"/>
      <c r="I66" s="1117"/>
      <c r="J66" s="1117"/>
      <c r="K66" s="1117"/>
      <c r="L66" s="1117"/>
      <c r="M66" s="1117"/>
      <c r="N66" s="1117"/>
      <c r="O66" s="1117"/>
      <c r="P66" s="1117"/>
      <c r="Q66" s="1117"/>
      <c r="R66" s="1117"/>
      <c r="S66" s="1117"/>
      <c r="T66" s="1117"/>
      <c r="U66" s="1117"/>
      <c r="V66" s="1117"/>
      <c r="W66" s="1117"/>
      <c r="X66" s="1117"/>
      <c r="Y66" s="1117"/>
      <c r="Z66" s="1117"/>
      <c r="AA66" s="509"/>
      <c r="AB66" s="509"/>
      <c r="AC66" s="509"/>
      <c r="AD66" s="510"/>
      <c r="AE66" s="510"/>
      <c r="AF66" s="510"/>
      <c r="AG66" s="510"/>
      <c r="AH66" s="509"/>
      <c r="AI66" s="510"/>
      <c r="AJ66" s="510"/>
      <c r="AK66" s="510"/>
      <c r="AL66" s="510"/>
      <c r="AM66" s="506"/>
      <c r="AN66" s="506"/>
      <c r="AO66" s="506"/>
      <c r="AP66" s="505"/>
    </row>
    <row r="67" spans="1:42" s="501" customFormat="1" ht="19.899999999999999" customHeight="1">
      <c r="A67" s="1117" t="s">
        <v>513</v>
      </c>
      <c r="B67" s="1117"/>
      <c r="C67" s="1117"/>
      <c r="D67" s="1117"/>
      <c r="E67" s="1117"/>
      <c r="F67" s="1117"/>
      <c r="G67" s="1117"/>
      <c r="H67" s="1117"/>
      <c r="I67" s="1117"/>
      <c r="J67" s="1117"/>
      <c r="K67" s="1117"/>
      <c r="L67" s="1117"/>
      <c r="M67" s="1117"/>
      <c r="N67" s="1117"/>
      <c r="O67" s="1117"/>
      <c r="P67" s="1117"/>
      <c r="Q67" s="1117"/>
      <c r="R67" s="1117"/>
      <c r="S67" s="1117"/>
      <c r="T67" s="1117"/>
      <c r="U67" s="1117"/>
      <c r="V67" s="1117"/>
      <c r="W67" s="1117"/>
      <c r="X67" s="1117"/>
      <c r="Y67" s="1117"/>
      <c r="Z67" s="1117"/>
      <c r="AA67" s="509"/>
      <c r="AB67" s="509"/>
      <c r="AC67" s="509"/>
      <c r="AD67" s="507"/>
      <c r="AE67" s="507"/>
      <c r="AF67" s="507"/>
      <c r="AG67" s="507"/>
      <c r="AH67" s="509"/>
      <c r="AI67" s="507"/>
      <c r="AJ67" s="507"/>
      <c r="AK67" s="507"/>
      <c r="AL67" s="507"/>
      <c r="AM67" s="506"/>
      <c r="AN67" s="506"/>
      <c r="AO67" s="506"/>
      <c r="AP67" s="505"/>
    </row>
    <row r="68" spans="1:42" s="501" customFormat="1" ht="19.899999999999999" customHeight="1">
      <c r="A68" s="502" t="s">
        <v>512</v>
      </c>
      <c r="B68" s="1118" t="s">
        <v>511</v>
      </c>
      <c r="C68" s="1118"/>
      <c r="D68" s="1118"/>
      <c r="E68" s="1118"/>
      <c r="F68" s="1118"/>
      <c r="G68" s="1118"/>
      <c r="H68" s="1118"/>
      <c r="I68" s="1118"/>
      <c r="J68" s="1118"/>
      <c r="K68" s="1118"/>
      <c r="L68" s="1118"/>
      <c r="M68" s="1118"/>
      <c r="N68" s="1118"/>
      <c r="O68" s="1118"/>
      <c r="P68" s="1118"/>
      <c r="Q68" s="1118"/>
      <c r="R68" s="1118"/>
      <c r="S68" s="1118"/>
      <c r="T68" s="1118"/>
      <c r="U68" s="1118"/>
      <c r="V68" s="1118"/>
      <c r="W68" s="1118"/>
      <c r="X68" s="1118"/>
      <c r="Y68" s="1118"/>
      <c r="Z68" s="1118"/>
      <c r="AA68" s="508"/>
      <c r="AB68" s="508"/>
      <c r="AC68" s="508"/>
      <c r="AD68" s="507"/>
      <c r="AE68" s="507"/>
      <c r="AF68" s="507"/>
      <c r="AG68" s="507"/>
      <c r="AH68" s="508"/>
      <c r="AI68" s="507"/>
      <c r="AJ68" s="507"/>
      <c r="AK68" s="507"/>
      <c r="AL68" s="507"/>
      <c r="AM68" s="506"/>
      <c r="AN68" s="506"/>
      <c r="AO68" s="506"/>
      <c r="AP68" s="505"/>
    </row>
    <row r="69" spans="1:42" s="503" customFormat="1" ht="19.899999999999999" customHeight="1">
      <c r="A69" s="502" t="s">
        <v>510</v>
      </c>
      <c r="B69" s="1133" t="s">
        <v>509</v>
      </c>
      <c r="C69" s="1133"/>
      <c r="D69" s="1133"/>
      <c r="E69" s="1133"/>
      <c r="F69" s="1133"/>
      <c r="G69" s="1133"/>
      <c r="H69" s="1133"/>
      <c r="I69" s="1133"/>
      <c r="J69" s="1133"/>
      <c r="K69" s="1133"/>
      <c r="L69" s="1133"/>
      <c r="M69" s="1133"/>
      <c r="N69" s="1133"/>
      <c r="O69" s="1133"/>
      <c r="P69" s="1133"/>
      <c r="Q69" s="1133"/>
      <c r="R69" s="1133"/>
      <c r="S69" s="1133"/>
      <c r="T69" s="1133"/>
      <c r="U69" s="1133"/>
      <c r="V69" s="1133"/>
      <c r="W69" s="1133"/>
      <c r="X69" s="1133"/>
      <c r="Y69" s="1133"/>
      <c r="Z69" s="1133"/>
      <c r="AA69" s="504"/>
      <c r="AB69" s="504"/>
      <c r="AC69" s="504"/>
      <c r="AH69" s="504"/>
    </row>
    <row r="70" spans="1:42" s="503" customFormat="1" ht="19.899999999999999" customHeight="1">
      <c r="A70" s="502"/>
      <c r="B70" s="1133" t="s">
        <v>508</v>
      </c>
      <c r="C70" s="1133"/>
      <c r="D70" s="1133"/>
      <c r="E70" s="1133"/>
      <c r="F70" s="1133"/>
      <c r="G70" s="1133"/>
      <c r="H70" s="1133"/>
      <c r="I70" s="1133"/>
      <c r="J70" s="1133"/>
      <c r="K70" s="1133"/>
      <c r="L70" s="1133"/>
      <c r="M70" s="1133"/>
      <c r="N70" s="1133"/>
      <c r="O70" s="1133"/>
      <c r="P70" s="1133"/>
      <c r="Q70" s="1133"/>
      <c r="R70" s="1133"/>
      <c r="S70" s="1133"/>
      <c r="T70" s="1133"/>
      <c r="U70" s="1133"/>
      <c r="V70" s="1133"/>
      <c r="W70" s="1133"/>
      <c r="X70" s="1133"/>
      <c r="Y70" s="1133"/>
      <c r="Z70" s="1133"/>
      <c r="AA70" s="504"/>
      <c r="AB70" s="504"/>
      <c r="AC70" s="504"/>
      <c r="AH70" s="504"/>
      <c r="AM70" s="504"/>
      <c r="AN70" s="504"/>
      <c r="AO70" s="504"/>
      <c r="AP70" s="504"/>
    </row>
    <row r="71" spans="1:42" s="499" customFormat="1" ht="19.899999999999999" customHeight="1">
      <c r="A71" s="502" t="s">
        <v>507</v>
      </c>
      <c r="B71" s="1116" t="s">
        <v>506</v>
      </c>
      <c r="C71" s="1116"/>
      <c r="D71" s="1116"/>
      <c r="E71" s="1116"/>
      <c r="F71" s="1116"/>
      <c r="G71" s="1116"/>
      <c r="H71" s="1116"/>
      <c r="I71" s="1116"/>
      <c r="J71" s="1116"/>
      <c r="K71" s="1116"/>
      <c r="L71" s="1116"/>
      <c r="M71" s="1116"/>
      <c r="N71" s="1116"/>
      <c r="O71" s="1116"/>
      <c r="P71" s="1116"/>
      <c r="Q71" s="1116"/>
      <c r="R71" s="1116"/>
      <c r="S71" s="1116"/>
      <c r="T71" s="1116"/>
      <c r="U71" s="1116"/>
      <c r="V71" s="1116"/>
      <c r="W71" s="1116"/>
      <c r="X71" s="1116"/>
      <c r="Y71" s="1116"/>
      <c r="Z71" s="1116"/>
      <c r="AA71" s="502"/>
      <c r="AB71" s="502"/>
      <c r="AC71" s="502"/>
      <c r="AH71" s="502"/>
    </row>
    <row r="72" spans="1:42" s="501" customFormat="1" ht="19.899999999999999" customHeight="1">
      <c r="A72" s="502"/>
      <c r="B72" s="1116" t="s">
        <v>505</v>
      </c>
      <c r="C72" s="1116"/>
      <c r="D72" s="1116"/>
      <c r="E72" s="1116"/>
      <c r="F72" s="1116"/>
      <c r="G72" s="1116"/>
      <c r="H72" s="1116"/>
      <c r="I72" s="1116"/>
      <c r="J72" s="1116"/>
      <c r="K72" s="1116"/>
      <c r="L72" s="1116"/>
      <c r="M72" s="1116"/>
      <c r="N72" s="1116"/>
      <c r="O72" s="1116"/>
      <c r="P72" s="1116"/>
      <c r="Q72" s="1116"/>
      <c r="R72" s="1116"/>
      <c r="S72" s="1116"/>
      <c r="T72" s="1116"/>
      <c r="U72" s="1116"/>
      <c r="V72" s="1116"/>
      <c r="W72" s="1116"/>
      <c r="X72" s="1116"/>
      <c r="Y72" s="1116"/>
      <c r="Z72" s="1116"/>
      <c r="AA72" s="502"/>
      <c r="AB72" s="502"/>
      <c r="AC72" s="502"/>
      <c r="AD72" s="499"/>
      <c r="AE72" s="499"/>
      <c r="AF72" s="499"/>
      <c r="AG72" s="499"/>
      <c r="AH72" s="502"/>
      <c r="AI72" s="499"/>
      <c r="AJ72" s="499"/>
      <c r="AK72" s="499"/>
      <c r="AL72" s="499"/>
      <c r="AM72" s="499"/>
      <c r="AN72" s="499"/>
      <c r="AO72" s="499"/>
      <c r="AP72" s="499"/>
    </row>
    <row r="73" spans="1:42" s="498" customFormat="1" ht="19.899999999999999" customHeight="1">
      <c r="A73" s="500" t="s">
        <v>717</v>
      </c>
      <c r="B73" s="500" t="s">
        <v>714</v>
      </c>
      <c r="C73" s="497"/>
      <c r="D73" s="497"/>
      <c r="E73" s="497"/>
      <c r="F73" s="497"/>
      <c r="G73" s="497"/>
      <c r="H73" s="497"/>
      <c r="I73" s="497"/>
      <c r="J73" s="497"/>
      <c r="K73" s="497"/>
      <c r="L73" s="497"/>
      <c r="M73" s="497"/>
      <c r="N73" s="497"/>
      <c r="O73" s="497"/>
      <c r="P73" s="499"/>
      <c r="Q73" s="497"/>
      <c r="R73" s="497"/>
      <c r="S73" s="497"/>
      <c r="T73" s="497"/>
      <c r="U73" s="497"/>
      <c r="V73" s="497"/>
      <c r="W73" s="497"/>
      <c r="X73" s="497"/>
      <c r="Y73" s="497"/>
      <c r="Z73" s="497"/>
      <c r="AA73" s="497"/>
      <c r="AB73" s="497"/>
      <c r="AC73" s="497"/>
      <c r="AD73" s="497"/>
      <c r="AE73" s="497"/>
      <c r="AF73" s="497"/>
      <c r="AG73" s="497"/>
      <c r="AH73" s="497"/>
      <c r="AI73" s="497"/>
      <c r="AJ73" s="497"/>
      <c r="AK73" s="497"/>
      <c r="AL73" s="497"/>
      <c r="AM73" s="497"/>
      <c r="AN73" s="497"/>
      <c r="AO73" s="497"/>
      <c r="AP73" s="497"/>
    </row>
    <row r="74" spans="1:42" ht="12" customHeight="1">
      <c r="B74" s="495"/>
      <c r="C74" s="495"/>
      <c r="D74" s="495"/>
      <c r="E74" s="495"/>
      <c r="F74" s="495"/>
      <c r="G74" s="495"/>
      <c r="H74" s="495"/>
      <c r="I74" s="495"/>
      <c r="J74" s="495"/>
      <c r="K74" s="495"/>
      <c r="L74" s="495"/>
      <c r="M74" s="495"/>
      <c r="N74" s="495"/>
      <c r="O74" s="495"/>
      <c r="P74" s="497"/>
      <c r="Q74" s="495"/>
      <c r="R74" s="495"/>
      <c r="S74" s="495"/>
      <c r="T74" s="495"/>
      <c r="U74" s="495"/>
      <c r="V74" s="495"/>
      <c r="W74" s="495"/>
      <c r="X74" s="495"/>
      <c r="Y74" s="495"/>
      <c r="Z74" s="495"/>
      <c r="AA74" s="495"/>
      <c r="AB74" s="495"/>
      <c r="AC74" s="495"/>
      <c r="AD74" s="495"/>
      <c r="AE74" s="495"/>
      <c r="AF74" s="495"/>
      <c r="AG74" s="495"/>
      <c r="AH74" s="495"/>
      <c r="AI74" s="495"/>
      <c r="AJ74" s="495"/>
      <c r="AK74" s="495"/>
      <c r="AL74" s="495"/>
      <c r="AM74" s="495"/>
      <c r="AN74" s="495"/>
      <c r="AO74" s="495"/>
      <c r="AP74" s="495"/>
    </row>
    <row r="75" spans="1:42" ht="12" customHeight="1">
      <c r="B75" s="495"/>
      <c r="C75" s="495"/>
      <c r="D75" s="495"/>
      <c r="E75" s="495"/>
      <c r="F75" s="495"/>
      <c r="G75" s="495"/>
      <c r="H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row>
    <row r="76" spans="1:42" ht="12" customHeight="1">
      <c r="B76" s="495"/>
      <c r="C76" s="495"/>
      <c r="D76" s="495"/>
      <c r="E76" s="495"/>
      <c r="F76" s="495"/>
      <c r="G76" s="495"/>
      <c r="H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95"/>
      <c r="AL76" s="495"/>
      <c r="AM76" s="495"/>
      <c r="AN76" s="495"/>
      <c r="AO76" s="495"/>
      <c r="AP76" s="495"/>
    </row>
    <row r="77" spans="1:42" ht="12" customHeight="1">
      <c r="B77" s="496"/>
      <c r="C77" s="495"/>
      <c r="D77" s="495"/>
      <c r="E77" s="495"/>
      <c r="F77" s="495"/>
      <c r="G77" s="495"/>
      <c r="H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c r="AL77" s="495"/>
      <c r="AM77" s="495"/>
      <c r="AN77" s="495"/>
      <c r="AO77" s="495"/>
      <c r="AP77" s="495"/>
    </row>
    <row r="78" spans="1:42" ht="18.75">
      <c r="B78" s="494"/>
      <c r="C78" s="494"/>
      <c r="D78" s="494"/>
      <c r="E78" s="494"/>
      <c r="F78" s="494"/>
      <c r="G78" s="494"/>
      <c r="H78" s="494"/>
      <c r="I78" s="494"/>
      <c r="J78" s="494"/>
      <c r="K78" s="494"/>
      <c r="L78" s="494"/>
      <c r="M78" s="494"/>
      <c r="N78" s="494"/>
      <c r="O78" s="494"/>
      <c r="P78" s="495"/>
      <c r="Q78" s="494"/>
      <c r="R78" s="494"/>
      <c r="S78" s="494"/>
      <c r="T78" s="599" t="s">
        <v>620</v>
      </c>
      <c r="U78" s="494"/>
      <c r="V78" s="494"/>
      <c r="W78" s="494"/>
      <c r="X78" s="494"/>
      <c r="Y78" s="494"/>
      <c r="Z78" s="494"/>
      <c r="AA78" s="494"/>
      <c r="AB78" s="494"/>
      <c r="AC78" s="494"/>
      <c r="AD78" s="494"/>
      <c r="AE78" s="494"/>
      <c r="AF78" s="494"/>
      <c r="AG78" s="494"/>
      <c r="AH78" s="494"/>
      <c r="AI78" s="494"/>
      <c r="AJ78" s="494"/>
      <c r="AK78" s="494"/>
      <c r="AL78" s="494"/>
      <c r="AM78" s="494"/>
      <c r="AN78" s="494"/>
      <c r="AO78" s="494"/>
      <c r="AP78" s="494"/>
    </row>
    <row r="79" spans="1:42" ht="24" customHeight="1">
      <c r="F79" s="493" t="s">
        <v>604</v>
      </c>
      <c r="P79" s="494"/>
      <c r="T79" s="600" t="e">
        <f>様式4!$AZ$18/様式4!$AZ$19*$L$61</f>
        <v>#DIV/0!</v>
      </c>
      <c r="Y79" s="728" t="s">
        <v>721</v>
      </c>
    </row>
    <row r="80" spans="1:42">
      <c r="F80" s="493" t="s">
        <v>605</v>
      </c>
      <c r="Y80" s="728" t="s">
        <v>722</v>
      </c>
    </row>
    <row r="81" spans="6:25">
      <c r="F81" s="493" t="s">
        <v>606</v>
      </c>
      <c r="Y81" s="728" t="s">
        <v>723</v>
      </c>
    </row>
    <row r="82" spans="6:25">
      <c r="F82" s="493" t="s">
        <v>607</v>
      </c>
    </row>
    <row r="83" spans="6:25">
      <c r="F83" s="493" t="s">
        <v>608</v>
      </c>
    </row>
    <row r="84" spans="6:25">
      <c r="F84" s="493" t="s">
        <v>609</v>
      </c>
    </row>
    <row r="85" spans="6:25">
      <c r="F85" s="493" t="s">
        <v>610</v>
      </c>
    </row>
    <row r="86" spans="6:25">
      <c r="F86" s="493" t="s">
        <v>611</v>
      </c>
    </row>
    <row r="87" spans="6:25">
      <c r="F87" s="493" t="s">
        <v>612</v>
      </c>
    </row>
    <row r="88" spans="6:25">
      <c r="F88" s="493" t="s">
        <v>613</v>
      </c>
    </row>
    <row r="89" spans="6:25">
      <c r="F89" s="493" t="s">
        <v>614</v>
      </c>
    </row>
    <row r="90" spans="6:25">
      <c r="F90" s="493" t="s">
        <v>615</v>
      </c>
    </row>
    <row r="91" spans="6:25">
      <c r="F91" s="493" t="s">
        <v>616</v>
      </c>
    </row>
    <row r="92" spans="6:25">
      <c r="F92" s="493" t="s">
        <v>617</v>
      </c>
    </row>
    <row r="93" spans="6:25">
      <c r="F93" s="493" t="s">
        <v>618</v>
      </c>
    </row>
    <row r="94" spans="6:25">
      <c r="F94" s="493" t="s">
        <v>619</v>
      </c>
    </row>
  </sheetData>
  <sheetProtection algorithmName="SHA-512" hashValue="l48Wg7+9LFXEloCJrsXlX2mcJCqhF2hAOd7m8HjTyZmMyERFKWcCpF+/DgyBe/1spOjGUGMiXoSCbtg/xHZciQ==" saltValue="EDYS+m67qKKRx3dSy8BS0g==" spinCount="100000" sheet="1" formatCells="0" insertColumns="0" insertRows="0" selectLockedCells="1"/>
  <mergeCells count="155">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 ref="AB8:AB10"/>
    <mergeCell ref="AC8:AC10"/>
    <mergeCell ref="AD8:AD10"/>
    <mergeCell ref="AE1:AE3"/>
    <mergeCell ref="R9:R10"/>
    <mergeCell ref="T9:W9"/>
    <mergeCell ref="X9:X10"/>
    <mergeCell ref="Y9:Y10"/>
    <mergeCell ref="Z9:Z10"/>
    <mergeCell ref="B45:D45"/>
    <mergeCell ref="AE15:AG15"/>
    <mergeCell ref="AE12:AG12"/>
    <mergeCell ref="R11:R60"/>
    <mergeCell ref="AE47:AG47"/>
    <mergeCell ref="AE59:AG59"/>
    <mergeCell ref="S8:S10"/>
    <mergeCell ref="T8:W8"/>
    <mergeCell ref="B13:D13"/>
    <mergeCell ref="AE13:AG13"/>
    <mergeCell ref="B14:D14"/>
    <mergeCell ref="AE14:AG14"/>
    <mergeCell ref="B15:D15"/>
    <mergeCell ref="B11:D11"/>
    <mergeCell ref="L11:L60"/>
    <mergeCell ref="M11:M60"/>
    <mergeCell ref="N11:N60"/>
    <mergeCell ref="Q11:Q60"/>
    <mergeCell ref="B36:D36"/>
    <mergeCell ref="AE36:AG36"/>
    <mergeCell ref="B37:D37"/>
    <mergeCell ref="AE37:AG37"/>
    <mergeCell ref="B38:D38"/>
    <mergeCell ref="AE38:AG38"/>
    <mergeCell ref="B41:D41"/>
    <mergeCell ref="AE41:AG41"/>
    <mergeCell ref="B42:D42"/>
    <mergeCell ref="AE42:AG42"/>
    <mergeCell ref="B43:D43"/>
    <mergeCell ref="B39:D39"/>
    <mergeCell ref="AE43:AG43"/>
    <mergeCell ref="B44:D44"/>
    <mergeCell ref="AE44:AG44"/>
    <mergeCell ref="AB11:AB60"/>
    <mergeCell ref="AE45:AG45"/>
    <mergeCell ref="AE16:AG16"/>
    <mergeCell ref="B17:D17"/>
    <mergeCell ref="AE17:AG17"/>
    <mergeCell ref="B18:D18"/>
    <mergeCell ref="AE18:AG18"/>
    <mergeCell ref="B19:D19"/>
    <mergeCell ref="AE19:AG19"/>
    <mergeCell ref="B20:D20"/>
    <mergeCell ref="AE20:AG20"/>
    <mergeCell ref="B21:D21"/>
    <mergeCell ref="AE21:AG21"/>
    <mergeCell ref="B22:D22"/>
    <mergeCell ref="AE22:AG22"/>
    <mergeCell ref="P8:P10"/>
    <mergeCell ref="B69:Z69"/>
    <mergeCell ref="B70:Z70"/>
    <mergeCell ref="B71:Z71"/>
    <mergeCell ref="B53:D53"/>
    <mergeCell ref="AE53:AG53"/>
    <mergeCell ref="B54:D54"/>
    <mergeCell ref="AE54:AG54"/>
    <mergeCell ref="AE61:AG61"/>
    <mergeCell ref="S63:W63"/>
    <mergeCell ref="AA63:AC63"/>
    <mergeCell ref="B58:D58"/>
    <mergeCell ref="AE58:AG58"/>
    <mergeCell ref="B59:D59"/>
    <mergeCell ref="B47:D47"/>
    <mergeCell ref="B51:D51"/>
    <mergeCell ref="AE55:AG55"/>
    <mergeCell ref="B56:D56"/>
    <mergeCell ref="AE56:AG56"/>
    <mergeCell ref="B57:D57"/>
    <mergeCell ref="AE57:AG57"/>
    <mergeCell ref="AE51:AG51"/>
    <mergeCell ref="B52:D52"/>
    <mergeCell ref="AE52:AG52"/>
    <mergeCell ref="B72:Z72"/>
    <mergeCell ref="A65:E65"/>
    <mergeCell ref="A66:Z66"/>
    <mergeCell ref="A67:Z67"/>
    <mergeCell ref="B68:Z68"/>
    <mergeCell ref="B55:D55"/>
    <mergeCell ref="B61:J61"/>
    <mergeCell ref="B60:D60"/>
    <mergeCell ref="AE60:AG60"/>
    <mergeCell ref="AD11:AD60"/>
    <mergeCell ref="AE11:AG11"/>
    <mergeCell ref="B12:D12"/>
    <mergeCell ref="B48:D48"/>
    <mergeCell ref="AE48:AG48"/>
    <mergeCell ref="B49:D49"/>
    <mergeCell ref="AE49:AG49"/>
    <mergeCell ref="B50:D50"/>
    <mergeCell ref="AE50:AG50"/>
    <mergeCell ref="B46:D46"/>
    <mergeCell ref="AE46:AG46"/>
    <mergeCell ref="AE39:AG39"/>
    <mergeCell ref="B40:D40"/>
    <mergeCell ref="AE40:AG40"/>
    <mergeCell ref="B16:D16"/>
    <mergeCell ref="B23:D23"/>
    <mergeCell ref="AE23:AG23"/>
    <mergeCell ref="B24:D24"/>
    <mergeCell ref="AE24:AG24"/>
    <mergeCell ref="B25:D25"/>
    <mergeCell ref="AE25:AG25"/>
    <mergeCell ref="B26:D26"/>
    <mergeCell ref="AE26:AG26"/>
    <mergeCell ref="B27:D27"/>
    <mergeCell ref="AE27:AG27"/>
    <mergeCell ref="B33:D33"/>
    <mergeCell ref="AE33:AG33"/>
    <mergeCell ref="B34:D34"/>
    <mergeCell ref="AE34:AG34"/>
    <mergeCell ref="B35:D35"/>
    <mergeCell ref="AE35:AG35"/>
    <mergeCell ref="B28:D28"/>
    <mergeCell ref="AE28:AG28"/>
    <mergeCell ref="B29:D29"/>
    <mergeCell ref="AE29:AG29"/>
    <mergeCell ref="B30:D30"/>
    <mergeCell ref="AE30:AG30"/>
    <mergeCell ref="B31:D31"/>
    <mergeCell ref="AE31:AG31"/>
    <mergeCell ref="B32:D32"/>
    <mergeCell ref="AE32:AG32"/>
  </mergeCells>
  <phoneticPr fontId="4"/>
  <conditionalFormatting sqref="K11:O11 Q11 S11:W11 AB11:AD11 B11:F60 X11:AA60 AE11:AG61 K12:M60 O12:O60 S12:S60 U12:W60 T12:T61 B61 K61:O61 Q61:S61 U61:AB61 AD61">
    <cfRule type="containsBlanks" dxfId="2" priority="8">
      <formula>LEN(TRIM(B11))=0</formula>
    </cfRule>
  </conditionalFormatting>
  <conditionalFormatting sqref="P11:P61">
    <cfRule type="containsBlanks" dxfId="1" priority="6">
      <formula>LEN(TRIM(P11))=0</formula>
    </cfRule>
  </conditionalFormatting>
  <conditionalFormatting sqref="AC12:AC61">
    <cfRule type="containsBlanks" dxfId="0" priority="7">
      <formula>LEN(TRIM(AC12))=0</formula>
    </cfRule>
  </conditionalFormatting>
  <dataValidations count="10">
    <dataValidation type="list" showErrorMessage="1" sqref="E11:E60" xr:uid="{1C6C80DE-6829-4858-814B-69A0A5DE357B}">
      <formula1>"○,×"</formula1>
    </dataValidation>
    <dataValidation type="list" allowBlank="1" showInputMessage="1" showErrorMessage="1" sqref="WVM983063:WVM983082 SO11:SO61 ACK11:ACK61 AMG11:AMG61 AWC11:AWC61 BFY11:BFY61 BPU11:BPU61 BZQ11:BZQ61 CJM11:CJM61 CTI11:CTI61 DDE11:DDE61 DNA11:DNA61 DWW11:DWW61 EGS11:EGS61 EQO11:EQO61 FAK11:FAK61 FKG11:FKG61 FUC11:FUC61 GDY11:GDY61 GNU11:GNU61 GXQ11:GXQ61 HHM11:HHM61 HRI11:HRI61 IBE11:IBE61 ILA11:ILA61 IUW11:IUW61 JES11:JES61 JOO11:JOO61 JYK11:JYK61 KIG11:KIG61 KSC11:KSC61 LBY11:LBY61 LLU11:LLU61 LVQ11:LVQ61 MFM11:MFM61 MPI11:MPI61 MZE11:MZE61 NJA11:NJA61 NSW11:NSW61 OCS11:OCS61 OMO11:OMO61 OWK11:OWK61 PGG11:PGG61 PQC11:PQC61 PZY11:PZY61 QJU11:QJU61 QTQ11:QTQ61 RDM11:RDM61 RNI11:RNI61 RXE11:RXE61 SHA11:SHA61 SQW11:SQW61 TAS11:TAS61 TKO11:TKO61 TUK11:TUK61 UEG11:UEG61 UOC11:UOC61 UXY11:UXY61 VHU11:VHU61 VRQ11:VRQ61 WBM11:WBM61 WLI11:WLI61 WVE11:WVE61 IS11:IS61 WVM65:WVM68 SW65559:SW65578 ACS65559:ACS65578 AMO65559:AMO65578 AWK65559:AWK65578 BGG65559:BGG65578 BQC65559:BQC65578 BZY65559:BZY65578 CJU65559:CJU65578 CTQ65559:CTQ65578 DDM65559:DDM65578 DNI65559:DNI65578 DXE65559:DXE65578 EHA65559:EHA65578 EQW65559:EQW65578 FAS65559:FAS65578 FKO65559:FKO65578 FUK65559:FUK65578 GEG65559:GEG65578 GOC65559:GOC65578 GXY65559:GXY65578 HHU65559:HHU65578 HRQ65559:HRQ65578 IBM65559:IBM65578 ILI65559:ILI65578 IVE65559:IVE65578 JFA65559:JFA65578 JOW65559:JOW65578 JYS65559:JYS65578 KIO65559:KIO65578 KSK65559:KSK65578 LCG65559:LCG65578 LMC65559:LMC65578 LVY65559:LVY65578 MFU65559:MFU65578 MPQ65559:MPQ65578 MZM65559:MZM65578 NJI65559:NJI65578 NTE65559:NTE65578 ODA65559:ODA65578 OMW65559:OMW65578 OWS65559:OWS65578 PGO65559:PGO65578 PQK65559:PQK65578 QAG65559:QAG65578 QKC65559:QKC65578 QTY65559:QTY65578 RDU65559:RDU65578 RNQ65559:RNQ65578 RXM65559:RXM65578 SHI65559:SHI65578 SRE65559:SRE65578 TBA65559:TBA65578 TKW65559:TKW65578 TUS65559:TUS65578 UEO65559:UEO65578 UOK65559:UOK65578 UYG65559:UYG65578 VIC65559:VIC65578 VRY65559:VRY65578 WBU65559:WBU65578 WLQ65559:WLQ65578 WVM65559:WVM65578 JA131095:JA131114 SW131095:SW131114 ACS131095:ACS131114 AMO131095:AMO131114 AWK131095:AWK131114 BGG131095:BGG131114 BQC131095:BQC131114 BZY131095:BZY131114 CJU131095:CJU131114 CTQ131095:CTQ131114 DDM131095:DDM131114 DNI131095:DNI131114 DXE131095:DXE131114 EHA131095:EHA131114 EQW131095:EQW131114 FAS131095:FAS131114 FKO131095:FKO131114 FUK131095:FUK131114 GEG131095:GEG131114 GOC131095:GOC131114 GXY131095:GXY131114 HHU131095:HHU131114 HRQ131095:HRQ131114 IBM131095:IBM131114 ILI131095:ILI131114 IVE131095:IVE131114 JFA131095:JFA131114 JOW131095:JOW131114 JYS131095:JYS131114 KIO131095:KIO131114 KSK131095:KSK131114 LCG131095:LCG131114 LMC131095:LMC131114 LVY131095:LVY131114 MFU131095:MFU131114 MPQ131095:MPQ131114 MZM131095:MZM131114 NJI131095:NJI131114 NTE131095:NTE131114 ODA131095:ODA131114 OMW131095:OMW131114 OWS131095:OWS131114 PGO131095:PGO131114 PQK131095:PQK131114 QAG131095:QAG131114 QKC131095:QKC131114 QTY131095:QTY131114 RDU131095:RDU131114 RNQ131095:RNQ131114 RXM131095:RXM131114 SHI131095:SHI131114 SRE131095:SRE131114 TBA131095:TBA131114 TKW131095:TKW131114 TUS131095:TUS131114 UEO131095:UEO131114 UOK131095:UOK131114 UYG131095:UYG131114 VIC131095:VIC131114 VRY131095:VRY131114 WBU131095:WBU131114 WLQ131095:WLQ131114 WVM131095:WVM131114 JA196631:JA196650 SW196631:SW196650 ACS196631:ACS196650 AMO196631:AMO196650 AWK196631:AWK196650 BGG196631:BGG196650 BQC196631:BQC196650 BZY196631:BZY196650 CJU196631:CJU196650 CTQ196631:CTQ196650 DDM196631:DDM196650 DNI196631:DNI196650 DXE196631:DXE196650 EHA196631:EHA196650 EQW196631:EQW196650 FAS196631:FAS196650 FKO196631:FKO196650 FUK196631:FUK196650 GEG196631:GEG196650 GOC196631:GOC196650 GXY196631:GXY196650 HHU196631:HHU196650 HRQ196631:HRQ196650 IBM196631:IBM196650 ILI196631:ILI196650 IVE196631:IVE196650 JFA196631:JFA196650 JOW196631:JOW196650 JYS196631:JYS196650 KIO196631:KIO196650 KSK196631:KSK196650 LCG196631:LCG196650 LMC196631:LMC196650 LVY196631:LVY196650 MFU196631:MFU196650 MPQ196631:MPQ196650 MZM196631:MZM196650 NJI196631:NJI196650 NTE196631:NTE196650 ODA196631:ODA196650 OMW196631:OMW196650 OWS196631:OWS196650 PGO196631:PGO196650 PQK196631:PQK196650 QAG196631:QAG196650 QKC196631:QKC196650 QTY196631:QTY196650 RDU196631:RDU196650 RNQ196631:RNQ196650 RXM196631:RXM196650 SHI196631:SHI196650 SRE196631:SRE196650 TBA196631:TBA196650 TKW196631:TKW196650 TUS196631:TUS196650 UEO196631:UEO196650 UOK196631:UOK196650 UYG196631:UYG196650 VIC196631:VIC196650 VRY196631:VRY196650 WBU196631:WBU196650 WLQ196631:WLQ196650 WVM196631:WVM196650 JA262167:JA262186 SW262167:SW262186 ACS262167:ACS262186 AMO262167:AMO262186 AWK262167:AWK262186 BGG262167:BGG262186 BQC262167:BQC262186 BZY262167:BZY262186 CJU262167:CJU262186 CTQ262167:CTQ262186 DDM262167:DDM262186 DNI262167:DNI262186 DXE262167:DXE262186 EHA262167:EHA262186 EQW262167:EQW262186 FAS262167:FAS262186 FKO262167:FKO262186 FUK262167:FUK262186 GEG262167:GEG262186 GOC262167:GOC262186 GXY262167:GXY262186 HHU262167:HHU262186 HRQ262167:HRQ262186 IBM262167:IBM262186 ILI262167:ILI262186 IVE262167:IVE262186 JFA262167:JFA262186 JOW262167:JOW262186 JYS262167:JYS262186 KIO262167:KIO262186 KSK262167:KSK262186 LCG262167:LCG262186 LMC262167:LMC262186 LVY262167:LVY262186 MFU262167:MFU262186 MPQ262167:MPQ262186 MZM262167:MZM262186 NJI262167:NJI262186 NTE262167:NTE262186 ODA262167:ODA262186 OMW262167:OMW262186 OWS262167:OWS262186 PGO262167:PGO262186 PQK262167:PQK262186 QAG262167:QAG262186 QKC262167:QKC262186 QTY262167:QTY262186 RDU262167:RDU262186 RNQ262167:RNQ262186 RXM262167:RXM262186 SHI262167:SHI262186 SRE262167:SRE262186 TBA262167:TBA262186 TKW262167:TKW262186 TUS262167:TUS262186 UEO262167:UEO262186 UOK262167:UOK262186 UYG262167:UYG262186 VIC262167:VIC262186 VRY262167:VRY262186 WBU262167:WBU262186 WLQ262167:WLQ262186 WVM262167:WVM262186 JA327703:JA327722 SW327703:SW327722 ACS327703:ACS327722 AMO327703:AMO327722 AWK327703:AWK327722 BGG327703:BGG327722 BQC327703:BQC327722 BZY327703:BZY327722 CJU327703:CJU327722 CTQ327703:CTQ327722 DDM327703:DDM327722 DNI327703:DNI327722 DXE327703:DXE327722 EHA327703:EHA327722 EQW327703:EQW327722 FAS327703:FAS327722 FKO327703:FKO327722 FUK327703:FUK327722 GEG327703:GEG327722 GOC327703:GOC327722 GXY327703:GXY327722 HHU327703:HHU327722 HRQ327703:HRQ327722 IBM327703:IBM327722 ILI327703:ILI327722 IVE327703:IVE327722 JFA327703:JFA327722 JOW327703:JOW327722 JYS327703:JYS327722 KIO327703:KIO327722 KSK327703:KSK327722 LCG327703:LCG327722 LMC327703:LMC327722 LVY327703:LVY327722 MFU327703:MFU327722 MPQ327703:MPQ327722 MZM327703:MZM327722 NJI327703:NJI327722 NTE327703:NTE327722 ODA327703:ODA327722 OMW327703:OMW327722 OWS327703:OWS327722 PGO327703:PGO327722 PQK327703:PQK327722 QAG327703:QAG327722 QKC327703:QKC327722 QTY327703:QTY327722 RDU327703:RDU327722 RNQ327703:RNQ327722 RXM327703:RXM327722 SHI327703:SHI327722 SRE327703:SRE327722 TBA327703:TBA327722 TKW327703:TKW327722 TUS327703:TUS327722 UEO327703:UEO327722 UOK327703:UOK327722 UYG327703:UYG327722 VIC327703:VIC327722 VRY327703:VRY327722 WBU327703:WBU327722 WLQ327703:WLQ327722 WVM327703:WVM327722 JA393239:JA393258 SW393239:SW393258 ACS393239:ACS393258 AMO393239:AMO393258 AWK393239:AWK393258 BGG393239:BGG393258 BQC393239:BQC393258 BZY393239:BZY393258 CJU393239:CJU393258 CTQ393239:CTQ393258 DDM393239:DDM393258 DNI393239:DNI393258 DXE393239:DXE393258 EHA393239:EHA393258 EQW393239:EQW393258 FAS393239:FAS393258 FKO393239:FKO393258 FUK393239:FUK393258 GEG393239:GEG393258 GOC393239:GOC393258 GXY393239:GXY393258 HHU393239:HHU393258 HRQ393239:HRQ393258 IBM393239:IBM393258 ILI393239:ILI393258 IVE393239:IVE393258 JFA393239:JFA393258 JOW393239:JOW393258 JYS393239:JYS393258 KIO393239:KIO393258 KSK393239:KSK393258 LCG393239:LCG393258 LMC393239:LMC393258 LVY393239:LVY393258 MFU393239:MFU393258 MPQ393239:MPQ393258 MZM393239:MZM393258 NJI393239:NJI393258 NTE393239:NTE393258 ODA393239:ODA393258 OMW393239:OMW393258 OWS393239:OWS393258 PGO393239:PGO393258 PQK393239:PQK393258 QAG393239:QAG393258 QKC393239:QKC393258 QTY393239:QTY393258 RDU393239:RDU393258 RNQ393239:RNQ393258 RXM393239:RXM393258 SHI393239:SHI393258 SRE393239:SRE393258 TBA393239:TBA393258 TKW393239:TKW393258 TUS393239:TUS393258 UEO393239:UEO393258 UOK393239:UOK393258 UYG393239:UYG393258 VIC393239:VIC393258 VRY393239:VRY393258 WBU393239:WBU393258 WLQ393239:WLQ393258 WVM393239:WVM393258 JA458775:JA458794 SW458775:SW458794 ACS458775:ACS458794 AMO458775:AMO458794 AWK458775:AWK458794 BGG458775:BGG458794 BQC458775:BQC458794 BZY458775:BZY458794 CJU458775:CJU458794 CTQ458775:CTQ458794 DDM458775:DDM458794 DNI458775:DNI458794 DXE458775:DXE458794 EHA458775:EHA458794 EQW458775:EQW458794 FAS458775:FAS458794 FKO458775:FKO458794 FUK458775:FUK458794 GEG458775:GEG458794 GOC458775:GOC458794 GXY458775:GXY458794 HHU458775:HHU458794 HRQ458775:HRQ458794 IBM458775:IBM458794 ILI458775:ILI458794 IVE458775:IVE458794 JFA458775:JFA458794 JOW458775:JOW458794 JYS458775:JYS458794 KIO458775:KIO458794 KSK458775:KSK458794 LCG458775:LCG458794 LMC458775:LMC458794 LVY458775:LVY458794 MFU458775:MFU458794 MPQ458775:MPQ458794 MZM458775:MZM458794 NJI458775:NJI458794 NTE458775:NTE458794 ODA458775:ODA458794 OMW458775:OMW458794 OWS458775:OWS458794 PGO458775:PGO458794 PQK458775:PQK458794 QAG458775:QAG458794 QKC458775:QKC458794 QTY458775:QTY458794 RDU458775:RDU458794 RNQ458775:RNQ458794 RXM458775:RXM458794 SHI458775:SHI458794 SRE458775:SRE458794 TBA458775:TBA458794 TKW458775:TKW458794 TUS458775:TUS458794 UEO458775:UEO458794 UOK458775:UOK458794 UYG458775:UYG458794 VIC458775:VIC458794 VRY458775:VRY458794 WBU458775:WBU458794 WLQ458775:WLQ458794 WVM458775:WVM458794 JA524311:JA524330 SW524311:SW524330 ACS524311:ACS524330 AMO524311:AMO524330 AWK524311:AWK524330 BGG524311:BGG524330 BQC524311:BQC524330 BZY524311:BZY524330 CJU524311:CJU524330 CTQ524311:CTQ524330 DDM524311:DDM524330 DNI524311:DNI524330 DXE524311:DXE524330 EHA524311:EHA524330 EQW524311:EQW524330 FAS524311:FAS524330 FKO524311:FKO524330 FUK524311:FUK524330 GEG524311:GEG524330 GOC524311:GOC524330 GXY524311:GXY524330 HHU524311:HHU524330 HRQ524311:HRQ524330 IBM524311:IBM524330 ILI524311:ILI524330 IVE524311:IVE524330 JFA524311:JFA524330 JOW524311:JOW524330 JYS524311:JYS524330 KIO524311:KIO524330 KSK524311:KSK524330 LCG524311:LCG524330 LMC524311:LMC524330 LVY524311:LVY524330 MFU524311:MFU524330 MPQ524311:MPQ524330 MZM524311:MZM524330 NJI524311:NJI524330 NTE524311:NTE524330 ODA524311:ODA524330 OMW524311:OMW524330 OWS524311:OWS524330 PGO524311:PGO524330 PQK524311:PQK524330 QAG524311:QAG524330 QKC524311:QKC524330 QTY524311:QTY524330 RDU524311:RDU524330 RNQ524311:RNQ524330 RXM524311:RXM524330 SHI524311:SHI524330 SRE524311:SRE524330 TBA524311:TBA524330 TKW524311:TKW524330 TUS524311:TUS524330 UEO524311:UEO524330 UOK524311:UOK524330 UYG524311:UYG524330 VIC524311:VIC524330 VRY524311:VRY524330 WBU524311:WBU524330 WLQ524311:WLQ524330 WVM524311:WVM524330 JA589847:JA589866 SW589847:SW589866 ACS589847:ACS589866 AMO589847:AMO589866 AWK589847:AWK589866 BGG589847:BGG589866 BQC589847:BQC589866 BZY589847:BZY589866 CJU589847:CJU589866 CTQ589847:CTQ589866 DDM589847:DDM589866 DNI589847:DNI589866 DXE589847:DXE589866 EHA589847:EHA589866 EQW589847:EQW589866 FAS589847:FAS589866 FKO589847:FKO589866 FUK589847:FUK589866 GEG589847:GEG589866 GOC589847:GOC589866 GXY589847:GXY589866 HHU589847:HHU589866 HRQ589847:HRQ589866 IBM589847:IBM589866 ILI589847:ILI589866 IVE589847:IVE589866 JFA589847:JFA589866 JOW589847:JOW589866 JYS589847:JYS589866 KIO589847:KIO589866 KSK589847:KSK589866 LCG589847:LCG589866 LMC589847:LMC589866 LVY589847:LVY589866 MFU589847:MFU589866 MPQ589847:MPQ589866 MZM589847:MZM589866 NJI589847:NJI589866 NTE589847:NTE589866 ODA589847:ODA589866 OMW589847:OMW589866 OWS589847:OWS589866 PGO589847:PGO589866 PQK589847:PQK589866 QAG589847:QAG589866 QKC589847:QKC589866 QTY589847:QTY589866 RDU589847:RDU589866 RNQ589847:RNQ589866 RXM589847:RXM589866 SHI589847:SHI589866 SRE589847:SRE589866 TBA589847:TBA589866 TKW589847:TKW589866 TUS589847:TUS589866 UEO589847:UEO589866 UOK589847:UOK589866 UYG589847:UYG589866 VIC589847:VIC589866 VRY589847:VRY589866 WBU589847:WBU589866 WLQ589847:WLQ589866 WVM589847:WVM589866 JA655383:JA655402 SW655383:SW655402 ACS655383:ACS655402 AMO655383:AMO655402 AWK655383:AWK655402 BGG655383:BGG655402 BQC655383:BQC655402 BZY655383:BZY655402 CJU655383:CJU655402 CTQ655383:CTQ655402 DDM655383:DDM655402 DNI655383:DNI655402 DXE655383:DXE655402 EHA655383:EHA655402 EQW655383:EQW655402 FAS655383:FAS655402 FKO655383:FKO655402 FUK655383:FUK655402 GEG655383:GEG655402 GOC655383:GOC655402 GXY655383:GXY655402 HHU655383:HHU655402 HRQ655383:HRQ655402 IBM655383:IBM655402 ILI655383:ILI655402 IVE655383:IVE655402 JFA655383:JFA655402 JOW655383:JOW655402 JYS655383:JYS655402 KIO655383:KIO655402 KSK655383:KSK655402 LCG655383:LCG655402 LMC655383:LMC655402 LVY655383:LVY655402 MFU655383:MFU655402 MPQ655383:MPQ655402 MZM655383:MZM655402 NJI655383:NJI655402 NTE655383:NTE655402 ODA655383:ODA655402 OMW655383:OMW655402 OWS655383:OWS655402 PGO655383:PGO655402 PQK655383:PQK655402 QAG655383:QAG655402 QKC655383:QKC655402 QTY655383:QTY655402 RDU655383:RDU655402 RNQ655383:RNQ655402 RXM655383:RXM655402 SHI655383:SHI655402 SRE655383:SRE655402 TBA655383:TBA655402 TKW655383:TKW655402 TUS655383:TUS655402 UEO655383:UEO655402 UOK655383:UOK655402 UYG655383:UYG655402 VIC655383:VIC655402 VRY655383:VRY655402 WBU655383:WBU655402 WLQ655383:WLQ655402 WVM655383:WVM655402 JA720919:JA720938 SW720919:SW720938 ACS720919:ACS720938 AMO720919:AMO720938 AWK720919:AWK720938 BGG720919:BGG720938 BQC720919:BQC720938 BZY720919:BZY720938 CJU720919:CJU720938 CTQ720919:CTQ720938 DDM720919:DDM720938 DNI720919:DNI720938 DXE720919:DXE720938 EHA720919:EHA720938 EQW720919:EQW720938 FAS720919:FAS720938 FKO720919:FKO720938 FUK720919:FUK720938 GEG720919:GEG720938 GOC720919:GOC720938 GXY720919:GXY720938 HHU720919:HHU720938 HRQ720919:HRQ720938 IBM720919:IBM720938 ILI720919:ILI720938 IVE720919:IVE720938 JFA720919:JFA720938 JOW720919:JOW720938 JYS720919:JYS720938 KIO720919:KIO720938 KSK720919:KSK720938 LCG720919:LCG720938 LMC720919:LMC720938 LVY720919:LVY720938 MFU720919:MFU720938 MPQ720919:MPQ720938 MZM720919:MZM720938 NJI720919:NJI720938 NTE720919:NTE720938 ODA720919:ODA720938 OMW720919:OMW720938 OWS720919:OWS720938 PGO720919:PGO720938 PQK720919:PQK720938 QAG720919:QAG720938 QKC720919:QKC720938 QTY720919:QTY720938 RDU720919:RDU720938 RNQ720919:RNQ720938 RXM720919:RXM720938 SHI720919:SHI720938 SRE720919:SRE720938 TBA720919:TBA720938 TKW720919:TKW720938 TUS720919:TUS720938 UEO720919:UEO720938 UOK720919:UOK720938 UYG720919:UYG720938 VIC720919:VIC720938 VRY720919:VRY720938 WBU720919:WBU720938 WLQ720919:WLQ720938 WVM720919:WVM720938 JA786455:JA786474 SW786455:SW786474 ACS786455:ACS786474 AMO786455:AMO786474 AWK786455:AWK786474 BGG786455:BGG786474 BQC786455:BQC786474 BZY786455:BZY786474 CJU786455:CJU786474 CTQ786455:CTQ786474 DDM786455:DDM786474 DNI786455:DNI786474 DXE786455:DXE786474 EHA786455:EHA786474 EQW786455:EQW786474 FAS786455:FAS786474 FKO786455:FKO786474 FUK786455:FUK786474 GEG786455:GEG786474 GOC786455:GOC786474 GXY786455:GXY786474 HHU786455:HHU786474 HRQ786455:HRQ786474 IBM786455:IBM786474 ILI786455:ILI786474 IVE786455:IVE786474 JFA786455:JFA786474 JOW786455:JOW786474 JYS786455:JYS786474 KIO786455:KIO786474 KSK786455:KSK786474 LCG786455:LCG786474 LMC786455:LMC786474 LVY786455:LVY786474 MFU786455:MFU786474 MPQ786455:MPQ786474 MZM786455:MZM786474 NJI786455:NJI786474 NTE786455:NTE786474 ODA786455:ODA786474 OMW786455:OMW786474 OWS786455:OWS786474 PGO786455:PGO786474 PQK786455:PQK786474 QAG786455:QAG786474 QKC786455:QKC786474 QTY786455:QTY786474 RDU786455:RDU786474 RNQ786455:RNQ786474 RXM786455:RXM786474 SHI786455:SHI786474 SRE786455:SRE786474 TBA786455:TBA786474 TKW786455:TKW786474 TUS786455:TUS786474 UEO786455:UEO786474 UOK786455:UOK786474 UYG786455:UYG786474 VIC786455:VIC786474 VRY786455:VRY786474 WBU786455:WBU786474 WLQ786455:WLQ786474 WVM786455:WVM786474 JA851991:JA852010 SW851991:SW852010 ACS851991:ACS852010 AMO851991:AMO852010 AWK851991:AWK852010 BGG851991:BGG852010 BQC851991:BQC852010 BZY851991:BZY852010 CJU851991:CJU852010 CTQ851991:CTQ852010 DDM851991:DDM852010 DNI851991:DNI852010 DXE851991:DXE852010 EHA851991:EHA852010 EQW851991:EQW852010 FAS851991:FAS852010 FKO851991:FKO852010 FUK851991:FUK852010 GEG851991:GEG852010 GOC851991:GOC852010 GXY851991:GXY852010 HHU851991:HHU852010 HRQ851991:HRQ852010 IBM851991:IBM852010 ILI851991:ILI852010 IVE851991:IVE852010 JFA851991:JFA852010 JOW851991:JOW852010 JYS851991:JYS852010 KIO851991:KIO852010 KSK851991:KSK852010 LCG851991:LCG852010 LMC851991:LMC852010 LVY851991:LVY852010 MFU851991:MFU852010 MPQ851991:MPQ852010 MZM851991:MZM852010 NJI851991:NJI852010 NTE851991:NTE852010 ODA851991:ODA852010 OMW851991:OMW852010 OWS851991:OWS852010 PGO851991:PGO852010 PQK851991:PQK852010 QAG851991:QAG852010 QKC851991:QKC852010 QTY851991:QTY852010 RDU851991:RDU852010 RNQ851991:RNQ852010 RXM851991:RXM852010 SHI851991:SHI852010 SRE851991:SRE852010 TBA851991:TBA852010 TKW851991:TKW852010 TUS851991:TUS852010 UEO851991:UEO852010 UOK851991:UOK852010 UYG851991:UYG852010 VIC851991:VIC852010 VRY851991:VRY852010 WBU851991:WBU852010 WLQ851991:WLQ852010 WVM851991:WVM852010 JA917527:JA917546 SW917527:SW917546 ACS917527:ACS917546 AMO917527:AMO917546 AWK917527:AWK917546 BGG917527:BGG917546 BQC917527:BQC917546 BZY917527:BZY917546 CJU917527:CJU917546 CTQ917527:CTQ917546 DDM917527:DDM917546 DNI917527:DNI917546 DXE917527:DXE917546 EHA917527:EHA917546 EQW917527:EQW917546 FAS917527:FAS917546 FKO917527:FKO917546 FUK917527:FUK917546 GEG917527:GEG917546 GOC917527:GOC917546 GXY917527:GXY917546 HHU917527:HHU917546 HRQ917527:HRQ917546 IBM917527:IBM917546 ILI917527:ILI917546 IVE917527:IVE917546 JFA917527:JFA917546 JOW917527:JOW917546 JYS917527:JYS917546 KIO917527:KIO917546 KSK917527:KSK917546 LCG917527:LCG917546 LMC917527:LMC917546 LVY917527:LVY917546 MFU917527:MFU917546 MPQ917527:MPQ917546 MZM917527:MZM917546 NJI917527:NJI917546 NTE917527:NTE917546 ODA917527:ODA917546 OMW917527:OMW917546 OWS917527:OWS917546 PGO917527:PGO917546 PQK917527:PQK917546 QAG917527:QAG917546 QKC917527:QKC917546 QTY917527:QTY917546 RDU917527:RDU917546 RNQ917527:RNQ917546 RXM917527:RXM917546 SHI917527:SHI917546 SRE917527:SRE917546 TBA917527:TBA917546 TKW917527:TKW917546 TUS917527:TUS917546 UEO917527:UEO917546 UOK917527:UOK917546 UYG917527:UYG917546 VIC917527:VIC917546 VRY917527:VRY917546 WBU917527:WBU917546 WLQ917527:WLQ917546 WVM917527:WVM917546 JA983063:JA983082 SW983063:SW983082 ACS983063:ACS983082 AMO983063:AMO983082 AWK983063:AWK983082 BGG983063:BGG983082 BQC983063:BQC983082 BZY983063:BZY983082 CJU983063:CJU983082 CTQ983063:CTQ983082 DDM983063:DDM983082 DNI983063:DNI983082 DXE983063:DXE983082 EHA983063:EHA983082 EQW983063:EQW983082 FAS983063:FAS983082 FKO983063:FKO983082 FUK983063:FUK983082 GEG983063:GEG983082 GOC983063:GOC983082 GXY983063:GXY983082 HHU983063:HHU983082 HRQ983063:HRQ983082 IBM983063:IBM983082 ILI983063:ILI983082 IVE983063:IVE983082 JFA983063:JFA983082 JOW983063:JOW983082 JYS983063:JYS983082 KIO983063:KIO983082 KSK983063:KSK983082 LCG983063:LCG983082 LMC983063:LMC983082 LVY983063:LVY983082 MFU983063:MFU983082 MPQ983063:MPQ983082 MZM983063:MZM983082 NJI983063:NJI983082 NTE983063:NTE983082 ODA983063:ODA983082 OMW983063:OMW983082 OWS983063:OWS983082 PGO983063:PGO983082 PQK983063:PQK983082 QAG983063:QAG983082 QKC983063:QKC983082 QTY983063:QTY983082 RDU983063:RDU983082 RNQ983063:RNQ983082 RXM983063:RXM983082 SHI983063:SHI983082 SRE983063:SRE983082 TBA983063:TBA983082 TKW983063:TKW983082 TUS983063:TUS983082 UEO983063:UEO983082 UOK983063:UOK983082 UYG983063:UYG983082 VIC983063:VIC983082 VRY983063:VRY983082 WBU983063:WBU983082 WLQ983063:WLQ983082 JA65559:JA65578 JA65:JA68 SW65:SW68 ACS65:ACS68 AMO65:AMO68 AWK65:AWK68 BGG65:BGG68 BQC65:BQC68 BZY65:BZY68 CJU65:CJU68 CTQ65:CTQ68 DDM65:DDM68 DNI65:DNI68 DXE65:DXE68 EHA65:EHA68 EQW65:EQW68 FAS65:FAS68 FKO65:FKO68 FUK65:FUK68 GEG65:GEG68 GOC65:GOC68 GXY65:GXY68 HHU65:HHU68 HRQ65:HRQ68 IBM65:IBM68 ILI65:ILI68 IVE65:IVE68 JFA65:JFA68 JOW65:JOW68 JYS65:JYS68 KIO65:KIO68 KSK65:KSK68 LCG65:LCG68 LMC65:LMC68 LVY65:LVY68 MFU65:MFU68 MPQ65:MPQ68 MZM65:MZM68 NJI65:NJI68 NTE65:NTE68 ODA65:ODA68 OMW65:OMW68 OWS65:OWS68 PGO65:PGO68 PQK65:PQK68 QAG65:QAG68 QKC65:QKC68 QTY65:QTY68 RDU65:RDU68 RNQ65:RNQ68 RXM65:RXM68 SHI65:SHI68 SRE65:SRE68 TBA65:TBA68 TKW65:TKW68 TUS65:TUS68 UEO65:UEO68 UOK65:UOK68 UYG65:UYG68 VIC65:VIC68 VRY65:VRY68 WBU65:WBU68 WLQ65:WLQ68" xr:uid="{28D1620A-1E52-4C30-8237-D3009C984A08}">
      <formula1>$B$76:$B$77</formula1>
    </dataValidation>
    <dataValidation type="list" showInputMessage="1" showErrorMessage="1" prompt="空白にする時は、「Delete」キーを押してください。" sqref="WVK983063:WVK983082 IY65559:IY65578 SU65559:SU65578 ACQ65559:ACQ65578 AMM65559:AMM65578 AWI65559:AWI65578 BGE65559:BGE65578 BQA65559:BQA65578 BZW65559:BZW65578 CJS65559:CJS65578 CTO65559:CTO65578 DDK65559:DDK65578 DNG65559:DNG65578 DXC65559:DXC65578 EGY65559:EGY65578 EQU65559:EQU65578 FAQ65559:FAQ65578 FKM65559:FKM65578 FUI65559:FUI65578 GEE65559:GEE65578 GOA65559:GOA65578 GXW65559:GXW65578 HHS65559:HHS65578 HRO65559:HRO65578 IBK65559:IBK65578 ILG65559:ILG65578 IVC65559:IVC65578 JEY65559:JEY65578 JOU65559:JOU65578 JYQ65559:JYQ65578 KIM65559:KIM65578 KSI65559:KSI65578 LCE65559:LCE65578 LMA65559:LMA65578 LVW65559:LVW65578 MFS65559:MFS65578 MPO65559:MPO65578 MZK65559:MZK65578 NJG65559:NJG65578 NTC65559:NTC65578 OCY65559:OCY65578 OMU65559:OMU65578 OWQ65559:OWQ65578 PGM65559:PGM65578 PQI65559:PQI65578 QAE65559:QAE65578 QKA65559:QKA65578 QTW65559:QTW65578 RDS65559:RDS65578 RNO65559:RNO65578 RXK65559:RXK65578 SHG65559:SHG65578 SRC65559:SRC65578 TAY65559:TAY65578 TKU65559:TKU65578 TUQ65559:TUQ65578 UEM65559:UEM65578 UOI65559:UOI65578 UYE65559:UYE65578 VIA65559:VIA65578 VRW65559:VRW65578 WBS65559:WBS65578 WLO65559:WLO65578 WVK65559:WVK65578 IY131095:IY131114 SU131095:SU131114 ACQ131095:ACQ131114 AMM131095:AMM131114 AWI131095:AWI131114 BGE131095:BGE131114 BQA131095:BQA131114 BZW131095:BZW131114 CJS131095:CJS131114 CTO131095:CTO131114 DDK131095:DDK131114 DNG131095:DNG131114 DXC131095:DXC131114 EGY131095:EGY131114 EQU131095:EQU131114 FAQ131095:FAQ131114 FKM131095:FKM131114 FUI131095:FUI131114 GEE131095:GEE131114 GOA131095:GOA131114 GXW131095:GXW131114 HHS131095:HHS131114 HRO131095:HRO131114 IBK131095:IBK131114 ILG131095:ILG131114 IVC131095:IVC131114 JEY131095:JEY131114 JOU131095:JOU131114 JYQ131095:JYQ131114 KIM131095:KIM131114 KSI131095:KSI131114 LCE131095:LCE131114 LMA131095:LMA131114 LVW131095:LVW131114 MFS131095:MFS131114 MPO131095:MPO131114 MZK131095:MZK131114 NJG131095:NJG131114 NTC131095:NTC131114 OCY131095:OCY131114 OMU131095:OMU131114 OWQ131095:OWQ131114 PGM131095:PGM131114 PQI131095:PQI131114 QAE131095:QAE131114 QKA131095:QKA131114 QTW131095:QTW131114 RDS131095:RDS131114 RNO131095:RNO131114 RXK131095:RXK131114 SHG131095:SHG131114 SRC131095:SRC131114 TAY131095:TAY131114 TKU131095:TKU131114 TUQ131095:TUQ131114 UEM131095:UEM131114 UOI131095:UOI131114 UYE131095:UYE131114 VIA131095:VIA131114 VRW131095:VRW131114 WBS131095:WBS131114 WLO131095:WLO131114 WVK131095:WVK131114 IY196631:IY196650 SU196631:SU196650 ACQ196631:ACQ196650 AMM196631:AMM196650 AWI196631:AWI196650 BGE196631:BGE196650 BQA196631:BQA196650 BZW196631:BZW196650 CJS196631:CJS196650 CTO196631:CTO196650 DDK196631:DDK196650 DNG196631:DNG196650 DXC196631:DXC196650 EGY196631:EGY196650 EQU196631:EQU196650 FAQ196631:FAQ196650 FKM196631:FKM196650 FUI196631:FUI196650 GEE196631:GEE196650 GOA196631:GOA196650 GXW196631:GXW196650 HHS196631:HHS196650 HRO196631:HRO196650 IBK196631:IBK196650 ILG196631:ILG196650 IVC196631:IVC196650 JEY196631:JEY196650 JOU196631:JOU196650 JYQ196631:JYQ196650 KIM196631:KIM196650 KSI196631:KSI196650 LCE196631:LCE196650 LMA196631:LMA196650 LVW196631:LVW196650 MFS196631:MFS196650 MPO196631:MPO196650 MZK196631:MZK196650 NJG196631:NJG196650 NTC196631:NTC196650 OCY196631:OCY196650 OMU196631:OMU196650 OWQ196631:OWQ196650 PGM196631:PGM196650 PQI196631:PQI196650 QAE196631:QAE196650 QKA196631:QKA196650 QTW196631:QTW196650 RDS196631:RDS196650 RNO196631:RNO196650 RXK196631:RXK196650 SHG196631:SHG196650 SRC196631:SRC196650 TAY196631:TAY196650 TKU196631:TKU196650 TUQ196631:TUQ196650 UEM196631:UEM196650 UOI196631:UOI196650 UYE196631:UYE196650 VIA196631:VIA196650 VRW196631:VRW196650 WBS196631:WBS196650 WLO196631:WLO196650 WVK196631:WVK196650 IY262167:IY262186 SU262167:SU262186 ACQ262167:ACQ262186 AMM262167:AMM262186 AWI262167:AWI262186 BGE262167:BGE262186 BQA262167:BQA262186 BZW262167:BZW262186 CJS262167:CJS262186 CTO262167:CTO262186 DDK262167:DDK262186 DNG262167:DNG262186 DXC262167:DXC262186 EGY262167:EGY262186 EQU262167:EQU262186 FAQ262167:FAQ262186 FKM262167:FKM262186 FUI262167:FUI262186 GEE262167:GEE262186 GOA262167:GOA262186 GXW262167:GXW262186 HHS262167:HHS262186 HRO262167:HRO262186 IBK262167:IBK262186 ILG262167:ILG262186 IVC262167:IVC262186 JEY262167:JEY262186 JOU262167:JOU262186 JYQ262167:JYQ262186 KIM262167:KIM262186 KSI262167:KSI262186 LCE262167:LCE262186 LMA262167:LMA262186 LVW262167:LVW262186 MFS262167:MFS262186 MPO262167:MPO262186 MZK262167:MZK262186 NJG262167:NJG262186 NTC262167:NTC262186 OCY262167:OCY262186 OMU262167:OMU262186 OWQ262167:OWQ262186 PGM262167:PGM262186 PQI262167:PQI262186 QAE262167:QAE262186 QKA262167:QKA262186 QTW262167:QTW262186 RDS262167:RDS262186 RNO262167:RNO262186 RXK262167:RXK262186 SHG262167:SHG262186 SRC262167:SRC262186 TAY262167:TAY262186 TKU262167:TKU262186 TUQ262167:TUQ262186 UEM262167:UEM262186 UOI262167:UOI262186 UYE262167:UYE262186 VIA262167:VIA262186 VRW262167:VRW262186 WBS262167:WBS262186 WLO262167:WLO262186 WVK262167:WVK262186 IY327703:IY327722 SU327703:SU327722 ACQ327703:ACQ327722 AMM327703:AMM327722 AWI327703:AWI327722 BGE327703:BGE327722 BQA327703:BQA327722 BZW327703:BZW327722 CJS327703:CJS327722 CTO327703:CTO327722 DDK327703:DDK327722 DNG327703:DNG327722 DXC327703:DXC327722 EGY327703:EGY327722 EQU327703:EQU327722 FAQ327703:FAQ327722 FKM327703:FKM327722 FUI327703:FUI327722 GEE327703:GEE327722 GOA327703:GOA327722 GXW327703:GXW327722 HHS327703:HHS327722 HRO327703:HRO327722 IBK327703:IBK327722 ILG327703:ILG327722 IVC327703:IVC327722 JEY327703:JEY327722 JOU327703:JOU327722 JYQ327703:JYQ327722 KIM327703:KIM327722 KSI327703:KSI327722 LCE327703:LCE327722 LMA327703:LMA327722 LVW327703:LVW327722 MFS327703:MFS327722 MPO327703:MPO327722 MZK327703:MZK327722 NJG327703:NJG327722 NTC327703:NTC327722 OCY327703:OCY327722 OMU327703:OMU327722 OWQ327703:OWQ327722 PGM327703:PGM327722 PQI327703:PQI327722 QAE327703:QAE327722 QKA327703:QKA327722 QTW327703:QTW327722 RDS327703:RDS327722 RNO327703:RNO327722 RXK327703:RXK327722 SHG327703:SHG327722 SRC327703:SRC327722 TAY327703:TAY327722 TKU327703:TKU327722 TUQ327703:TUQ327722 UEM327703:UEM327722 UOI327703:UOI327722 UYE327703:UYE327722 VIA327703:VIA327722 VRW327703:VRW327722 WBS327703:WBS327722 WLO327703:WLO327722 WVK327703:WVK327722 IY393239:IY393258 SU393239:SU393258 ACQ393239:ACQ393258 AMM393239:AMM393258 AWI393239:AWI393258 BGE393239:BGE393258 BQA393239:BQA393258 BZW393239:BZW393258 CJS393239:CJS393258 CTO393239:CTO393258 DDK393239:DDK393258 DNG393239:DNG393258 DXC393239:DXC393258 EGY393239:EGY393258 EQU393239:EQU393258 FAQ393239:FAQ393258 FKM393239:FKM393258 FUI393239:FUI393258 GEE393239:GEE393258 GOA393239:GOA393258 GXW393239:GXW393258 HHS393239:HHS393258 HRO393239:HRO393258 IBK393239:IBK393258 ILG393239:ILG393258 IVC393239:IVC393258 JEY393239:JEY393258 JOU393239:JOU393258 JYQ393239:JYQ393258 KIM393239:KIM393258 KSI393239:KSI393258 LCE393239:LCE393258 LMA393239:LMA393258 LVW393239:LVW393258 MFS393239:MFS393258 MPO393239:MPO393258 MZK393239:MZK393258 NJG393239:NJG393258 NTC393239:NTC393258 OCY393239:OCY393258 OMU393239:OMU393258 OWQ393239:OWQ393258 PGM393239:PGM393258 PQI393239:PQI393258 QAE393239:QAE393258 QKA393239:QKA393258 QTW393239:QTW393258 RDS393239:RDS393258 RNO393239:RNO393258 RXK393239:RXK393258 SHG393239:SHG393258 SRC393239:SRC393258 TAY393239:TAY393258 TKU393239:TKU393258 TUQ393239:TUQ393258 UEM393239:UEM393258 UOI393239:UOI393258 UYE393239:UYE393258 VIA393239:VIA393258 VRW393239:VRW393258 WBS393239:WBS393258 WLO393239:WLO393258 WVK393239:WVK393258 IY458775:IY458794 SU458775:SU458794 ACQ458775:ACQ458794 AMM458775:AMM458794 AWI458775:AWI458794 BGE458775:BGE458794 BQA458775:BQA458794 BZW458775:BZW458794 CJS458775:CJS458794 CTO458775:CTO458794 DDK458775:DDK458794 DNG458775:DNG458794 DXC458775:DXC458794 EGY458775:EGY458794 EQU458775:EQU458794 FAQ458775:FAQ458794 FKM458775:FKM458794 FUI458775:FUI458794 GEE458775:GEE458794 GOA458775:GOA458794 GXW458775:GXW458794 HHS458775:HHS458794 HRO458775:HRO458794 IBK458775:IBK458794 ILG458775:ILG458794 IVC458775:IVC458794 JEY458775:JEY458794 JOU458775:JOU458794 JYQ458775:JYQ458794 KIM458775:KIM458794 KSI458775:KSI458794 LCE458775:LCE458794 LMA458775:LMA458794 LVW458775:LVW458794 MFS458775:MFS458794 MPO458775:MPO458794 MZK458775:MZK458794 NJG458775:NJG458794 NTC458775:NTC458794 OCY458775:OCY458794 OMU458775:OMU458794 OWQ458775:OWQ458794 PGM458775:PGM458794 PQI458775:PQI458794 QAE458775:QAE458794 QKA458775:QKA458794 QTW458775:QTW458794 RDS458775:RDS458794 RNO458775:RNO458794 RXK458775:RXK458794 SHG458775:SHG458794 SRC458775:SRC458794 TAY458775:TAY458794 TKU458775:TKU458794 TUQ458775:TUQ458794 UEM458775:UEM458794 UOI458775:UOI458794 UYE458775:UYE458794 VIA458775:VIA458794 VRW458775:VRW458794 WBS458775:WBS458794 WLO458775:WLO458794 WVK458775:WVK458794 IY524311:IY524330 SU524311:SU524330 ACQ524311:ACQ524330 AMM524311:AMM524330 AWI524311:AWI524330 BGE524311:BGE524330 BQA524311:BQA524330 BZW524311:BZW524330 CJS524311:CJS524330 CTO524311:CTO524330 DDK524311:DDK524330 DNG524311:DNG524330 DXC524311:DXC524330 EGY524311:EGY524330 EQU524311:EQU524330 FAQ524311:FAQ524330 FKM524311:FKM524330 FUI524311:FUI524330 GEE524311:GEE524330 GOA524311:GOA524330 GXW524311:GXW524330 HHS524311:HHS524330 HRO524311:HRO524330 IBK524311:IBK524330 ILG524311:ILG524330 IVC524311:IVC524330 JEY524311:JEY524330 JOU524311:JOU524330 JYQ524311:JYQ524330 KIM524311:KIM524330 KSI524311:KSI524330 LCE524311:LCE524330 LMA524311:LMA524330 LVW524311:LVW524330 MFS524311:MFS524330 MPO524311:MPO524330 MZK524311:MZK524330 NJG524311:NJG524330 NTC524311:NTC524330 OCY524311:OCY524330 OMU524311:OMU524330 OWQ524311:OWQ524330 PGM524311:PGM524330 PQI524311:PQI524330 QAE524311:QAE524330 QKA524311:QKA524330 QTW524311:QTW524330 RDS524311:RDS524330 RNO524311:RNO524330 RXK524311:RXK524330 SHG524311:SHG524330 SRC524311:SRC524330 TAY524311:TAY524330 TKU524311:TKU524330 TUQ524311:TUQ524330 UEM524311:UEM524330 UOI524311:UOI524330 UYE524311:UYE524330 VIA524311:VIA524330 VRW524311:VRW524330 WBS524311:WBS524330 WLO524311:WLO524330 WVK524311:WVK524330 IY589847:IY589866 SU589847:SU589866 ACQ589847:ACQ589866 AMM589847:AMM589866 AWI589847:AWI589866 BGE589847:BGE589866 BQA589847:BQA589866 BZW589847:BZW589866 CJS589847:CJS589866 CTO589847:CTO589866 DDK589847:DDK589866 DNG589847:DNG589866 DXC589847:DXC589866 EGY589847:EGY589866 EQU589847:EQU589866 FAQ589847:FAQ589866 FKM589847:FKM589866 FUI589847:FUI589866 GEE589847:GEE589866 GOA589847:GOA589866 GXW589847:GXW589866 HHS589847:HHS589866 HRO589847:HRO589866 IBK589847:IBK589866 ILG589847:ILG589866 IVC589847:IVC589866 JEY589847:JEY589866 JOU589847:JOU589866 JYQ589847:JYQ589866 KIM589847:KIM589866 KSI589847:KSI589866 LCE589847:LCE589866 LMA589847:LMA589866 LVW589847:LVW589866 MFS589847:MFS589866 MPO589847:MPO589866 MZK589847:MZK589866 NJG589847:NJG589866 NTC589847:NTC589866 OCY589847:OCY589866 OMU589847:OMU589866 OWQ589847:OWQ589866 PGM589847:PGM589866 PQI589847:PQI589866 QAE589847:QAE589866 QKA589847:QKA589866 QTW589847:QTW589866 RDS589847:RDS589866 RNO589847:RNO589866 RXK589847:RXK589866 SHG589847:SHG589866 SRC589847:SRC589866 TAY589847:TAY589866 TKU589847:TKU589866 TUQ589847:TUQ589866 UEM589847:UEM589866 UOI589847:UOI589866 UYE589847:UYE589866 VIA589847:VIA589866 VRW589847:VRW589866 WBS589847:WBS589866 WLO589847:WLO589866 WVK589847:WVK589866 IY655383:IY655402 SU655383:SU655402 ACQ655383:ACQ655402 AMM655383:AMM655402 AWI655383:AWI655402 BGE655383:BGE655402 BQA655383:BQA655402 BZW655383:BZW655402 CJS655383:CJS655402 CTO655383:CTO655402 DDK655383:DDK655402 DNG655383:DNG655402 DXC655383:DXC655402 EGY655383:EGY655402 EQU655383:EQU655402 FAQ655383:FAQ655402 FKM655383:FKM655402 FUI655383:FUI655402 GEE655383:GEE655402 GOA655383:GOA655402 GXW655383:GXW655402 HHS655383:HHS655402 HRO655383:HRO655402 IBK655383:IBK655402 ILG655383:ILG655402 IVC655383:IVC655402 JEY655383:JEY655402 JOU655383:JOU655402 JYQ655383:JYQ655402 KIM655383:KIM655402 KSI655383:KSI655402 LCE655383:LCE655402 LMA655383:LMA655402 LVW655383:LVW655402 MFS655383:MFS655402 MPO655383:MPO655402 MZK655383:MZK655402 NJG655383:NJG655402 NTC655383:NTC655402 OCY655383:OCY655402 OMU655383:OMU655402 OWQ655383:OWQ655402 PGM655383:PGM655402 PQI655383:PQI655402 QAE655383:QAE655402 QKA655383:QKA655402 QTW655383:QTW655402 RDS655383:RDS655402 RNO655383:RNO655402 RXK655383:RXK655402 SHG655383:SHG655402 SRC655383:SRC655402 TAY655383:TAY655402 TKU655383:TKU655402 TUQ655383:TUQ655402 UEM655383:UEM655402 UOI655383:UOI655402 UYE655383:UYE655402 VIA655383:VIA655402 VRW655383:VRW655402 WBS655383:WBS655402 WLO655383:WLO655402 WVK655383:WVK655402 IY720919:IY720938 SU720919:SU720938 ACQ720919:ACQ720938 AMM720919:AMM720938 AWI720919:AWI720938 BGE720919:BGE720938 BQA720919:BQA720938 BZW720919:BZW720938 CJS720919:CJS720938 CTO720919:CTO720938 DDK720919:DDK720938 DNG720919:DNG720938 DXC720919:DXC720938 EGY720919:EGY720938 EQU720919:EQU720938 FAQ720919:FAQ720938 FKM720919:FKM720938 FUI720919:FUI720938 GEE720919:GEE720938 GOA720919:GOA720938 GXW720919:GXW720938 HHS720919:HHS720938 HRO720919:HRO720938 IBK720919:IBK720938 ILG720919:ILG720938 IVC720919:IVC720938 JEY720919:JEY720938 JOU720919:JOU720938 JYQ720919:JYQ720938 KIM720919:KIM720938 KSI720919:KSI720938 LCE720919:LCE720938 LMA720919:LMA720938 LVW720919:LVW720938 MFS720919:MFS720938 MPO720919:MPO720938 MZK720919:MZK720938 NJG720919:NJG720938 NTC720919:NTC720938 OCY720919:OCY720938 OMU720919:OMU720938 OWQ720919:OWQ720938 PGM720919:PGM720938 PQI720919:PQI720938 QAE720919:QAE720938 QKA720919:QKA720938 QTW720919:QTW720938 RDS720919:RDS720938 RNO720919:RNO720938 RXK720919:RXK720938 SHG720919:SHG720938 SRC720919:SRC720938 TAY720919:TAY720938 TKU720919:TKU720938 TUQ720919:TUQ720938 UEM720919:UEM720938 UOI720919:UOI720938 UYE720919:UYE720938 VIA720919:VIA720938 VRW720919:VRW720938 WBS720919:WBS720938 WLO720919:WLO720938 WVK720919:WVK720938 IY786455:IY786474 SU786455:SU786474 ACQ786455:ACQ786474 AMM786455:AMM786474 AWI786455:AWI786474 BGE786455:BGE786474 BQA786455:BQA786474 BZW786455:BZW786474 CJS786455:CJS786474 CTO786455:CTO786474 DDK786455:DDK786474 DNG786455:DNG786474 DXC786455:DXC786474 EGY786455:EGY786474 EQU786455:EQU786474 FAQ786455:FAQ786474 FKM786455:FKM786474 FUI786455:FUI786474 GEE786455:GEE786474 GOA786455:GOA786474 GXW786455:GXW786474 HHS786455:HHS786474 HRO786455:HRO786474 IBK786455:IBK786474 ILG786455:ILG786474 IVC786455:IVC786474 JEY786455:JEY786474 JOU786455:JOU786474 JYQ786455:JYQ786474 KIM786455:KIM786474 KSI786455:KSI786474 LCE786455:LCE786474 LMA786455:LMA786474 LVW786455:LVW786474 MFS786455:MFS786474 MPO786455:MPO786474 MZK786455:MZK786474 NJG786455:NJG786474 NTC786455:NTC786474 OCY786455:OCY786474 OMU786455:OMU786474 OWQ786455:OWQ786474 PGM786455:PGM786474 PQI786455:PQI786474 QAE786455:QAE786474 QKA786455:QKA786474 QTW786455:QTW786474 RDS786455:RDS786474 RNO786455:RNO786474 RXK786455:RXK786474 SHG786455:SHG786474 SRC786455:SRC786474 TAY786455:TAY786474 TKU786455:TKU786474 TUQ786455:TUQ786474 UEM786455:UEM786474 UOI786455:UOI786474 UYE786455:UYE786474 VIA786455:VIA786474 VRW786455:VRW786474 WBS786455:WBS786474 WLO786455:WLO786474 WVK786455:WVK786474 IY851991:IY852010 SU851991:SU852010 ACQ851991:ACQ852010 AMM851991:AMM852010 AWI851991:AWI852010 BGE851991:BGE852010 BQA851991:BQA852010 BZW851991:BZW852010 CJS851991:CJS852010 CTO851991:CTO852010 DDK851991:DDK852010 DNG851991:DNG852010 DXC851991:DXC852010 EGY851991:EGY852010 EQU851991:EQU852010 FAQ851991:FAQ852010 FKM851991:FKM852010 FUI851991:FUI852010 GEE851991:GEE852010 GOA851991:GOA852010 GXW851991:GXW852010 HHS851991:HHS852010 HRO851991:HRO852010 IBK851991:IBK852010 ILG851991:ILG852010 IVC851991:IVC852010 JEY851991:JEY852010 JOU851991:JOU852010 JYQ851991:JYQ852010 KIM851991:KIM852010 KSI851991:KSI852010 LCE851991:LCE852010 LMA851991:LMA852010 LVW851991:LVW852010 MFS851991:MFS852010 MPO851991:MPO852010 MZK851991:MZK852010 NJG851991:NJG852010 NTC851991:NTC852010 OCY851991:OCY852010 OMU851991:OMU852010 OWQ851991:OWQ852010 PGM851991:PGM852010 PQI851991:PQI852010 QAE851991:QAE852010 QKA851991:QKA852010 QTW851991:QTW852010 RDS851991:RDS852010 RNO851991:RNO852010 RXK851991:RXK852010 SHG851991:SHG852010 SRC851991:SRC852010 TAY851991:TAY852010 TKU851991:TKU852010 TUQ851991:TUQ852010 UEM851991:UEM852010 UOI851991:UOI852010 UYE851991:UYE852010 VIA851991:VIA852010 VRW851991:VRW852010 WBS851991:WBS852010 WLO851991:WLO852010 WVK851991:WVK852010 IY917527:IY917546 SU917527:SU917546 ACQ917527:ACQ917546 AMM917527:AMM917546 AWI917527:AWI917546 BGE917527:BGE917546 BQA917527:BQA917546 BZW917527:BZW917546 CJS917527:CJS917546 CTO917527:CTO917546 DDK917527:DDK917546 DNG917527:DNG917546 DXC917527:DXC917546 EGY917527:EGY917546 EQU917527:EQU917546 FAQ917527:FAQ917546 FKM917527:FKM917546 FUI917527:FUI917546 GEE917527:GEE917546 GOA917527:GOA917546 GXW917527:GXW917546 HHS917527:HHS917546 HRO917527:HRO917546 IBK917527:IBK917546 ILG917527:ILG917546 IVC917527:IVC917546 JEY917527:JEY917546 JOU917527:JOU917546 JYQ917527:JYQ917546 KIM917527:KIM917546 KSI917527:KSI917546 LCE917527:LCE917546 LMA917527:LMA917546 LVW917527:LVW917546 MFS917527:MFS917546 MPO917527:MPO917546 MZK917527:MZK917546 NJG917527:NJG917546 NTC917527:NTC917546 OCY917527:OCY917546 OMU917527:OMU917546 OWQ917527:OWQ917546 PGM917527:PGM917546 PQI917527:PQI917546 QAE917527:QAE917546 QKA917527:QKA917546 QTW917527:QTW917546 RDS917527:RDS917546 RNO917527:RNO917546 RXK917527:RXK917546 SHG917527:SHG917546 SRC917527:SRC917546 TAY917527:TAY917546 TKU917527:TKU917546 TUQ917527:TUQ917546 UEM917527:UEM917546 UOI917527:UOI917546 UYE917527:UYE917546 VIA917527:VIA917546 VRW917527:VRW917546 WBS917527:WBS917546 WLO917527:WLO917546 WVK917527:WVK917546 IY983063:IY983082 SU983063:SU983082 ACQ983063:ACQ983082 AMM983063:AMM983082 AWI983063:AWI983082 BGE983063:BGE983082 BQA983063:BQA983082 BZW983063:BZW983082 CJS983063:CJS983082 CTO983063:CTO983082 DDK983063:DDK983082 DNG983063:DNG983082 DXC983063:DXC983082 EGY983063:EGY983082 EQU983063:EQU983082 FAQ983063:FAQ983082 FKM983063:FKM983082 FUI983063:FUI983082 GEE983063:GEE983082 GOA983063:GOA983082 GXW983063:GXW983082 HHS983063:HHS983082 HRO983063:HRO983082 IBK983063:IBK983082 ILG983063:ILG983082 IVC983063:IVC983082 JEY983063:JEY983082 JOU983063:JOU983082 JYQ983063:JYQ983082 KIM983063:KIM983082 KSI983063:KSI983082 LCE983063:LCE983082 LMA983063:LMA983082 LVW983063:LVW983082 MFS983063:MFS983082 MPO983063:MPO983082 MZK983063:MZK983082 NJG983063:NJG983082 NTC983063:NTC983082 OCY983063:OCY983082 OMU983063:OMU983082 OWQ983063:OWQ983082 PGM983063:PGM983082 PQI983063:PQI983082 QAE983063:QAE983082 QKA983063:QKA983082 QTW983063:QTW983082 RDS983063:RDS983082 RNO983063:RNO983082 RXK983063:RXK983082 SHG983063:SHG983082 SRC983063:SRC983082 TAY983063:TAY983082 TKU983063:TKU983082 TUQ983063:TUQ983082 UEM983063:UEM983082 UOI983063:UOI983082 UYE983063:UYE983082 VIA983063:VIA983082 VRW983063:VRW983082 WBS983063:WBS983082 WLO983063:WLO983082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3:WVI983082 I65560:I65579 IW65559:IW65578 SS65559:SS65578 ACO65559:ACO65578 AMK65559:AMK65578 AWG65559:AWG65578 BGC65559:BGC65578 BPY65559:BPY65578 BZU65559:BZU65578 CJQ65559:CJQ65578 CTM65559:CTM65578 DDI65559:DDI65578 DNE65559:DNE65578 DXA65559:DXA65578 EGW65559:EGW65578 EQS65559:EQS65578 FAO65559:FAO65578 FKK65559:FKK65578 FUG65559:FUG65578 GEC65559:GEC65578 GNY65559:GNY65578 GXU65559:GXU65578 HHQ65559:HHQ65578 HRM65559:HRM65578 IBI65559:IBI65578 ILE65559:ILE65578 IVA65559:IVA65578 JEW65559:JEW65578 JOS65559:JOS65578 JYO65559:JYO65578 KIK65559:KIK65578 KSG65559:KSG65578 LCC65559:LCC65578 LLY65559:LLY65578 LVU65559:LVU65578 MFQ65559:MFQ65578 MPM65559:MPM65578 MZI65559:MZI65578 NJE65559:NJE65578 NTA65559:NTA65578 OCW65559:OCW65578 OMS65559:OMS65578 OWO65559:OWO65578 PGK65559:PGK65578 PQG65559:PQG65578 QAC65559:QAC65578 QJY65559:QJY65578 QTU65559:QTU65578 RDQ65559:RDQ65578 RNM65559:RNM65578 RXI65559:RXI65578 SHE65559:SHE65578 SRA65559:SRA65578 TAW65559:TAW65578 TKS65559:TKS65578 TUO65559:TUO65578 UEK65559:UEK65578 UOG65559:UOG65578 UYC65559:UYC65578 VHY65559:VHY65578 VRU65559:VRU65578 WBQ65559:WBQ65578 WLM65559:WLM65578 WVI65559:WVI65578 I131096:I131115 IW131095:IW131114 SS131095:SS131114 ACO131095:ACO131114 AMK131095:AMK131114 AWG131095:AWG131114 BGC131095:BGC131114 BPY131095:BPY131114 BZU131095:BZU131114 CJQ131095:CJQ131114 CTM131095:CTM131114 DDI131095:DDI131114 DNE131095:DNE131114 DXA131095:DXA131114 EGW131095:EGW131114 EQS131095:EQS131114 FAO131095:FAO131114 FKK131095:FKK131114 FUG131095:FUG131114 GEC131095:GEC131114 GNY131095:GNY131114 GXU131095:GXU131114 HHQ131095:HHQ131114 HRM131095:HRM131114 IBI131095:IBI131114 ILE131095:ILE131114 IVA131095:IVA131114 JEW131095:JEW131114 JOS131095:JOS131114 JYO131095:JYO131114 KIK131095:KIK131114 KSG131095:KSG131114 LCC131095:LCC131114 LLY131095:LLY131114 LVU131095:LVU131114 MFQ131095:MFQ131114 MPM131095:MPM131114 MZI131095:MZI131114 NJE131095:NJE131114 NTA131095:NTA131114 OCW131095:OCW131114 OMS131095:OMS131114 OWO131095:OWO131114 PGK131095:PGK131114 PQG131095:PQG131114 QAC131095:QAC131114 QJY131095:QJY131114 QTU131095:QTU131114 RDQ131095:RDQ131114 RNM131095:RNM131114 RXI131095:RXI131114 SHE131095:SHE131114 SRA131095:SRA131114 TAW131095:TAW131114 TKS131095:TKS131114 TUO131095:TUO131114 UEK131095:UEK131114 UOG131095:UOG131114 UYC131095:UYC131114 VHY131095:VHY131114 VRU131095:VRU131114 WBQ131095:WBQ131114 WLM131095:WLM131114 WVI131095:WVI131114 I196632:I196651 IW196631:IW196650 SS196631:SS196650 ACO196631:ACO196650 AMK196631:AMK196650 AWG196631:AWG196650 BGC196631:BGC196650 BPY196631:BPY196650 BZU196631:BZU196650 CJQ196631:CJQ196650 CTM196631:CTM196650 DDI196631:DDI196650 DNE196631:DNE196650 DXA196631:DXA196650 EGW196631:EGW196650 EQS196631:EQS196650 FAO196631:FAO196650 FKK196631:FKK196650 FUG196631:FUG196650 GEC196631:GEC196650 GNY196631:GNY196650 GXU196631:GXU196650 HHQ196631:HHQ196650 HRM196631:HRM196650 IBI196631:IBI196650 ILE196631:ILE196650 IVA196631:IVA196650 JEW196631:JEW196650 JOS196631:JOS196650 JYO196631:JYO196650 KIK196631:KIK196650 KSG196631:KSG196650 LCC196631:LCC196650 LLY196631:LLY196650 LVU196631:LVU196650 MFQ196631:MFQ196650 MPM196631:MPM196650 MZI196631:MZI196650 NJE196631:NJE196650 NTA196631:NTA196650 OCW196631:OCW196650 OMS196631:OMS196650 OWO196631:OWO196650 PGK196631:PGK196650 PQG196631:PQG196650 QAC196631:QAC196650 QJY196631:QJY196650 QTU196631:QTU196650 RDQ196631:RDQ196650 RNM196631:RNM196650 RXI196631:RXI196650 SHE196631:SHE196650 SRA196631:SRA196650 TAW196631:TAW196650 TKS196631:TKS196650 TUO196631:TUO196650 UEK196631:UEK196650 UOG196631:UOG196650 UYC196631:UYC196650 VHY196631:VHY196650 VRU196631:VRU196650 WBQ196631:WBQ196650 WLM196631:WLM196650 WVI196631:WVI196650 I262168:I262187 IW262167:IW262186 SS262167:SS262186 ACO262167:ACO262186 AMK262167:AMK262186 AWG262167:AWG262186 BGC262167:BGC262186 BPY262167:BPY262186 BZU262167:BZU262186 CJQ262167:CJQ262186 CTM262167:CTM262186 DDI262167:DDI262186 DNE262167:DNE262186 DXA262167:DXA262186 EGW262167:EGW262186 EQS262167:EQS262186 FAO262167:FAO262186 FKK262167:FKK262186 FUG262167:FUG262186 GEC262167:GEC262186 GNY262167:GNY262186 GXU262167:GXU262186 HHQ262167:HHQ262186 HRM262167:HRM262186 IBI262167:IBI262186 ILE262167:ILE262186 IVA262167:IVA262186 JEW262167:JEW262186 JOS262167:JOS262186 JYO262167:JYO262186 KIK262167:KIK262186 KSG262167:KSG262186 LCC262167:LCC262186 LLY262167:LLY262186 LVU262167:LVU262186 MFQ262167:MFQ262186 MPM262167:MPM262186 MZI262167:MZI262186 NJE262167:NJE262186 NTA262167:NTA262186 OCW262167:OCW262186 OMS262167:OMS262186 OWO262167:OWO262186 PGK262167:PGK262186 PQG262167:PQG262186 QAC262167:QAC262186 QJY262167:QJY262186 QTU262167:QTU262186 RDQ262167:RDQ262186 RNM262167:RNM262186 RXI262167:RXI262186 SHE262167:SHE262186 SRA262167:SRA262186 TAW262167:TAW262186 TKS262167:TKS262186 TUO262167:TUO262186 UEK262167:UEK262186 UOG262167:UOG262186 UYC262167:UYC262186 VHY262167:VHY262186 VRU262167:VRU262186 WBQ262167:WBQ262186 WLM262167:WLM262186 WVI262167:WVI262186 I327704:I327723 IW327703:IW327722 SS327703:SS327722 ACO327703:ACO327722 AMK327703:AMK327722 AWG327703:AWG327722 BGC327703:BGC327722 BPY327703:BPY327722 BZU327703:BZU327722 CJQ327703:CJQ327722 CTM327703:CTM327722 DDI327703:DDI327722 DNE327703:DNE327722 DXA327703:DXA327722 EGW327703:EGW327722 EQS327703:EQS327722 FAO327703:FAO327722 FKK327703:FKK327722 FUG327703:FUG327722 GEC327703:GEC327722 GNY327703:GNY327722 GXU327703:GXU327722 HHQ327703:HHQ327722 HRM327703:HRM327722 IBI327703:IBI327722 ILE327703:ILE327722 IVA327703:IVA327722 JEW327703:JEW327722 JOS327703:JOS327722 JYO327703:JYO327722 KIK327703:KIK327722 KSG327703:KSG327722 LCC327703:LCC327722 LLY327703:LLY327722 LVU327703:LVU327722 MFQ327703:MFQ327722 MPM327703:MPM327722 MZI327703:MZI327722 NJE327703:NJE327722 NTA327703:NTA327722 OCW327703:OCW327722 OMS327703:OMS327722 OWO327703:OWO327722 PGK327703:PGK327722 PQG327703:PQG327722 QAC327703:QAC327722 QJY327703:QJY327722 QTU327703:QTU327722 RDQ327703:RDQ327722 RNM327703:RNM327722 RXI327703:RXI327722 SHE327703:SHE327722 SRA327703:SRA327722 TAW327703:TAW327722 TKS327703:TKS327722 TUO327703:TUO327722 UEK327703:UEK327722 UOG327703:UOG327722 UYC327703:UYC327722 VHY327703:VHY327722 VRU327703:VRU327722 WBQ327703:WBQ327722 WLM327703:WLM327722 WVI327703:WVI327722 I393240:I393259 IW393239:IW393258 SS393239:SS393258 ACO393239:ACO393258 AMK393239:AMK393258 AWG393239:AWG393258 BGC393239:BGC393258 BPY393239:BPY393258 BZU393239:BZU393258 CJQ393239:CJQ393258 CTM393239:CTM393258 DDI393239:DDI393258 DNE393239:DNE393258 DXA393239:DXA393258 EGW393239:EGW393258 EQS393239:EQS393258 FAO393239:FAO393258 FKK393239:FKK393258 FUG393239:FUG393258 GEC393239:GEC393258 GNY393239:GNY393258 GXU393239:GXU393258 HHQ393239:HHQ393258 HRM393239:HRM393258 IBI393239:IBI393258 ILE393239:ILE393258 IVA393239:IVA393258 JEW393239:JEW393258 JOS393239:JOS393258 JYO393239:JYO393258 KIK393239:KIK393258 KSG393239:KSG393258 LCC393239:LCC393258 LLY393239:LLY393258 LVU393239:LVU393258 MFQ393239:MFQ393258 MPM393239:MPM393258 MZI393239:MZI393258 NJE393239:NJE393258 NTA393239:NTA393258 OCW393239:OCW393258 OMS393239:OMS393258 OWO393239:OWO393258 PGK393239:PGK393258 PQG393239:PQG393258 QAC393239:QAC393258 QJY393239:QJY393258 QTU393239:QTU393258 RDQ393239:RDQ393258 RNM393239:RNM393258 RXI393239:RXI393258 SHE393239:SHE393258 SRA393239:SRA393258 TAW393239:TAW393258 TKS393239:TKS393258 TUO393239:TUO393258 UEK393239:UEK393258 UOG393239:UOG393258 UYC393239:UYC393258 VHY393239:VHY393258 VRU393239:VRU393258 WBQ393239:WBQ393258 WLM393239:WLM393258 WVI393239:WVI393258 I458776:I458795 IW458775:IW458794 SS458775:SS458794 ACO458775:ACO458794 AMK458775:AMK458794 AWG458775:AWG458794 BGC458775:BGC458794 BPY458775:BPY458794 BZU458775:BZU458794 CJQ458775:CJQ458794 CTM458775:CTM458794 DDI458775:DDI458794 DNE458775:DNE458794 DXA458775:DXA458794 EGW458775:EGW458794 EQS458775:EQS458794 FAO458775:FAO458794 FKK458775:FKK458794 FUG458775:FUG458794 GEC458775:GEC458794 GNY458775:GNY458794 GXU458775:GXU458794 HHQ458775:HHQ458794 HRM458775:HRM458794 IBI458775:IBI458794 ILE458775:ILE458794 IVA458775:IVA458794 JEW458775:JEW458794 JOS458775:JOS458794 JYO458775:JYO458794 KIK458775:KIK458794 KSG458775:KSG458794 LCC458775:LCC458794 LLY458775:LLY458794 LVU458775:LVU458794 MFQ458775:MFQ458794 MPM458775:MPM458794 MZI458775:MZI458794 NJE458775:NJE458794 NTA458775:NTA458794 OCW458775:OCW458794 OMS458775:OMS458794 OWO458775:OWO458794 PGK458775:PGK458794 PQG458775:PQG458794 QAC458775:QAC458794 QJY458775:QJY458794 QTU458775:QTU458794 RDQ458775:RDQ458794 RNM458775:RNM458794 RXI458775:RXI458794 SHE458775:SHE458794 SRA458775:SRA458794 TAW458775:TAW458794 TKS458775:TKS458794 TUO458775:TUO458794 UEK458775:UEK458794 UOG458775:UOG458794 UYC458775:UYC458794 VHY458775:VHY458794 VRU458775:VRU458794 WBQ458775:WBQ458794 WLM458775:WLM458794 WVI458775:WVI458794 I524312:I524331 IW524311:IW524330 SS524311:SS524330 ACO524311:ACO524330 AMK524311:AMK524330 AWG524311:AWG524330 BGC524311:BGC524330 BPY524311:BPY524330 BZU524311:BZU524330 CJQ524311:CJQ524330 CTM524311:CTM524330 DDI524311:DDI524330 DNE524311:DNE524330 DXA524311:DXA524330 EGW524311:EGW524330 EQS524311:EQS524330 FAO524311:FAO524330 FKK524311:FKK524330 FUG524311:FUG524330 GEC524311:GEC524330 GNY524311:GNY524330 GXU524311:GXU524330 HHQ524311:HHQ524330 HRM524311:HRM524330 IBI524311:IBI524330 ILE524311:ILE524330 IVA524311:IVA524330 JEW524311:JEW524330 JOS524311:JOS524330 JYO524311:JYO524330 KIK524311:KIK524330 KSG524311:KSG524330 LCC524311:LCC524330 LLY524311:LLY524330 LVU524311:LVU524330 MFQ524311:MFQ524330 MPM524311:MPM524330 MZI524311:MZI524330 NJE524311:NJE524330 NTA524311:NTA524330 OCW524311:OCW524330 OMS524311:OMS524330 OWO524311:OWO524330 PGK524311:PGK524330 PQG524311:PQG524330 QAC524311:QAC524330 QJY524311:QJY524330 QTU524311:QTU524330 RDQ524311:RDQ524330 RNM524311:RNM524330 RXI524311:RXI524330 SHE524311:SHE524330 SRA524311:SRA524330 TAW524311:TAW524330 TKS524311:TKS524330 TUO524311:TUO524330 UEK524311:UEK524330 UOG524311:UOG524330 UYC524311:UYC524330 VHY524311:VHY524330 VRU524311:VRU524330 WBQ524311:WBQ524330 WLM524311:WLM524330 WVI524311:WVI524330 I589848:I589867 IW589847:IW589866 SS589847:SS589866 ACO589847:ACO589866 AMK589847:AMK589866 AWG589847:AWG589866 BGC589847:BGC589866 BPY589847:BPY589866 BZU589847:BZU589866 CJQ589847:CJQ589866 CTM589847:CTM589866 DDI589847:DDI589866 DNE589847:DNE589866 DXA589847:DXA589866 EGW589847:EGW589866 EQS589847:EQS589866 FAO589847:FAO589866 FKK589847:FKK589866 FUG589847:FUG589866 GEC589847:GEC589866 GNY589847:GNY589866 GXU589847:GXU589866 HHQ589847:HHQ589866 HRM589847:HRM589866 IBI589847:IBI589866 ILE589847:ILE589866 IVA589847:IVA589866 JEW589847:JEW589866 JOS589847:JOS589866 JYO589847:JYO589866 KIK589847:KIK589866 KSG589847:KSG589866 LCC589847:LCC589866 LLY589847:LLY589866 LVU589847:LVU589866 MFQ589847:MFQ589866 MPM589847:MPM589866 MZI589847:MZI589866 NJE589847:NJE589866 NTA589847:NTA589866 OCW589847:OCW589866 OMS589847:OMS589866 OWO589847:OWO589866 PGK589847:PGK589866 PQG589847:PQG589866 QAC589847:QAC589866 QJY589847:QJY589866 QTU589847:QTU589866 RDQ589847:RDQ589866 RNM589847:RNM589866 RXI589847:RXI589866 SHE589847:SHE589866 SRA589847:SRA589866 TAW589847:TAW589866 TKS589847:TKS589866 TUO589847:TUO589866 UEK589847:UEK589866 UOG589847:UOG589866 UYC589847:UYC589866 VHY589847:VHY589866 VRU589847:VRU589866 WBQ589847:WBQ589866 WLM589847:WLM589866 WVI589847:WVI589866 I655384:I655403 IW655383:IW655402 SS655383:SS655402 ACO655383:ACO655402 AMK655383:AMK655402 AWG655383:AWG655402 BGC655383:BGC655402 BPY655383:BPY655402 BZU655383:BZU655402 CJQ655383:CJQ655402 CTM655383:CTM655402 DDI655383:DDI655402 DNE655383:DNE655402 DXA655383:DXA655402 EGW655383:EGW655402 EQS655383:EQS655402 FAO655383:FAO655402 FKK655383:FKK655402 FUG655383:FUG655402 GEC655383:GEC655402 GNY655383:GNY655402 GXU655383:GXU655402 HHQ655383:HHQ655402 HRM655383:HRM655402 IBI655383:IBI655402 ILE655383:ILE655402 IVA655383:IVA655402 JEW655383:JEW655402 JOS655383:JOS655402 JYO655383:JYO655402 KIK655383:KIK655402 KSG655383:KSG655402 LCC655383:LCC655402 LLY655383:LLY655402 LVU655383:LVU655402 MFQ655383:MFQ655402 MPM655383:MPM655402 MZI655383:MZI655402 NJE655383:NJE655402 NTA655383:NTA655402 OCW655383:OCW655402 OMS655383:OMS655402 OWO655383:OWO655402 PGK655383:PGK655402 PQG655383:PQG655402 QAC655383:QAC655402 QJY655383:QJY655402 QTU655383:QTU655402 RDQ655383:RDQ655402 RNM655383:RNM655402 RXI655383:RXI655402 SHE655383:SHE655402 SRA655383:SRA655402 TAW655383:TAW655402 TKS655383:TKS655402 TUO655383:TUO655402 UEK655383:UEK655402 UOG655383:UOG655402 UYC655383:UYC655402 VHY655383:VHY655402 VRU655383:VRU655402 WBQ655383:WBQ655402 WLM655383:WLM655402 WVI655383:WVI655402 I720920:I720939 IW720919:IW720938 SS720919:SS720938 ACO720919:ACO720938 AMK720919:AMK720938 AWG720919:AWG720938 BGC720919:BGC720938 BPY720919:BPY720938 BZU720919:BZU720938 CJQ720919:CJQ720938 CTM720919:CTM720938 DDI720919:DDI720938 DNE720919:DNE720938 DXA720919:DXA720938 EGW720919:EGW720938 EQS720919:EQS720938 FAO720919:FAO720938 FKK720919:FKK720938 FUG720919:FUG720938 GEC720919:GEC720938 GNY720919:GNY720938 GXU720919:GXU720938 HHQ720919:HHQ720938 HRM720919:HRM720938 IBI720919:IBI720938 ILE720919:ILE720938 IVA720919:IVA720938 JEW720919:JEW720938 JOS720919:JOS720938 JYO720919:JYO720938 KIK720919:KIK720938 KSG720919:KSG720938 LCC720919:LCC720938 LLY720919:LLY720938 LVU720919:LVU720938 MFQ720919:MFQ720938 MPM720919:MPM720938 MZI720919:MZI720938 NJE720919:NJE720938 NTA720919:NTA720938 OCW720919:OCW720938 OMS720919:OMS720938 OWO720919:OWO720938 PGK720919:PGK720938 PQG720919:PQG720938 QAC720919:QAC720938 QJY720919:QJY720938 QTU720919:QTU720938 RDQ720919:RDQ720938 RNM720919:RNM720938 RXI720919:RXI720938 SHE720919:SHE720938 SRA720919:SRA720938 TAW720919:TAW720938 TKS720919:TKS720938 TUO720919:TUO720938 UEK720919:UEK720938 UOG720919:UOG720938 UYC720919:UYC720938 VHY720919:VHY720938 VRU720919:VRU720938 WBQ720919:WBQ720938 WLM720919:WLM720938 WVI720919:WVI720938 I786456:I786475 IW786455:IW786474 SS786455:SS786474 ACO786455:ACO786474 AMK786455:AMK786474 AWG786455:AWG786474 BGC786455:BGC786474 BPY786455:BPY786474 BZU786455:BZU786474 CJQ786455:CJQ786474 CTM786455:CTM786474 DDI786455:DDI786474 DNE786455:DNE786474 DXA786455:DXA786474 EGW786455:EGW786474 EQS786455:EQS786474 FAO786455:FAO786474 FKK786455:FKK786474 FUG786455:FUG786474 GEC786455:GEC786474 GNY786455:GNY786474 GXU786455:GXU786474 HHQ786455:HHQ786474 HRM786455:HRM786474 IBI786455:IBI786474 ILE786455:ILE786474 IVA786455:IVA786474 JEW786455:JEW786474 JOS786455:JOS786474 JYO786455:JYO786474 KIK786455:KIK786474 KSG786455:KSG786474 LCC786455:LCC786474 LLY786455:LLY786474 LVU786455:LVU786474 MFQ786455:MFQ786474 MPM786455:MPM786474 MZI786455:MZI786474 NJE786455:NJE786474 NTA786455:NTA786474 OCW786455:OCW786474 OMS786455:OMS786474 OWO786455:OWO786474 PGK786455:PGK786474 PQG786455:PQG786474 QAC786455:QAC786474 QJY786455:QJY786474 QTU786455:QTU786474 RDQ786455:RDQ786474 RNM786455:RNM786474 RXI786455:RXI786474 SHE786455:SHE786474 SRA786455:SRA786474 TAW786455:TAW786474 TKS786455:TKS786474 TUO786455:TUO786474 UEK786455:UEK786474 UOG786455:UOG786474 UYC786455:UYC786474 VHY786455:VHY786474 VRU786455:VRU786474 WBQ786455:WBQ786474 WLM786455:WLM786474 WVI786455:WVI786474 I851992:I852011 IW851991:IW852010 SS851991:SS852010 ACO851991:ACO852010 AMK851991:AMK852010 AWG851991:AWG852010 BGC851991:BGC852010 BPY851991:BPY852010 BZU851991:BZU852010 CJQ851991:CJQ852010 CTM851991:CTM852010 DDI851991:DDI852010 DNE851991:DNE852010 DXA851991:DXA852010 EGW851991:EGW852010 EQS851991:EQS852010 FAO851991:FAO852010 FKK851991:FKK852010 FUG851991:FUG852010 GEC851991:GEC852010 GNY851991:GNY852010 GXU851991:GXU852010 HHQ851991:HHQ852010 HRM851991:HRM852010 IBI851991:IBI852010 ILE851991:ILE852010 IVA851991:IVA852010 JEW851991:JEW852010 JOS851991:JOS852010 JYO851991:JYO852010 KIK851991:KIK852010 KSG851991:KSG852010 LCC851991:LCC852010 LLY851991:LLY852010 LVU851991:LVU852010 MFQ851991:MFQ852010 MPM851991:MPM852010 MZI851991:MZI852010 NJE851991:NJE852010 NTA851991:NTA852010 OCW851991:OCW852010 OMS851991:OMS852010 OWO851991:OWO852010 PGK851991:PGK852010 PQG851991:PQG852010 QAC851991:QAC852010 QJY851991:QJY852010 QTU851991:QTU852010 RDQ851991:RDQ852010 RNM851991:RNM852010 RXI851991:RXI852010 SHE851991:SHE852010 SRA851991:SRA852010 TAW851991:TAW852010 TKS851991:TKS852010 TUO851991:TUO852010 UEK851991:UEK852010 UOG851991:UOG852010 UYC851991:UYC852010 VHY851991:VHY852010 VRU851991:VRU852010 WBQ851991:WBQ852010 WLM851991:WLM852010 WVI851991:WVI852010 I917528:I917547 IW917527:IW917546 SS917527:SS917546 ACO917527:ACO917546 AMK917527:AMK917546 AWG917527:AWG917546 BGC917527:BGC917546 BPY917527:BPY917546 BZU917527:BZU917546 CJQ917527:CJQ917546 CTM917527:CTM917546 DDI917527:DDI917546 DNE917527:DNE917546 DXA917527:DXA917546 EGW917527:EGW917546 EQS917527:EQS917546 FAO917527:FAO917546 FKK917527:FKK917546 FUG917527:FUG917546 GEC917527:GEC917546 GNY917527:GNY917546 GXU917527:GXU917546 HHQ917527:HHQ917546 HRM917527:HRM917546 IBI917527:IBI917546 ILE917527:ILE917546 IVA917527:IVA917546 JEW917527:JEW917546 JOS917527:JOS917546 JYO917527:JYO917546 KIK917527:KIK917546 KSG917527:KSG917546 LCC917527:LCC917546 LLY917527:LLY917546 LVU917527:LVU917546 MFQ917527:MFQ917546 MPM917527:MPM917546 MZI917527:MZI917546 NJE917527:NJE917546 NTA917527:NTA917546 OCW917527:OCW917546 OMS917527:OMS917546 OWO917527:OWO917546 PGK917527:PGK917546 PQG917527:PQG917546 QAC917527:QAC917546 QJY917527:QJY917546 QTU917527:QTU917546 RDQ917527:RDQ917546 RNM917527:RNM917546 RXI917527:RXI917546 SHE917527:SHE917546 SRA917527:SRA917546 TAW917527:TAW917546 TKS917527:TKS917546 TUO917527:TUO917546 UEK917527:UEK917546 UOG917527:UOG917546 UYC917527:UYC917546 VHY917527:VHY917546 VRU917527:VRU917546 WBQ917527:WBQ917546 WLM917527:WLM917546 WVI917527:WVI917546 I983064:I983083 IW983063:IW983082 SS983063:SS983082 ACO983063:ACO983082 AMK983063:AMK983082 AWG983063:AWG983082 BGC983063:BGC983082 BPY983063:BPY983082 BZU983063:BZU983082 CJQ983063:CJQ983082 CTM983063:CTM983082 DDI983063:DDI983082 DNE983063:DNE983082 DXA983063:DXA983082 EGW983063:EGW983082 EQS983063:EQS983082 FAO983063:FAO983082 FKK983063:FKK983082 FUG983063:FUG983082 GEC983063:GEC983082 GNY983063:GNY983082 GXU983063:GXU983082 HHQ983063:HHQ983082 HRM983063:HRM983082 IBI983063:IBI983082 ILE983063:ILE983082 IVA983063:IVA983082 JEW983063:JEW983082 JOS983063:JOS983082 JYO983063:JYO983082 KIK983063:KIK983082 KSG983063:KSG983082 LCC983063:LCC983082 LLY983063:LLY983082 LVU983063:LVU983082 MFQ983063:MFQ983082 MPM983063:MPM983082 MZI983063:MZI983082 NJE983063:NJE983082 NTA983063:NTA983082 OCW983063:OCW983082 OMS983063:OMS983082 OWO983063:OWO983082 PGK983063:PGK983082 PQG983063:PQG983082 QAC983063:QAC983082 QJY983063:QJY983082 QTU983063:QTU983082 RDQ983063:RDQ983082 RNM983063:RNM983082 RXI983063:RXI983082 SHE983063:SHE983082 SRA983063:SRA983082 TAW983063:TAW983082 TKS983063:TKS983082 TUO983063:TUO983082 UEK983063:UEK983082 UOG983063:UOG983082 UYC983063:UYC983082 VHY983063:VHY983082 VRU983063:VRU983082 WBQ983063:WBQ983082 WLM983063:WLM983082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3:WVJ983082 J131096:J131115 IX65559:IX65578 ST65559:ST65578 ACP65559:ACP65578 AML65559:AML65578 AWH65559:AWH65578 BGD65559:BGD65578 BPZ65559:BPZ65578 BZV65559:BZV65578 CJR65559:CJR65578 CTN65559:CTN65578 DDJ65559:DDJ65578 DNF65559:DNF65578 DXB65559:DXB65578 EGX65559:EGX65578 EQT65559:EQT65578 FAP65559:FAP65578 FKL65559:FKL65578 FUH65559:FUH65578 GED65559:GED65578 GNZ65559:GNZ65578 GXV65559:GXV65578 HHR65559:HHR65578 HRN65559:HRN65578 IBJ65559:IBJ65578 ILF65559:ILF65578 IVB65559:IVB65578 JEX65559:JEX65578 JOT65559:JOT65578 JYP65559:JYP65578 KIL65559:KIL65578 KSH65559:KSH65578 LCD65559:LCD65578 LLZ65559:LLZ65578 LVV65559:LVV65578 MFR65559:MFR65578 MPN65559:MPN65578 MZJ65559:MZJ65578 NJF65559:NJF65578 NTB65559:NTB65578 OCX65559:OCX65578 OMT65559:OMT65578 OWP65559:OWP65578 PGL65559:PGL65578 PQH65559:PQH65578 QAD65559:QAD65578 QJZ65559:QJZ65578 QTV65559:QTV65578 RDR65559:RDR65578 RNN65559:RNN65578 RXJ65559:RXJ65578 SHF65559:SHF65578 SRB65559:SRB65578 TAX65559:TAX65578 TKT65559:TKT65578 TUP65559:TUP65578 UEL65559:UEL65578 UOH65559:UOH65578 UYD65559:UYD65578 VHZ65559:VHZ65578 VRV65559:VRV65578 WBR65559:WBR65578 WLN65559:WLN65578 WVJ65559:WVJ65578 J196632:J196651 IX131095:IX131114 ST131095:ST131114 ACP131095:ACP131114 AML131095:AML131114 AWH131095:AWH131114 BGD131095:BGD131114 BPZ131095:BPZ131114 BZV131095:BZV131114 CJR131095:CJR131114 CTN131095:CTN131114 DDJ131095:DDJ131114 DNF131095:DNF131114 DXB131095:DXB131114 EGX131095:EGX131114 EQT131095:EQT131114 FAP131095:FAP131114 FKL131095:FKL131114 FUH131095:FUH131114 GED131095:GED131114 GNZ131095:GNZ131114 GXV131095:GXV131114 HHR131095:HHR131114 HRN131095:HRN131114 IBJ131095:IBJ131114 ILF131095:ILF131114 IVB131095:IVB131114 JEX131095:JEX131114 JOT131095:JOT131114 JYP131095:JYP131114 KIL131095:KIL131114 KSH131095:KSH131114 LCD131095:LCD131114 LLZ131095:LLZ131114 LVV131095:LVV131114 MFR131095:MFR131114 MPN131095:MPN131114 MZJ131095:MZJ131114 NJF131095:NJF131114 NTB131095:NTB131114 OCX131095:OCX131114 OMT131095:OMT131114 OWP131095:OWP131114 PGL131095:PGL131114 PQH131095:PQH131114 QAD131095:QAD131114 QJZ131095:QJZ131114 QTV131095:QTV131114 RDR131095:RDR131114 RNN131095:RNN131114 RXJ131095:RXJ131114 SHF131095:SHF131114 SRB131095:SRB131114 TAX131095:TAX131114 TKT131095:TKT131114 TUP131095:TUP131114 UEL131095:UEL131114 UOH131095:UOH131114 UYD131095:UYD131114 VHZ131095:VHZ131114 VRV131095:VRV131114 WBR131095:WBR131114 WLN131095:WLN131114 WVJ131095:WVJ131114 J262168:J262187 IX196631:IX196650 ST196631:ST196650 ACP196631:ACP196650 AML196631:AML196650 AWH196631:AWH196650 BGD196631:BGD196650 BPZ196631:BPZ196650 BZV196631:BZV196650 CJR196631:CJR196650 CTN196631:CTN196650 DDJ196631:DDJ196650 DNF196631:DNF196650 DXB196631:DXB196650 EGX196631:EGX196650 EQT196631:EQT196650 FAP196631:FAP196650 FKL196631:FKL196650 FUH196631:FUH196650 GED196631:GED196650 GNZ196631:GNZ196650 GXV196631:GXV196650 HHR196631:HHR196650 HRN196631:HRN196650 IBJ196631:IBJ196650 ILF196631:ILF196650 IVB196631:IVB196650 JEX196631:JEX196650 JOT196631:JOT196650 JYP196631:JYP196650 KIL196631:KIL196650 KSH196631:KSH196650 LCD196631:LCD196650 LLZ196631:LLZ196650 LVV196631:LVV196650 MFR196631:MFR196650 MPN196631:MPN196650 MZJ196631:MZJ196650 NJF196631:NJF196650 NTB196631:NTB196650 OCX196631:OCX196650 OMT196631:OMT196650 OWP196631:OWP196650 PGL196631:PGL196650 PQH196631:PQH196650 QAD196631:QAD196650 QJZ196631:QJZ196650 QTV196631:QTV196650 RDR196631:RDR196650 RNN196631:RNN196650 RXJ196631:RXJ196650 SHF196631:SHF196650 SRB196631:SRB196650 TAX196631:TAX196650 TKT196631:TKT196650 TUP196631:TUP196650 UEL196631:UEL196650 UOH196631:UOH196650 UYD196631:UYD196650 VHZ196631:VHZ196650 VRV196631:VRV196650 WBR196631:WBR196650 WLN196631:WLN196650 WVJ196631:WVJ196650 J327704:J327723 IX262167:IX262186 ST262167:ST262186 ACP262167:ACP262186 AML262167:AML262186 AWH262167:AWH262186 BGD262167:BGD262186 BPZ262167:BPZ262186 BZV262167:BZV262186 CJR262167:CJR262186 CTN262167:CTN262186 DDJ262167:DDJ262186 DNF262167:DNF262186 DXB262167:DXB262186 EGX262167:EGX262186 EQT262167:EQT262186 FAP262167:FAP262186 FKL262167:FKL262186 FUH262167:FUH262186 GED262167:GED262186 GNZ262167:GNZ262186 GXV262167:GXV262186 HHR262167:HHR262186 HRN262167:HRN262186 IBJ262167:IBJ262186 ILF262167:ILF262186 IVB262167:IVB262186 JEX262167:JEX262186 JOT262167:JOT262186 JYP262167:JYP262186 KIL262167:KIL262186 KSH262167:KSH262186 LCD262167:LCD262186 LLZ262167:LLZ262186 LVV262167:LVV262186 MFR262167:MFR262186 MPN262167:MPN262186 MZJ262167:MZJ262186 NJF262167:NJF262186 NTB262167:NTB262186 OCX262167:OCX262186 OMT262167:OMT262186 OWP262167:OWP262186 PGL262167:PGL262186 PQH262167:PQH262186 QAD262167:QAD262186 QJZ262167:QJZ262186 QTV262167:QTV262186 RDR262167:RDR262186 RNN262167:RNN262186 RXJ262167:RXJ262186 SHF262167:SHF262186 SRB262167:SRB262186 TAX262167:TAX262186 TKT262167:TKT262186 TUP262167:TUP262186 UEL262167:UEL262186 UOH262167:UOH262186 UYD262167:UYD262186 VHZ262167:VHZ262186 VRV262167:VRV262186 WBR262167:WBR262186 WLN262167:WLN262186 WVJ262167:WVJ262186 J393240:J393259 IX327703:IX327722 ST327703:ST327722 ACP327703:ACP327722 AML327703:AML327722 AWH327703:AWH327722 BGD327703:BGD327722 BPZ327703:BPZ327722 BZV327703:BZV327722 CJR327703:CJR327722 CTN327703:CTN327722 DDJ327703:DDJ327722 DNF327703:DNF327722 DXB327703:DXB327722 EGX327703:EGX327722 EQT327703:EQT327722 FAP327703:FAP327722 FKL327703:FKL327722 FUH327703:FUH327722 GED327703:GED327722 GNZ327703:GNZ327722 GXV327703:GXV327722 HHR327703:HHR327722 HRN327703:HRN327722 IBJ327703:IBJ327722 ILF327703:ILF327722 IVB327703:IVB327722 JEX327703:JEX327722 JOT327703:JOT327722 JYP327703:JYP327722 KIL327703:KIL327722 KSH327703:KSH327722 LCD327703:LCD327722 LLZ327703:LLZ327722 LVV327703:LVV327722 MFR327703:MFR327722 MPN327703:MPN327722 MZJ327703:MZJ327722 NJF327703:NJF327722 NTB327703:NTB327722 OCX327703:OCX327722 OMT327703:OMT327722 OWP327703:OWP327722 PGL327703:PGL327722 PQH327703:PQH327722 QAD327703:QAD327722 QJZ327703:QJZ327722 QTV327703:QTV327722 RDR327703:RDR327722 RNN327703:RNN327722 RXJ327703:RXJ327722 SHF327703:SHF327722 SRB327703:SRB327722 TAX327703:TAX327722 TKT327703:TKT327722 TUP327703:TUP327722 UEL327703:UEL327722 UOH327703:UOH327722 UYD327703:UYD327722 VHZ327703:VHZ327722 VRV327703:VRV327722 WBR327703:WBR327722 WLN327703:WLN327722 WVJ327703:WVJ327722 J458776:J458795 IX393239:IX393258 ST393239:ST393258 ACP393239:ACP393258 AML393239:AML393258 AWH393239:AWH393258 BGD393239:BGD393258 BPZ393239:BPZ393258 BZV393239:BZV393258 CJR393239:CJR393258 CTN393239:CTN393258 DDJ393239:DDJ393258 DNF393239:DNF393258 DXB393239:DXB393258 EGX393239:EGX393258 EQT393239:EQT393258 FAP393239:FAP393258 FKL393239:FKL393258 FUH393239:FUH393258 GED393239:GED393258 GNZ393239:GNZ393258 GXV393239:GXV393258 HHR393239:HHR393258 HRN393239:HRN393258 IBJ393239:IBJ393258 ILF393239:ILF393258 IVB393239:IVB393258 JEX393239:JEX393258 JOT393239:JOT393258 JYP393239:JYP393258 KIL393239:KIL393258 KSH393239:KSH393258 LCD393239:LCD393258 LLZ393239:LLZ393258 LVV393239:LVV393258 MFR393239:MFR393258 MPN393239:MPN393258 MZJ393239:MZJ393258 NJF393239:NJF393258 NTB393239:NTB393258 OCX393239:OCX393258 OMT393239:OMT393258 OWP393239:OWP393258 PGL393239:PGL393258 PQH393239:PQH393258 QAD393239:QAD393258 QJZ393239:QJZ393258 QTV393239:QTV393258 RDR393239:RDR393258 RNN393239:RNN393258 RXJ393239:RXJ393258 SHF393239:SHF393258 SRB393239:SRB393258 TAX393239:TAX393258 TKT393239:TKT393258 TUP393239:TUP393258 UEL393239:UEL393258 UOH393239:UOH393258 UYD393239:UYD393258 VHZ393239:VHZ393258 VRV393239:VRV393258 WBR393239:WBR393258 WLN393239:WLN393258 WVJ393239:WVJ393258 J524312:J524331 IX458775:IX458794 ST458775:ST458794 ACP458775:ACP458794 AML458775:AML458794 AWH458775:AWH458794 BGD458775:BGD458794 BPZ458775:BPZ458794 BZV458775:BZV458794 CJR458775:CJR458794 CTN458775:CTN458794 DDJ458775:DDJ458794 DNF458775:DNF458794 DXB458775:DXB458794 EGX458775:EGX458794 EQT458775:EQT458794 FAP458775:FAP458794 FKL458775:FKL458794 FUH458775:FUH458794 GED458775:GED458794 GNZ458775:GNZ458794 GXV458775:GXV458794 HHR458775:HHR458794 HRN458775:HRN458794 IBJ458775:IBJ458794 ILF458775:ILF458794 IVB458775:IVB458794 JEX458775:JEX458794 JOT458775:JOT458794 JYP458775:JYP458794 KIL458775:KIL458794 KSH458775:KSH458794 LCD458775:LCD458794 LLZ458775:LLZ458794 LVV458775:LVV458794 MFR458775:MFR458794 MPN458775:MPN458794 MZJ458775:MZJ458794 NJF458775:NJF458794 NTB458775:NTB458794 OCX458775:OCX458794 OMT458775:OMT458794 OWP458775:OWP458794 PGL458775:PGL458794 PQH458775:PQH458794 QAD458775:QAD458794 QJZ458775:QJZ458794 QTV458775:QTV458794 RDR458775:RDR458794 RNN458775:RNN458794 RXJ458775:RXJ458794 SHF458775:SHF458794 SRB458775:SRB458794 TAX458775:TAX458794 TKT458775:TKT458794 TUP458775:TUP458794 UEL458775:UEL458794 UOH458775:UOH458794 UYD458775:UYD458794 VHZ458775:VHZ458794 VRV458775:VRV458794 WBR458775:WBR458794 WLN458775:WLN458794 WVJ458775:WVJ458794 J589848:J589867 IX524311:IX524330 ST524311:ST524330 ACP524311:ACP524330 AML524311:AML524330 AWH524311:AWH524330 BGD524311:BGD524330 BPZ524311:BPZ524330 BZV524311:BZV524330 CJR524311:CJR524330 CTN524311:CTN524330 DDJ524311:DDJ524330 DNF524311:DNF524330 DXB524311:DXB524330 EGX524311:EGX524330 EQT524311:EQT524330 FAP524311:FAP524330 FKL524311:FKL524330 FUH524311:FUH524330 GED524311:GED524330 GNZ524311:GNZ524330 GXV524311:GXV524330 HHR524311:HHR524330 HRN524311:HRN524330 IBJ524311:IBJ524330 ILF524311:ILF524330 IVB524311:IVB524330 JEX524311:JEX524330 JOT524311:JOT524330 JYP524311:JYP524330 KIL524311:KIL524330 KSH524311:KSH524330 LCD524311:LCD524330 LLZ524311:LLZ524330 LVV524311:LVV524330 MFR524311:MFR524330 MPN524311:MPN524330 MZJ524311:MZJ524330 NJF524311:NJF524330 NTB524311:NTB524330 OCX524311:OCX524330 OMT524311:OMT524330 OWP524311:OWP524330 PGL524311:PGL524330 PQH524311:PQH524330 QAD524311:QAD524330 QJZ524311:QJZ524330 QTV524311:QTV524330 RDR524311:RDR524330 RNN524311:RNN524330 RXJ524311:RXJ524330 SHF524311:SHF524330 SRB524311:SRB524330 TAX524311:TAX524330 TKT524311:TKT524330 TUP524311:TUP524330 UEL524311:UEL524330 UOH524311:UOH524330 UYD524311:UYD524330 VHZ524311:VHZ524330 VRV524311:VRV524330 WBR524311:WBR524330 WLN524311:WLN524330 WVJ524311:WVJ524330 J655384:J655403 IX589847:IX589866 ST589847:ST589866 ACP589847:ACP589866 AML589847:AML589866 AWH589847:AWH589866 BGD589847:BGD589866 BPZ589847:BPZ589866 BZV589847:BZV589866 CJR589847:CJR589866 CTN589847:CTN589866 DDJ589847:DDJ589866 DNF589847:DNF589866 DXB589847:DXB589866 EGX589847:EGX589866 EQT589847:EQT589866 FAP589847:FAP589866 FKL589847:FKL589866 FUH589847:FUH589866 GED589847:GED589866 GNZ589847:GNZ589866 GXV589847:GXV589866 HHR589847:HHR589866 HRN589847:HRN589866 IBJ589847:IBJ589866 ILF589847:ILF589866 IVB589847:IVB589866 JEX589847:JEX589866 JOT589847:JOT589866 JYP589847:JYP589866 KIL589847:KIL589866 KSH589847:KSH589866 LCD589847:LCD589866 LLZ589847:LLZ589866 LVV589847:LVV589866 MFR589847:MFR589866 MPN589847:MPN589866 MZJ589847:MZJ589866 NJF589847:NJF589866 NTB589847:NTB589866 OCX589847:OCX589866 OMT589847:OMT589866 OWP589847:OWP589866 PGL589847:PGL589866 PQH589847:PQH589866 QAD589847:QAD589866 QJZ589847:QJZ589866 QTV589847:QTV589866 RDR589847:RDR589866 RNN589847:RNN589866 RXJ589847:RXJ589866 SHF589847:SHF589866 SRB589847:SRB589866 TAX589847:TAX589866 TKT589847:TKT589866 TUP589847:TUP589866 UEL589847:UEL589866 UOH589847:UOH589866 UYD589847:UYD589866 VHZ589847:VHZ589866 VRV589847:VRV589866 WBR589847:WBR589866 WLN589847:WLN589866 WVJ589847:WVJ589866 J720920:J720939 IX655383:IX655402 ST655383:ST655402 ACP655383:ACP655402 AML655383:AML655402 AWH655383:AWH655402 BGD655383:BGD655402 BPZ655383:BPZ655402 BZV655383:BZV655402 CJR655383:CJR655402 CTN655383:CTN655402 DDJ655383:DDJ655402 DNF655383:DNF655402 DXB655383:DXB655402 EGX655383:EGX655402 EQT655383:EQT655402 FAP655383:FAP655402 FKL655383:FKL655402 FUH655383:FUH655402 GED655383:GED655402 GNZ655383:GNZ655402 GXV655383:GXV655402 HHR655383:HHR655402 HRN655383:HRN655402 IBJ655383:IBJ655402 ILF655383:ILF655402 IVB655383:IVB655402 JEX655383:JEX655402 JOT655383:JOT655402 JYP655383:JYP655402 KIL655383:KIL655402 KSH655383:KSH655402 LCD655383:LCD655402 LLZ655383:LLZ655402 LVV655383:LVV655402 MFR655383:MFR655402 MPN655383:MPN655402 MZJ655383:MZJ655402 NJF655383:NJF655402 NTB655383:NTB655402 OCX655383:OCX655402 OMT655383:OMT655402 OWP655383:OWP655402 PGL655383:PGL655402 PQH655383:PQH655402 QAD655383:QAD655402 QJZ655383:QJZ655402 QTV655383:QTV655402 RDR655383:RDR655402 RNN655383:RNN655402 RXJ655383:RXJ655402 SHF655383:SHF655402 SRB655383:SRB655402 TAX655383:TAX655402 TKT655383:TKT655402 TUP655383:TUP655402 UEL655383:UEL655402 UOH655383:UOH655402 UYD655383:UYD655402 VHZ655383:VHZ655402 VRV655383:VRV655402 WBR655383:WBR655402 WLN655383:WLN655402 WVJ655383:WVJ655402 J786456:J786475 IX720919:IX720938 ST720919:ST720938 ACP720919:ACP720938 AML720919:AML720938 AWH720919:AWH720938 BGD720919:BGD720938 BPZ720919:BPZ720938 BZV720919:BZV720938 CJR720919:CJR720938 CTN720919:CTN720938 DDJ720919:DDJ720938 DNF720919:DNF720938 DXB720919:DXB720938 EGX720919:EGX720938 EQT720919:EQT720938 FAP720919:FAP720938 FKL720919:FKL720938 FUH720919:FUH720938 GED720919:GED720938 GNZ720919:GNZ720938 GXV720919:GXV720938 HHR720919:HHR720938 HRN720919:HRN720938 IBJ720919:IBJ720938 ILF720919:ILF720938 IVB720919:IVB720938 JEX720919:JEX720938 JOT720919:JOT720938 JYP720919:JYP720938 KIL720919:KIL720938 KSH720919:KSH720938 LCD720919:LCD720938 LLZ720919:LLZ720938 LVV720919:LVV720938 MFR720919:MFR720938 MPN720919:MPN720938 MZJ720919:MZJ720938 NJF720919:NJF720938 NTB720919:NTB720938 OCX720919:OCX720938 OMT720919:OMT720938 OWP720919:OWP720938 PGL720919:PGL720938 PQH720919:PQH720938 QAD720919:QAD720938 QJZ720919:QJZ720938 QTV720919:QTV720938 RDR720919:RDR720938 RNN720919:RNN720938 RXJ720919:RXJ720938 SHF720919:SHF720938 SRB720919:SRB720938 TAX720919:TAX720938 TKT720919:TKT720938 TUP720919:TUP720938 UEL720919:UEL720938 UOH720919:UOH720938 UYD720919:UYD720938 VHZ720919:VHZ720938 VRV720919:VRV720938 WBR720919:WBR720938 WLN720919:WLN720938 WVJ720919:WVJ720938 J851992:J852011 IX786455:IX786474 ST786455:ST786474 ACP786455:ACP786474 AML786455:AML786474 AWH786455:AWH786474 BGD786455:BGD786474 BPZ786455:BPZ786474 BZV786455:BZV786474 CJR786455:CJR786474 CTN786455:CTN786474 DDJ786455:DDJ786474 DNF786455:DNF786474 DXB786455:DXB786474 EGX786455:EGX786474 EQT786455:EQT786474 FAP786455:FAP786474 FKL786455:FKL786474 FUH786455:FUH786474 GED786455:GED786474 GNZ786455:GNZ786474 GXV786455:GXV786474 HHR786455:HHR786474 HRN786455:HRN786474 IBJ786455:IBJ786474 ILF786455:ILF786474 IVB786455:IVB786474 JEX786455:JEX786474 JOT786455:JOT786474 JYP786455:JYP786474 KIL786455:KIL786474 KSH786455:KSH786474 LCD786455:LCD786474 LLZ786455:LLZ786474 LVV786455:LVV786474 MFR786455:MFR786474 MPN786455:MPN786474 MZJ786455:MZJ786474 NJF786455:NJF786474 NTB786455:NTB786474 OCX786455:OCX786474 OMT786455:OMT786474 OWP786455:OWP786474 PGL786455:PGL786474 PQH786455:PQH786474 QAD786455:QAD786474 QJZ786455:QJZ786474 QTV786455:QTV786474 RDR786455:RDR786474 RNN786455:RNN786474 RXJ786455:RXJ786474 SHF786455:SHF786474 SRB786455:SRB786474 TAX786455:TAX786474 TKT786455:TKT786474 TUP786455:TUP786474 UEL786455:UEL786474 UOH786455:UOH786474 UYD786455:UYD786474 VHZ786455:VHZ786474 VRV786455:VRV786474 WBR786455:WBR786474 WLN786455:WLN786474 WVJ786455:WVJ786474 J917528:J917547 IX851991:IX852010 ST851991:ST852010 ACP851991:ACP852010 AML851991:AML852010 AWH851991:AWH852010 BGD851991:BGD852010 BPZ851991:BPZ852010 BZV851991:BZV852010 CJR851991:CJR852010 CTN851991:CTN852010 DDJ851991:DDJ852010 DNF851991:DNF852010 DXB851991:DXB852010 EGX851991:EGX852010 EQT851991:EQT852010 FAP851991:FAP852010 FKL851991:FKL852010 FUH851991:FUH852010 GED851991:GED852010 GNZ851991:GNZ852010 GXV851991:GXV852010 HHR851991:HHR852010 HRN851991:HRN852010 IBJ851991:IBJ852010 ILF851991:ILF852010 IVB851991:IVB852010 JEX851991:JEX852010 JOT851991:JOT852010 JYP851991:JYP852010 KIL851991:KIL852010 KSH851991:KSH852010 LCD851991:LCD852010 LLZ851991:LLZ852010 LVV851991:LVV852010 MFR851991:MFR852010 MPN851991:MPN852010 MZJ851991:MZJ852010 NJF851991:NJF852010 NTB851991:NTB852010 OCX851991:OCX852010 OMT851991:OMT852010 OWP851991:OWP852010 PGL851991:PGL852010 PQH851991:PQH852010 QAD851991:QAD852010 QJZ851991:QJZ852010 QTV851991:QTV852010 RDR851991:RDR852010 RNN851991:RNN852010 RXJ851991:RXJ852010 SHF851991:SHF852010 SRB851991:SRB852010 TAX851991:TAX852010 TKT851991:TKT852010 TUP851991:TUP852010 UEL851991:UEL852010 UOH851991:UOH852010 UYD851991:UYD852010 VHZ851991:VHZ852010 VRV851991:VRV852010 WBR851991:WBR852010 WLN851991:WLN852010 WVJ851991:WVJ852010 J983064:J983083 IX917527:IX917546 ST917527:ST917546 ACP917527:ACP917546 AML917527:AML917546 AWH917527:AWH917546 BGD917527:BGD917546 BPZ917527:BPZ917546 BZV917527:BZV917546 CJR917527:CJR917546 CTN917527:CTN917546 DDJ917527:DDJ917546 DNF917527:DNF917546 DXB917527:DXB917546 EGX917527:EGX917546 EQT917527:EQT917546 FAP917527:FAP917546 FKL917527:FKL917546 FUH917527:FUH917546 GED917527:GED917546 GNZ917527:GNZ917546 GXV917527:GXV917546 HHR917527:HHR917546 HRN917527:HRN917546 IBJ917527:IBJ917546 ILF917527:ILF917546 IVB917527:IVB917546 JEX917527:JEX917546 JOT917527:JOT917546 JYP917527:JYP917546 KIL917527:KIL917546 KSH917527:KSH917546 LCD917527:LCD917546 LLZ917527:LLZ917546 LVV917527:LVV917546 MFR917527:MFR917546 MPN917527:MPN917546 MZJ917527:MZJ917546 NJF917527:NJF917546 NTB917527:NTB917546 OCX917527:OCX917546 OMT917527:OMT917546 OWP917527:OWP917546 PGL917527:PGL917546 PQH917527:PQH917546 QAD917527:QAD917546 QJZ917527:QJZ917546 QTV917527:QTV917546 RDR917527:RDR917546 RNN917527:RNN917546 RXJ917527:RXJ917546 SHF917527:SHF917546 SRB917527:SRB917546 TAX917527:TAX917546 TKT917527:TKT917546 TUP917527:TUP917546 UEL917527:UEL917546 UOH917527:UOH917546 UYD917527:UYD917546 VHZ917527:VHZ917546 VRV917527:VRV917546 WBR917527:WBR917546 WLN917527:WLN917546 WVJ917527:WVJ917546 IX983063:IX983082 ST983063:ST983082 ACP983063:ACP983082 AML983063:AML983082 AWH983063:AWH983082 BGD983063:BGD983082 BPZ983063:BPZ983082 BZV983063:BZV983082 CJR983063:CJR983082 CTN983063:CTN983082 DDJ983063:DDJ983082 DNF983063:DNF983082 DXB983063:DXB983082 EGX983063:EGX983082 EQT983063:EQT983082 FAP983063:FAP983082 FKL983063:FKL983082 FUH983063:FUH983082 GED983063:GED983082 GNZ983063:GNZ983082 GXV983063:GXV983082 HHR983063:HHR983082 HRN983063:HRN983082 IBJ983063:IBJ983082 ILF983063:ILF983082 IVB983063:IVB983082 JEX983063:JEX983082 JOT983063:JOT983082 JYP983063:JYP983082 KIL983063:KIL983082 KSH983063:KSH983082 LCD983063:LCD983082 LLZ983063:LLZ983082 LVV983063:LVV983082 MFR983063:MFR983082 MPN983063:MPN983082 MZJ983063:MZJ983082 NJF983063:NJF983082 NTB983063:NTB983082 OCX983063:OCX983082 OMT983063:OMT983082 OWP983063:OWP983082 PGL983063:PGL983082 PQH983063:PQH983082 QAD983063:QAD983082 QJZ983063:QJZ983082 QTV983063:QTV983082 RDR983063:RDR983082 RNN983063:RNN983082 RXJ983063:RXJ983082 SHF983063:SHF983082 SRB983063:SRB983082 TAX983063:TAX983082 TKT983063:TKT983082 TUP983063:TUP983082 UEL983063:UEL983082 UOH983063:UOH983082 UYD983063:UYD983082 VHZ983063:VHZ983082 VRV983063:VRV983082 WBR983063:WBR983082 WLN983063:WLN983082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0:J65579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59:AP65578 AP131095:AP131114 AP196631:AP196650 AP262167:AP262186 AP327703:AP327722 AP393239:AP393258 AP458775:AP458794 AP524311:AP524330 AP589847:AP589866 AP655383:AP655402 AP720919:AP720938 AP786455:AP786474 AP851991:AP852010 AP917527:AP917546 AP983063:AP983082 WVN983063:WWO983082 VRZ983063:VTA983082 WBV983063:WCW983082 JB65559:KC65578 SX65559:TY65578 ACT65559:ADU65578 AMP65559:ANQ65578 AWL65559:AXM65578 BGH65559:BHI65578 BQD65559:BRE65578 BZZ65559:CBA65578 CJV65559:CKW65578 CTR65559:CUS65578 DDN65559:DEO65578 DNJ65559:DOK65578 DXF65559:DYG65578 EHB65559:EIC65578 EQX65559:ERY65578 FAT65559:FBU65578 FKP65559:FLQ65578 FUL65559:FVM65578 GEH65559:GFI65578 GOD65559:GPE65578 GXZ65559:GZA65578 HHV65559:HIW65578 HRR65559:HSS65578 IBN65559:ICO65578 ILJ65559:IMK65578 IVF65559:IWG65578 JFB65559:JGC65578 JOX65559:JPY65578 JYT65559:JZU65578 KIP65559:KJQ65578 KSL65559:KTM65578 LCH65559:LDI65578 LMD65559:LNE65578 LVZ65559:LXA65578 MFV65559:MGW65578 MPR65559:MQS65578 MZN65559:NAO65578 NJJ65559:NKK65578 NTF65559:NUG65578 ODB65559:OEC65578 OMX65559:ONY65578 OWT65559:OXU65578 PGP65559:PHQ65578 PQL65559:PRM65578 QAH65559:QBI65578 QKD65559:QLE65578 QTZ65559:QVA65578 RDV65559:REW65578 RNR65559:ROS65578 RXN65559:RYO65578 SHJ65559:SIK65578 SRF65559:SSG65578 TBB65559:TCC65578 TKX65559:TLY65578 TUT65559:TVU65578 UEP65559:UFQ65578 UOL65559:UPM65578 UYH65559:UZI65578 VID65559:VJE65578 VRZ65559:VTA65578 WBV65559:WCW65578 WLR65559:WMS65578 WVN65559:WWO65578 JB131095:KC131114 SX131095:TY131114 ACT131095:ADU131114 AMP131095:ANQ131114 AWL131095:AXM131114 BGH131095:BHI131114 BQD131095:BRE131114 BZZ131095:CBA131114 CJV131095:CKW131114 CTR131095:CUS131114 DDN131095:DEO131114 DNJ131095:DOK131114 DXF131095:DYG131114 EHB131095:EIC131114 EQX131095:ERY131114 FAT131095:FBU131114 FKP131095:FLQ131114 FUL131095:FVM131114 GEH131095:GFI131114 GOD131095:GPE131114 GXZ131095:GZA131114 HHV131095:HIW131114 HRR131095:HSS131114 IBN131095:ICO131114 ILJ131095:IMK131114 IVF131095:IWG131114 JFB131095:JGC131114 JOX131095:JPY131114 JYT131095:JZU131114 KIP131095:KJQ131114 KSL131095:KTM131114 LCH131095:LDI131114 LMD131095:LNE131114 LVZ131095:LXA131114 MFV131095:MGW131114 MPR131095:MQS131114 MZN131095:NAO131114 NJJ131095:NKK131114 NTF131095:NUG131114 ODB131095:OEC131114 OMX131095:ONY131114 OWT131095:OXU131114 PGP131095:PHQ131114 PQL131095:PRM131114 QAH131095:QBI131114 QKD131095:QLE131114 QTZ131095:QVA131114 RDV131095:REW131114 RNR131095:ROS131114 RXN131095:RYO131114 SHJ131095:SIK131114 SRF131095:SSG131114 TBB131095:TCC131114 TKX131095:TLY131114 TUT131095:TVU131114 UEP131095:UFQ131114 UOL131095:UPM131114 UYH131095:UZI131114 VID131095:VJE131114 VRZ131095:VTA131114 WBV131095:WCW131114 WLR131095:WMS131114 WVN131095:WWO131114 JB196631:KC196650 SX196631:TY196650 ACT196631:ADU196650 AMP196631:ANQ196650 AWL196631:AXM196650 BGH196631:BHI196650 BQD196631:BRE196650 BZZ196631:CBA196650 CJV196631:CKW196650 CTR196631:CUS196650 DDN196631:DEO196650 DNJ196631:DOK196650 DXF196631:DYG196650 EHB196631:EIC196650 EQX196631:ERY196650 FAT196631:FBU196650 FKP196631:FLQ196650 FUL196631:FVM196650 GEH196631:GFI196650 GOD196631:GPE196650 GXZ196631:GZA196650 HHV196631:HIW196650 HRR196631:HSS196650 IBN196631:ICO196650 ILJ196631:IMK196650 IVF196631:IWG196650 JFB196631:JGC196650 JOX196631:JPY196650 JYT196631:JZU196650 KIP196631:KJQ196650 KSL196631:KTM196650 LCH196631:LDI196650 LMD196631:LNE196650 LVZ196631:LXA196650 MFV196631:MGW196650 MPR196631:MQS196650 MZN196631:NAO196650 NJJ196631:NKK196650 NTF196631:NUG196650 ODB196631:OEC196650 OMX196631:ONY196650 OWT196631:OXU196650 PGP196631:PHQ196650 PQL196631:PRM196650 QAH196631:QBI196650 QKD196631:QLE196650 QTZ196631:QVA196650 RDV196631:REW196650 RNR196631:ROS196650 RXN196631:RYO196650 SHJ196631:SIK196650 SRF196631:SSG196650 TBB196631:TCC196650 TKX196631:TLY196650 TUT196631:TVU196650 UEP196631:UFQ196650 UOL196631:UPM196650 UYH196631:UZI196650 VID196631:VJE196650 VRZ196631:VTA196650 WBV196631:WCW196650 WLR196631:WMS196650 WVN196631:WWO196650 JB262167:KC262186 SX262167:TY262186 ACT262167:ADU262186 AMP262167:ANQ262186 AWL262167:AXM262186 BGH262167:BHI262186 BQD262167:BRE262186 BZZ262167:CBA262186 CJV262167:CKW262186 CTR262167:CUS262186 DDN262167:DEO262186 DNJ262167:DOK262186 DXF262167:DYG262186 EHB262167:EIC262186 EQX262167:ERY262186 FAT262167:FBU262186 FKP262167:FLQ262186 FUL262167:FVM262186 GEH262167:GFI262186 GOD262167:GPE262186 GXZ262167:GZA262186 HHV262167:HIW262186 HRR262167:HSS262186 IBN262167:ICO262186 ILJ262167:IMK262186 IVF262167:IWG262186 JFB262167:JGC262186 JOX262167:JPY262186 JYT262167:JZU262186 KIP262167:KJQ262186 KSL262167:KTM262186 LCH262167:LDI262186 LMD262167:LNE262186 LVZ262167:LXA262186 MFV262167:MGW262186 MPR262167:MQS262186 MZN262167:NAO262186 NJJ262167:NKK262186 NTF262167:NUG262186 ODB262167:OEC262186 OMX262167:ONY262186 OWT262167:OXU262186 PGP262167:PHQ262186 PQL262167:PRM262186 QAH262167:QBI262186 QKD262167:QLE262186 QTZ262167:QVA262186 RDV262167:REW262186 RNR262167:ROS262186 RXN262167:RYO262186 SHJ262167:SIK262186 SRF262167:SSG262186 TBB262167:TCC262186 TKX262167:TLY262186 TUT262167:TVU262186 UEP262167:UFQ262186 UOL262167:UPM262186 UYH262167:UZI262186 VID262167:VJE262186 VRZ262167:VTA262186 WBV262167:WCW262186 WLR262167:WMS262186 WVN262167:WWO262186 JB327703:KC327722 SX327703:TY327722 ACT327703:ADU327722 AMP327703:ANQ327722 AWL327703:AXM327722 BGH327703:BHI327722 BQD327703:BRE327722 BZZ327703:CBA327722 CJV327703:CKW327722 CTR327703:CUS327722 DDN327703:DEO327722 DNJ327703:DOK327722 DXF327703:DYG327722 EHB327703:EIC327722 EQX327703:ERY327722 FAT327703:FBU327722 FKP327703:FLQ327722 FUL327703:FVM327722 GEH327703:GFI327722 GOD327703:GPE327722 GXZ327703:GZA327722 HHV327703:HIW327722 HRR327703:HSS327722 IBN327703:ICO327722 ILJ327703:IMK327722 IVF327703:IWG327722 JFB327703:JGC327722 JOX327703:JPY327722 JYT327703:JZU327722 KIP327703:KJQ327722 KSL327703:KTM327722 LCH327703:LDI327722 LMD327703:LNE327722 LVZ327703:LXA327722 MFV327703:MGW327722 MPR327703:MQS327722 MZN327703:NAO327722 NJJ327703:NKK327722 NTF327703:NUG327722 ODB327703:OEC327722 OMX327703:ONY327722 OWT327703:OXU327722 PGP327703:PHQ327722 PQL327703:PRM327722 QAH327703:QBI327722 QKD327703:QLE327722 QTZ327703:QVA327722 RDV327703:REW327722 RNR327703:ROS327722 RXN327703:RYO327722 SHJ327703:SIK327722 SRF327703:SSG327722 TBB327703:TCC327722 TKX327703:TLY327722 TUT327703:TVU327722 UEP327703:UFQ327722 UOL327703:UPM327722 UYH327703:UZI327722 VID327703:VJE327722 VRZ327703:VTA327722 WBV327703:WCW327722 WLR327703:WMS327722 WVN327703:WWO327722 JB393239:KC393258 SX393239:TY393258 ACT393239:ADU393258 AMP393239:ANQ393258 AWL393239:AXM393258 BGH393239:BHI393258 BQD393239:BRE393258 BZZ393239:CBA393258 CJV393239:CKW393258 CTR393239:CUS393258 DDN393239:DEO393258 DNJ393239:DOK393258 DXF393239:DYG393258 EHB393239:EIC393258 EQX393239:ERY393258 FAT393239:FBU393258 FKP393239:FLQ393258 FUL393239:FVM393258 GEH393239:GFI393258 GOD393239:GPE393258 GXZ393239:GZA393258 HHV393239:HIW393258 HRR393239:HSS393258 IBN393239:ICO393258 ILJ393239:IMK393258 IVF393239:IWG393258 JFB393239:JGC393258 JOX393239:JPY393258 JYT393239:JZU393258 KIP393239:KJQ393258 KSL393239:KTM393258 LCH393239:LDI393258 LMD393239:LNE393258 LVZ393239:LXA393258 MFV393239:MGW393258 MPR393239:MQS393258 MZN393239:NAO393258 NJJ393239:NKK393258 NTF393239:NUG393258 ODB393239:OEC393258 OMX393239:ONY393258 OWT393239:OXU393258 PGP393239:PHQ393258 PQL393239:PRM393258 QAH393239:QBI393258 QKD393239:QLE393258 QTZ393239:QVA393258 RDV393239:REW393258 RNR393239:ROS393258 RXN393239:RYO393258 SHJ393239:SIK393258 SRF393239:SSG393258 TBB393239:TCC393258 TKX393239:TLY393258 TUT393239:TVU393258 UEP393239:UFQ393258 UOL393239:UPM393258 UYH393239:UZI393258 VID393239:VJE393258 VRZ393239:VTA393258 WBV393239:WCW393258 WLR393239:WMS393258 WVN393239:WWO393258 JB458775:KC458794 SX458775:TY458794 ACT458775:ADU458794 AMP458775:ANQ458794 AWL458775:AXM458794 BGH458775:BHI458794 BQD458775:BRE458794 BZZ458775:CBA458794 CJV458775:CKW458794 CTR458775:CUS458794 DDN458775:DEO458794 DNJ458775:DOK458794 DXF458775:DYG458794 EHB458775:EIC458794 EQX458775:ERY458794 FAT458775:FBU458794 FKP458775:FLQ458794 FUL458775:FVM458794 GEH458775:GFI458794 GOD458775:GPE458794 GXZ458775:GZA458794 HHV458775:HIW458794 HRR458775:HSS458794 IBN458775:ICO458794 ILJ458775:IMK458794 IVF458775:IWG458794 JFB458775:JGC458794 JOX458775:JPY458794 JYT458775:JZU458794 KIP458775:KJQ458794 KSL458775:KTM458794 LCH458775:LDI458794 LMD458775:LNE458794 LVZ458775:LXA458794 MFV458775:MGW458794 MPR458775:MQS458794 MZN458775:NAO458794 NJJ458775:NKK458794 NTF458775:NUG458794 ODB458775:OEC458794 OMX458775:ONY458794 OWT458775:OXU458794 PGP458775:PHQ458794 PQL458775:PRM458794 QAH458775:QBI458794 QKD458775:QLE458794 QTZ458775:QVA458794 RDV458775:REW458794 RNR458775:ROS458794 RXN458775:RYO458794 SHJ458775:SIK458794 SRF458775:SSG458794 TBB458775:TCC458794 TKX458775:TLY458794 TUT458775:TVU458794 UEP458775:UFQ458794 UOL458775:UPM458794 UYH458775:UZI458794 VID458775:VJE458794 VRZ458775:VTA458794 WBV458775:WCW458794 WLR458775:WMS458794 WVN458775:WWO458794 JB524311:KC524330 SX524311:TY524330 ACT524311:ADU524330 AMP524311:ANQ524330 AWL524311:AXM524330 BGH524311:BHI524330 BQD524311:BRE524330 BZZ524311:CBA524330 CJV524311:CKW524330 CTR524311:CUS524330 DDN524311:DEO524330 DNJ524311:DOK524330 DXF524311:DYG524330 EHB524311:EIC524330 EQX524311:ERY524330 FAT524311:FBU524330 FKP524311:FLQ524330 FUL524311:FVM524330 GEH524311:GFI524330 GOD524311:GPE524330 GXZ524311:GZA524330 HHV524311:HIW524330 HRR524311:HSS524330 IBN524311:ICO524330 ILJ524311:IMK524330 IVF524311:IWG524330 JFB524311:JGC524330 JOX524311:JPY524330 JYT524311:JZU524330 KIP524311:KJQ524330 KSL524311:KTM524330 LCH524311:LDI524330 LMD524311:LNE524330 LVZ524311:LXA524330 MFV524311:MGW524330 MPR524311:MQS524330 MZN524311:NAO524330 NJJ524311:NKK524330 NTF524311:NUG524330 ODB524311:OEC524330 OMX524311:ONY524330 OWT524311:OXU524330 PGP524311:PHQ524330 PQL524311:PRM524330 QAH524311:QBI524330 QKD524311:QLE524330 QTZ524311:QVA524330 RDV524311:REW524330 RNR524311:ROS524330 RXN524311:RYO524330 SHJ524311:SIK524330 SRF524311:SSG524330 TBB524311:TCC524330 TKX524311:TLY524330 TUT524311:TVU524330 UEP524311:UFQ524330 UOL524311:UPM524330 UYH524311:UZI524330 VID524311:VJE524330 VRZ524311:VTA524330 WBV524311:WCW524330 WLR524311:WMS524330 WVN524311:WWO524330 JB589847:KC589866 SX589847:TY589866 ACT589847:ADU589866 AMP589847:ANQ589866 AWL589847:AXM589866 BGH589847:BHI589866 BQD589847:BRE589866 BZZ589847:CBA589866 CJV589847:CKW589866 CTR589847:CUS589866 DDN589847:DEO589866 DNJ589847:DOK589866 DXF589847:DYG589866 EHB589847:EIC589866 EQX589847:ERY589866 FAT589847:FBU589866 FKP589847:FLQ589866 FUL589847:FVM589866 GEH589847:GFI589866 GOD589847:GPE589866 GXZ589847:GZA589866 HHV589847:HIW589866 HRR589847:HSS589866 IBN589847:ICO589866 ILJ589847:IMK589866 IVF589847:IWG589866 JFB589847:JGC589866 JOX589847:JPY589866 JYT589847:JZU589866 KIP589847:KJQ589866 KSL589847:KTM589866 LCH589847:LDI589866 LMD589847:LNE589866 LVZ589847:LXA589866 MFV589847:MGW589866 MPR589847:MQS589866 MZN589847:NAO589866 NJJ589847:NKK589866 NTF589847:NUG589866 ODB589847:OEC589866 OMX589847:ONY589866 OWT589847:OXU589866 PGP589847:PHQ589866 PQL589847:PRM589866 QAH589847:QBI589866 QKD589847:QLE589866 QTZ589847:QVA589866 RDV589847:REW589866 RNR589847:ROS589866 RXN589847:RYO589866 SHJ589847:SIK589866 SRF589847:SSG589866 TBB589847:TCC589866 TKX589847:TLY589866 TUT589847:TVU589866 UEP589847:UFQ589866 UOL589847:UPM589866 UYH589847:UZI589866 VID589847:VJE589866 VRZ589847:VTA589866 WBV589847:WCW589866 WLR589847:WMS589866 WVN589847:WWO589866 JB655383:KC655402 SX655383:TY655402 ACT655383:ADU655402 AMP655383:ANQ655402 AWL655383:AXM655402 BGH655383:BHI655402 BQD655383:BRE655402 BZZ655383:CBA655402 CJV655383:CKW655402 CTR655383:CUS655402 DDN655383:DEO655402 DNJ655383:DOK655402 DXF655383:DYG655402 EHB655383:EIC655402 EQX655383:ERY655402 FAT655383:FBU655402 FKP655383:FLQ655402 FUL655383:FVM655402 GEH655383:GFI655402 GOD655383:GPE655402 GXZ655383:GZA655402 HHV655383:HIW655402 HRR655383:HSS655402 IBN655383:ICO655402 ILJ655383:IMK655402 IVF655383:IWG655402 JFB655383:JGC655402 JOX655383:JPY655402 JYT655383:JZU655402 KIP655383:KJQ655402 KSL655383:KTM655402 LCH655383:LDI655402 LMD655383:LNE655402 LVZ655383:LXA655402 MFV655383:MGW655402 MPR655383:MQS655402 MZN655383:NAO655402 NJJ655383:NKK655402 NTF655383:NUG655402 ODB655383:OEC655402 OMX655383:ONY655402 OWT655383:OXU655402 PGP655383:PHQ655402 PQL655383:PRM655402 QAH655383:QBI655402 QKD655383:QLE655402 QTZ655383:QVA655402 RDV655383:REW655402 RNR655383:ROS655402 RXN655383:RYO655402 SHJ655383:SIK655402 SRF655383:SSG655402 TBB655383:TCC655402 TKX655383:TLY655402 TUT655383:TVU655402 UEP655383:UFQ655402 UOL655383:UPM655402 UYH655383:UZI655402 VID655383:VJE655402 VRZ655383:VTA655402 WBV655383:WCW655402 WLR655383:WMS655402 WVN655383:WWO655402 JB720919:KC720938 SX720919:TY720938 ACT720919:ADU720938 AMP720919:ANQ720938 AWL720919:AXM720938 BGH720919:BHI720938 BQD720919:BRE720938 BZZ720919:CBA720938 CJV720919:CKW720938 CTR720919:CUS720938 DDN720919:DEO720938 DNJ720919:DOK720938 DXF720919:DYG720938 EHB720919:EIC720938 EQX720919:ERY720938 FAT720919:FBU720938 FKP720919:FLQ720938 FUL720919:FVM720938 GEH720919:GFI720938 GOD720919:GPE720938 GXZ720919:GZA720938 HHV720919:HIW720938 HRR720919:HSS720938 IBN720919:ICO720938 ILJ720919:IMK720938 IVF720919:IWG720938 JFB720919:JGC720938 JOX720919:JPY720938 JYT720919:JZU720938 KIP720919:KJQ720938 KSL720919:KTM720938 LCH720919:LDI720938 LMD720919:LNE720938 LVZ720919:LXA720938 MFV720919:MGW720938 MPR720919:MQS720938 MZN720919:NAO720938 NJJ720919:NKK720938 NTF720919:NUG720938 ODB720919:OEC720938 OMX720919:ONY720938 OWT720919:OXU720938 PGP720919:PHQ720938 PQL720919:PRM720938 QAH720919:QBI720938 QKD720919:QLE720938 QTZ720919:QVA720938 RDV720919:REW720938 RNR720919:ROS720938 RXN720919:RYO720938 SHJ720919:SIK720938 SRF720919:SSG720938 TBB720919:TCC720938 TKX720919:TLY720938 TUT720919:TVU720938 UEP720919:UFQ720938 UOL720919:UPM720938 UYH720919:UZI720938 VID720919:VJE720938 VRZ720919:VTA720938 WBV720919:WCW720938 WLR720919:WMS720938 WVN720919:WWO720938 JB786455:KC786474 SX786455:TY786474 ACT786455:ADU786474 AMP786455:ANQ786474 AWL786455:AXM786474 BGH786455:BHI786474 BQD786455:BRE786474 BZZ786455:CBA786474 CJV786455:CKW786474 CTR786455:CUS786474 DDN786455:DEO786474 DNJ786455:DOK786474 DXF786455:DYG786474 EHB786455:EIC786474 EQX786455:ERY786474 FAT786455:FBU786474 FKP786455:FLQ786474 FUL786455:FVM786474 GEH786455:GFI786474 GOD786455:GPE786474 GXZ786455:GZA786474 HHV786455:HIW786474 HRR786455:HSS786474 IBN786455:ICO786474 ILJ786455:IMK786474 IVF786455:IWG786474 JFB786455:JGC786474 JOX786455:JPY786474 JYT786455:JZU786474 KIP786455:KJQ786474 KSL786455:KTM786474 LCH786455:LDI786474 LMD786455:LNE786474 LVZ786455:LXA786474 MFV786455:MGW786474 MPR786455:MQS786474 MZN786455:NAO786474 NJJ786455:NKK786474 NTF786455:NUG786474 ODB786455:OEC786474 OMX786455:ONY786474 OWT786455:OXU786474 PGP786455:PHQ786474 PQL786455:PRM786474 QAH786455:QBI786474 QKD786455:QLE786474 QTZ786455:QVA786474 RDV786455:REW786474 RNR786455:ROS786474 RXN786455:RYO786474 SHJ786455:SIK786474 SRF786455:SSG786474 TBB786455:TCC786474 TKX786455:TLY786474 TUT786455:TVU786474 UEP786455:UFQ786474 UOL786455:UPM786474 UYH786455:UZI786474 VID786455:VJE786474 VRZ786455:VTA786474 WBV786455:WCW786474 WLR786455:WMS786474 WVN786455:WWO786474 JB851991:KC852010 SX851991:TY852010 ACT851991:ADU852010 AMP851991:ANQ852010 AWL851991:AXM852010 BGH851991:BHI852010 BQD851991:BRE852010 BZZ851991:CBA852010 CJV851991:CKW852010 CTR851991:CUS852010 DDN851991:DEO852010 DNJ851991:DOK852010 DXF851991:DYG852010 EHB851991:EIC852010 EQX851991:ERY852010 FAT851991:FBU852010 FKP851991:FLQ852010 FUL851991:FVM852010 GEH851991:GFI852010 GOD851991:GPE852010 GXZ851991:GZA852010 HHV851991:HIW852010 HRR851991:HSS852010 IBN851991:ICO852010 ILJ851991:IMK852010 IVF851991:IWG852010 JFB851991:JGC852010 JOX851991:JPY852010 JYT851991:JZU852010 KIP851991:KJQ852010 KSL851991:KTM852010 LCH851991:LDI852010 LMD851991:LNE852010 LVZ851991:LXA852010 MFV851991:MGW852010 MPR851991:MQS852010 MZN851991:NAO852010 NJJ851991:NKK852010 NTF851991:NUG852010 ODB851991:OEC852010 OMX851991:ONY852010 OWT851991:OXU852010 PGP851991:PHQ852010 PQL851991:PRM852010 QAH851991:QBI852010 QKD851991:QLE852010 QTZ851991:QVA852010 RDV851991:REW852010 RNR851991:ROS852010 RXN851991:RYO852010 SHJ851991:SIK852010 SRF851991:SSG852010 TBB851991:TCC852010 TKX851991:TLY852010 TUT851991:TVU852010 UEP851991:UFQ852010 UOL851991:UPM852010 UYH851991:UZI852010 VID851991:VJE852010 VRZ851991:VTA852010 WBV851991:WCW852010 WLR851991:WMS852010 WVN851991:WWO852010 JB917527:KC917546 SX917527:TY917546 ACT917527:ADU917546 AMP917527:ANQ917546 AWL917527:AXM917546 BGH917527:BHI917546 BQD917527:BRE917546 BZZ917527:CBA917546 CJV917527:CKW917546 CTR917527:CUS917546 DDN917527:DEO917546 DNJ917527:DOK917546 DXF917527:DYG917546 EHB917527:EIC917546 EQX917527:ERY917546 FAT917527:FBU917546 FKP917527:FLQ917546 FUL917527:FVM917546 GEH917527:GFI917546 GOD917527:GPE917546 GXZ917527:GZA917546 HHV917527:HIW917546 HRR917527:HSS917546 IBN917527:ICO917546 ILJ917527:IMK917546 IVF917527:IWG917546 JFB917527:JGC917546 JOX917527:JPY917546 JYT917527:JZU917546 KIP917527:KJQ917546 KSL917527:KTM917546 LCH917527:LDI917546 LMD917527:LNE917546 LVZ917527:LXA917546 MFV917527:MGW917546 MPR917527:MQS917546 MZN917527:NAO917546 NJJ917527:NKK917546 NTF917527:NUG917546 ODB917527:OEC917546 OMX917527:ONY917546 OWT917527:OXU917546 PGP917527:PHQ917546 PQL917527:PRM917546 QAH917527:QBI917546 QKD917527:QLE917546 QTZ917527:QVA917546 RDV917527:REW917546 RNR917527:ROS917546 RXN917527:RYO917546 SHJ917527:SIK917546 SRF917527:SSG917546 TBB917527:TCC917546 TKX917527:TLY917546 TUT917527:TVU917546 UEP917527:UFQ917546 UOL917527:UPM917546 UYH917527:UZI917546 VID917527:VJE917546 VRZ917527:VTA917546 WBV917527:WCW917546 WLR917527:WMS917546 WVN917527:WWO917546 JB983063:KC983082 SX983063:TY983082 ACT983063:ADU983082 AMP983063:ANQ983082 AWL983063:AXM983082 BGH983063:BHI983082 BQD983063:BRE983082 BZZ983063:CBA983082 CJV983063:CKW983082 CTR983063:CUS983082 DDN983063:DEO983082 DNJ983063:DOK983082 DXF983063:DYG983082 EHB983063:EIC983082 EQX983063:ERY983082 FAT983063:FBU983082 FKP983063:FLQ983082 FUL983063:FVM983082 GEH983063:GFI983082 GOD983063:GPE983082 GXZ983063:GZA983082 HHV983063:HIW983082 HRR983063:HSS983082 IBN983063:ICO983082 ILJ983063:IMK983082 IVF983063:IWG983082 JFB983063:JGC983082 JOX983063:JPY983082 JYT983063:JZU983082 KIP983063:KJQ983082 KSL983063:KTM983082 LCH983063:LDI983082 LMD983063:LNE983082 LVZ983063:LXA983082 MFV983063:MGW983082 MPR983063:MQS983082 MZN983063:NAO983082 NJJ983063:NKK983082 NTF983063:NUG983082 ODB983063:OEC983082 OMX983063:ONY983082 OWT983063:OXU983082 PGP983063:PHQ983082 PQL983063:PRM983082 QAH983063:QBI983082 QKD983063:QLE983082 QTZ983063:QVA983082 RDV983063:REW983082 RNR983063:ROS983082 RXN983063:RYO983082 SHJ983063:SIK983082 SRF983063:SSG983082 TBB983063:TCC983082 TKX983063:TLY983082 TUT983063:TVU983082 UEP983063:UFQ983082 UOL983063:UPM983082 UYH983063:UZI983082 VID983063:VJE983082 WLR983063:WMS983082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8:AG917547 AI983064:AO983083 AI917528:AO917547 AI851992:AO852011 AI786456:AO786475 AI720920:AO720939 AI655384:AO655403 AI589848:AO589867 AI524312:AO524331 AI458776:AO458795 AI393240:AO393259 AI327704:AO327723 AI262168:AO262187 AI196632:AO196651 AI131096:AO131115 AI65560:AO65579 S262168:W262187 S327704:W327723 S393240:W393259 S458776:W458795 S524312:W524331 S589848:W589867 S655384:W655403 S720920:W720939 S786456:W786475 S851992:W852011 S917528:W917547 S983064:W983083 S65560:W65579 S131096:W131115 S196632:W196651 AD983064:AG983083 AD65560:AG65579 AD131096:AG131115 AD196632:AG196651 AD262168:AG262187 AD327704:AG327723 AD393240:AG393259 AD458776:AG458795 AD524312:AG524331 AD589848:AG589867 AD655384:AG655403 AD720920:AG720939 AD786456:AG786475 AD851992:AG852011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6E3DE7E2-7A2D-4342-8420-84923AD1AF21}"/>
    <dataValidation type="list" allowBlank="1" showInputMessage="1" showErrorMessage="1" sqref="F11:F60" xr:uid="{A326A5DE-DC2B-489C-8EA1-B4A52A3CF547}">
      <formula1>$F$79:$F$94</formula1>
    </dataValidation>
    <dataValidation type="list" allowBlank="1" showInputMessage="1" showErrorMessage="1" sqref="Y11:Y60" xr:uid="{1ADA167E-E7F7-4402-919E-911AB18869AA}">
      <formula1>$Y$79:$Y$81</formula1>
    </dataValidation>
    <dataValidation type="custom" allowBlank="1" showInputMessage="1" showErrorMessage="1" prompt="数値のみ入力してください。" sqref="O11:P60 S11:S60 K11:K60 AA11:AA60 AC11:AC60 U11:X60" xr:uid="{407BEC3F-ED59-47C6-9BAB-25DD586917CE}">
      <formula1>INT(K11)=K11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5DA7-C4B1-4232-A0AC-540EB985F435}">
  <sheetPr>
    <pageSetUpPr fitToPage="1"/>
  </sheetPr>
  <dimension ref="A1:F21"/>
  <sheetViews>
    <sheetView showGridLines="0" view="pageBreakPreview" zoomScale="85" zoomScaleNormal="100" zoomScaleSheetLayoutView="85" workbookViewId="0">
      <selection activeCell="B9" sqref="B9"/>
    </sheetView>
  </sheetViews>
  <sheetFormatPr defaultColWidth="9" defaultRowHeight="18" customHeight="1"/>
  <cols>
    <col min="1" max="1" width="5" style="420" customWidth="1"/>
    <col min="2" max="2" width="15.625" style="420" customWidth="1"/>
    <col min="3" max="3" width="14.625" style="420" customWidth="1"/>
    <col min="4" max="4" width="23.125" style="420" customWidth="1"/>
    <col min="5" max="6" width="22.875" style="420" customWidth="1"/>
    <col min="7" max="7" width="2.5" style="420" customWidth="1"/>
    <col min="8" max="19" width="3" style="420" customWidth="1"/>
    <col min="20" max="16384" width="9" style="420"/>
  </cols>
  <sheetData>
    <row r="1" spans="1:6" ht="18" customHeight="1" thickBot="1">
      <c r="A1" s="458" t="s">
        <v>581</v>
      </c>
    </row>
    <row r="2" spans="1:6" ht="18" customHeight="1" thickBot="1">
      <c r="D2" s="572" t="s">
        <v>566</v>
      </c>
      <c r="E2" s="904">
        <f>様式1!U8</f>
        <v>0</v>
      </c>
      <c r="F2" s="956"/>
    </row>
    <row r="4" spans="1:6" ht="18" customHeight="1">
      <c r="A4" s="845" t="s">
        <v>580</v>
      </c>
      <c r="B4" s="845"/>
      <c r="C4" s="845"/>
      <c r="D4" s="845"/>
      <c r="E4" s="845"/>
      <c r="F4" s="845"/>
    </row>
    <row r="5" spans="1:6" ht="18" customHeight="1" thickBot="1">
      <c r="A5" s="454"/>
      <c r="B5" s="454"/>
      <c r="C5" s="454"/>
      <c r="D5" s="454"/>
      <c r="E5" s="454"/>
      <c r="F5" s="454"/>
    </row>
    <row r="6" spans="1:6" ht="40.15" customHeight="1">
      <c r="A6" s="1200" t="s">
        <v>579</v>
      </c>
      <c r="B6" s="1202" t="s">
        <v>578</v>
      </c>
      <c r="C6" s="1202" t="s">
        <v>577</v>
      </c>
      <c r="D6" s="1202" t="s">
        <v>576</v>
      </c>
      <c r="E6" s="1204" t="s">
        <v>575</v>
      </c>
      <c r="F6" s="1194" t="s">
        <v>574</v>
      </c>
    </row>
    <row r="7" spans="1:6" ht="56.1" customHeight="1" thickBot="1">
      <c r="A7" s="1201"/>
      <c r="B7" s="1203"/>
      <c r="C7" s="1203"/>
      <c r="D7" s="1203"/>
      <c r="E7" s="1205"/>
      <c r="F7" s="1195"/>
    </row>
    <row r="8" spans="1:6" ht="21.75" customHeight="1">
      <c r="A8" s="571" t="s">
        <v>573</v>
      </c>
      <c r="B8" s="570" t="s">
        <v>572</v>
      </c>
      <c r="C8" s="570" t="s">
        <v>571</v>
      </c>
      <c r="D8" s="570" t="s">
        <v>570</v>
      </c>
      <c r="E8" s="569">
        <v>200000</v>
      </c>
      <c r="F8" s="568"/>
    </row>
    <row r="9" spans="1:6" ht="21.75" customHeight="1">
      <c r="A9" s="591"/>
      <c r="B9" s="592"/>
      <c r="C9" s="592"/>
      <c r="D9" s="592"/>
      <c r="E9" s="593"/>
      <c r="F9" s="594"/>
    </row>
    <row r="10" spans="1:6" ht="21.75" customHeight="1">
      <c r="A10" s="591"/>
      <c r="B10" s="592"/>
      <c r="C10" s="592"/>
      <c r="D10" s="592"/>
      <c r="E10" s="593"/>
      <c r="F10" s="594"/>
    </row>
    <row r="11" spans="1:6" ht="21.75" customHeight="1">
      <c r="A11" s="591"/>
      <c r="B11" s="592"/>
      <c r="C11" s="592"/>
      <c r="D11" s="592"/>
      <c r="E11" s="593"/>
      <c r="F11" s="594"/>
    </row>
    <row r="12" spans="1:6" ht="21.75" customHeight="1">
      <c r="A12" s="591"/>
      <c r="B12" s="592"/>
      <c r="C12" s="592"/>
      <c r="D12" s="592"/>
      <c r="E12" s="593"/>
      <c r="F12" s="594"/>
    </row>
    <row r="13" spans="1:6" ht="21.75" customHeight="1">
      <c r="A13" s="591"/>
      <c r="B13" s="592"/>
      <c r="C13" s="592"/>
      <c r="D13" s="592"/>
      <c r="E13" s="593"/>
      <c r="F13" s="594"/>
    </row>
    <row r="14" spans="1:6" ht="21.75" customHeight="1">
      <c r="A14" s="591"/>
      <c r="B14" s="592"/>
      <c r="C14" s="592"/>
      <c r="D14" s="592"/>
      <c r="E14" s="593"/>
      <c r="F14" s="594"/>
    </row>
    <row r="15" spans="1:6" ht="21.75" customHeight="1">
      <c r="A15" s="591"/>
      <c r="B15" s="592"/>
      <c r="C15" s="592"/>
      <c r="D15" s="592"/>
      <c r="E15" s="593"/>
      <c r="F15" s="594"/>
    </row>
    <row r="16" spans="1:6" ht="21.75" customHeight="1">
      <c r="A16" s="591"/>
      <c r="B16" s="592"/>
      <c r="C16" s="592"/>
      <c r="D16" s="592"/>
      <c r="E16" s="593"/>
      <c r="F16" s="594"/>
    </row>
    <row r="17" spans="1:6" ht="21.75" customHeight="1">
      <c r="A17" s="595"/>
      <c r="B17" s="596"/>
      <c r="C17" s="596"/>
      <c r="D17" s="596"/>
      <c r="E17" s="597"/>
      <c r="F17" s="598"/>
    </row>
    <row r="18" spans="1:6" ht="21.75" customHeight="1" thickBot="1">
      <c r="A18" s="1196" t="s">
        <v>569</v>
      </c>
      <c r="B18" s="850"/>
      <c r="C18" s="850"/>
      <c r="D18" s="1197"/>
      <c r="E18" s="567">
        <f>SUM(E9:E17)</f>
        <v>0</v>
      </c>
      <c r="F18" s="566">
        <f>SUM(F9:F17)</f>
        <v>0</v>
      </c>
    </row>
    <row r="19" spans="1:6" ht="19.5" customHeight="1">
      <c r="A19" s="565" t="s">
        <v>512</v>
      </c>
      <c r="B19" s="1198" t="s">
        <v>568</v>
      </c>
      <c r="C19" s="1198"/>
      <c r="D19" s="1198"/>
      <c r="E19" s="1198"/>
      <c r="F19" s="1198"/>
    </row>
    <row r="20" spans="1:6" ht="19.5" customHeight="1">
      <c r="A20" s="565"/>
      <c r="B20" s="1198"/>
      <c r="C20" s="1198"/>
      <c r="D20" s="1198"/>
      <c r="E20" s="1198"/>
      <c r="F20" s="1198"/>
    </row>
    <row r="21" spans="1:6" ht="18" customHeight="1">
      <c r="A21" s="564"/>
      <c r="B21" s="1199"/>
      <c r="C21" s="1199"/>
      <c r="D21" s="1199"/>
      <c r="E21" s="1199"/>
      <c r="F21" s="1199"/>
    </row>
  </sheetData>
  <sheetProtection algorithmName="SHA-512" hashValue="IfkfZ8ysjNhJTfUj/g+8bWmuuXeNb5ZPZwyROwh//iS89eJfAKHIxGH0AlMTxmLnRQpTLgCNJRzLiIo0uRWdmQ==" saltValue="nRdBXP7ug3/5Y/Ppfdo2cg=="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dataValidations count="1">
    <dataValidation type="custom" allowBlank="1" showInputMessage="1" showErrorMessage="1" prompt="数値のみ入力してください。" sqref="E9:F17" xr:uid="{B0696323-8D4E-446E-8336-F36DADBFE03B}">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2330-334D-47A6-B46C-0328378F0A02}">
  <sheetPr>
    <pageSetUpPr fitToPage="1"/>
  </sheetPr>
  <dimension ref="A1:AD24"/>
  <sheetViews>
    <sheetView showGridLines="0" view="pageBreakPreview" zoomScale="85" zoomScaleNormal="100" zoomScaleSheetLayoutView="85" workbookViewId="0">
      <selection activeCell="K11" sqref="K11:R11"/>
    </sheetView>
  </sheetViews>
  <sheetFormatPr defaultColWidth="9" defaultRowHeight="18" customHeight="1"/>
  <cols>
    <col min="1" max="1" width="3" style="420" customWidth="1"/>
    <col min="2" max="28" width="3.125" style="420" customWidth="1"/>
    <col min="29" max="29" width="1.625" style="420" customWidth="1"/>
    <col min="30" max="30" width="3" style="420" hidden="1" customWidth="1"/>
    <col min="31" max="31" width="3" style="420" customWidth="1"/>
    <col min="32" max="16384" width="9" style="420"/>
  </cols>
  <sheetData>
    <row r="1" spans="1:28" ht="18" customHeight="1">
      <c r="A1" s="458" t="s">
        <v>590</v>
      </c>
    </row>
    <row r="2" spans="1:28" ht="18" customHeight="1">
      <c r="A2" s="1206" t="str">
        <f>様式1!$AQ$1&amp;様式1!$AQ$2&amp;"年度　賃金改善の誓約書"</f>
        <v>令和８年度　賃金改善の誓約書</v>
      </c>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row>
    <row r="3" spans="1:28" ht="33" customHeight="1" thickBot="1">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454"/>
    </row>
    <row r="4" spans="1:28" ht="17.25" customHeight="1">
      <c r="B4" s="452"/>
      <c r="C4" s="452"/>
      <c r="D4" s="452"/>
      <c r="E4" s="452"/>
      <c r="H4" s="431"/>
      <c r="I4" s="821" t="s">
        <v>393</v>
      </c>
      <c r="J4" s="880"/>
      <c r="K4" s="880"/>
      <c r="L4" s="880"/>
      <c r="M4" s="880"/>
      <c r="N4" s="880"/>
      <c r="O4" s="881" t="str">
        <f>様式3!U8</f>
        <v>京都市</v>
      </c>
      <c r="P4" s="882"/>
      <c r="Q4" s="882"/>
      <c r="R4" s="882"/>
      <c r="S4" s="882"/>
      <c r="T4" s="882"/>
      <c r="U4" s="882"/>
      <c r="V4" s="882"/>
      <c r="W4" s="882"/>
      <c r="X4" s="882"/>
      <c r="Y4" s="882"/>
      <c r="Z4" s="882"/>
      <c r="AA4" s="882"/>
      <c r="AB4" s="883"/>
    </row>
    <row r="5" spans="1:28" ht="17.25" customHeight="1">
      <c r="B5" s="452"/>
      <c r="C5" s="452"/>
      <c r="I5" s="826" t="s">
        <v>391</v>
      </c>
      <c r="J5" s="846"/>
      <c r="K5" s="846"/>
      <c r="L5" s="846"/>
      <c r="M5" s="846"/>
      <c r="N5" s="846"/>
      <c r="O5" s="1214">
        <f>様式3!U9</f>
        <v>0</v>
      </c>
      <c r="P5" s="1215"/>
      <c r="Q5" s="1215"/>
      <c r="R5" s="1215"/>
      <c r="S5" s="1215"/>
      <c r="T5" s="1215"/>
      <c r="U5" s="1215"/>
      <c r="V5" s="1215"/>
      <c r="W5" s="1215"/>
      <c r="X5" s="1215"/>
      <c r="Y5" s="1215"/>
      <c r="Z5" s="1215"/>
      <c r="AA5" s="1215"/>
      <c r="AB5" s="1216"/>
    </row>
    <row r="6" spans="1:28" ht="17.25" customHeight="1">
      <c r="B6" s="452"/>
      <c r="C6" s="452"/>
      <c r="I6" s="826" t="s">
        <v>390</v>
      </c>
      <c r="J6" s="846"/>
      <c r="K6" s="846"/>
      <c r="L6" s="846"/>
      <c r="M6" s="846"/>
      <c r="N6" s="846"/>
      <c r="O6" s="1214">
        <f>様式3!U10</f>
        <v>0</v>
      </c>
      <c r="P6" s="1215"/>
      <c r="Q6" s="1215"/>
      <c r="R6" s="1215"/>
      <c r="S6" s="1215"/>
      <c r="T6" s="1215"/>
      <c r="U6" s="1215"/>
      <c r="V6" s="1215"/>
      <c r="W6" s="1215"/>
      <c r="X6" s="1215"/>
      <c r="Y6" s="1215"/>
      <c r="Z6" s="1215"/>
      <c r="AA6" s="1215"/>
      <c r="AB6" s="1216"/>
    </row>
    <row r="7" spans="1:28" ht="17.25" customHeight="1" thickBot="1">
      <c r="B7" s="452"/>
      <c r="C7" s="452"/>
      <c r="D7" s="488"/>
      <c r="E7" s="488"/>
      <c r="F7" s="452"/>
      <c r="G7" s="452"/>
      <c r="H7" s="452"/>
      <c r="I7" s="829" t="s">
        <v>419</v>
      </c>
      <c r="J7" s="855"/>
      <c r="K7" s="855"/>
      <c r="L7" s="855"/>
      <c r="M7" s="855"/>
      <c r="N7" s="855"/>
      <c r="O7" s="849">
        <f>様式3!U11</f>
        <v>0</v>
      </c>
      <c r="P7" s="850"/>
      <c r="Q7" s="850"/>
      <c r="R7" s="850"/>
      <c r="S7" s="850"/>
      <c r="T7" s="850"/>
      <c r="U7" s="850"/>
      <c r="V7" s="850"/>
      <c r="W7" s="850"/>
      <c r="X7" s="850"/>
      <c r="Y7" s="850"/>
      <c r="Z7" s="850"/>
      <c r="AA7" s="850"/>
      <c r="AB7" s="851"/>
    </row>
    <row r="8" spans="1:28" ht="18" customHeight="1">
      <c r="K8" s="425"/>
      <c r="L8" s="425"/>
      <c r="M8" s="425"/>
      <c r="N8" s="425"/>
      <c r="O8" s="425"/>
      <c r="P8" s="425"/>
      <c r="Q8" s="425"/>
      <c r="R8" s="425"/>
      <c r="S8" s="425"/>
    </row>
    <row r="9" spans="1:28" ht="30" customHeight="1">
      <c r="B9" s="420" t="s">
        <v>589</v>
      </c>
      <c r="K9" s="425"/>
      <c r="L9" s="425"/>
      <c r="M9" s="425"/>
      <c r="N9" s="425"/>
      <c r="O9" s="425"/>
      <c r="P9" s="425"/>
      <c r="Q9" s="425"/>
      <c r="R9" s="425"/>
      <c r="S9" s="425"/>
    </row>
    <row r="10" spans="1:28" s="578" customFormat="1" ht="35.25" customHeight="1">
      <c r="B10" s="1207"/>
      <c r="C10" s="1208"/>
      <c r="D10" s="1208"/>
      <c r="E10" s="1208"/>
      <c r="F10" s="1208"/>
      <c r="G10" s="1208"/>
      <c r="H10" s="1208"/>
      <c r="I10" s="1208"/>
      <c r="J10" s="1208"/>
      <c r="K10" s="966" t="s">
        <v>471</v>
      </c>
      <c r="L10" s="967"/>
      <c r="M10" s="967"/>
      <c r="N10" s="967"/>
      <c r="O10" s="967"/>
      <c r="P10" s="967"/>
      <c r="Q10" s="967"/>
      <c r="R10" s="967"/>
      <c r="S10" s="968"/>
      <c r="T10" s="1207" t="s">
        <v>500</v>
      </c>
      <c r="U10" s="1208"/>
      <c r="V10" s="1208"/>
      <c r="W10" s="1208"/>
      <c r="X10" s="1208"/>
      <c r="Y10" s="1208"/>
      <c r="Z10" s="1208"/>
      <c r="AA10" s="1208"/>
      <c r="AB10" s="1209"/>
    </row>
    <row r="11" spans="1:28" s="578" customFormat="1" ht="27.75" customHeight="1">
      <c r="B11" s="1210" t="s">
        <v>498</v>
      </c>
      <c r="C11" s="1211"/>
      <c r="D11" s="1211"/>
      <c r="E11" s="1211"/>
      <c r="F11" s="1211"/>
      <c r="G11" s="1211"/>
      <c r="H11" s="1211"/>
      <c r="I11" s="1211"/>
      <c r="J11" s="1212"/>
      <c r="K11" s="1084" t="e">
        <f>【参考】計算結果!$D$14</f>
        <v>#N/A</v>
      </c>
      <c r="L11" s="1084"/>
      <c r="M11" s="1084"/>
      <c r="N11" s="1084"/>
      <c r="O11" s="1084"/>
      <c r="P11" s="1084"/>
      <c r="Q11" s="1084"/>
      <c r="R11" s="1084"/>
      <c r="S11" s="491" t="s">
        <v>468</v>
      </c>
      <c r="T11" s="1213">
        <f>【参考】計算結果!$D$20</f>
        <v>0</v>
      </c>
      <c r="U11" s="1213"/>
      <c r="V11" s="1213"/>
      <c r="W11" s="1213"/>
      <c r="X11" s="1213"/>
      <c r="Y11" s="1213"/>
      <c r="Z11" s="1213"/>
      <c r="AA11" s="1213"/>
      <c r="AB11" s="491" t="s">
        <v>468</v>
      </c>
    </row>
    <row r="12" spans="1:28" s="575" customFormat="1" ht="18" customHeight="1">
      <c r="B12" s="577"/>
      <c r="K12" s="576"/>
      <c r="L12" s="576"/>
      <c r="M12" s="576"/>
      <c r="N12" s="576"/>
      <c r="O12" s="576"/>
      <c r="P12" s="576"/>
      <c r="Q12" s="576"/>
      <c r="R12" s="576"/>
      <c r="S12" s="576"/>
    </row>
    <row r="13" spans="1:28" ht="24.75" customHeight="1">
      <c r="B13" s="1218" t="s">
        <v>588</v>
      </c>
      <c r="C13" s="1218"/>
      <c r="D13" s="1218"/>
      <c r="E13" s="1218"/>
      <c r="F13" s="1218"/>
      <c r="G13" s="1218"/>
      <c r="H13" s="1218"/>
      <c r="I13" s="1218"/>
      <c r="J13" s="1218"/>
      <c r="K13" s="1218"/>
      <c r="L13" s="1218"/>
      <c r="M13" s="1218"/>
      <c r="N13" s="1218"/>
      <c r="O13" s="1218"/>
      <c r="P13" s="1218"/>
      <c r="Q13" s="1218"/>
      <c r="R13" s="1218"/>
      <c r="S13" s="1218"/>
      <c r="T13" s="1218"/>
      <c r="U13" s="1218"/>
      <c r="V13" s="1218"/>
      <c r="W13" s="1218"/>
      <c r="X13" s="1218"/>
      <c r="Y13" s="1218"/>
      <c r="Z13" s="1218"/>
      <c r="AA13" s="1218"/>
      <c r="AB13" s="1218"/>
    </row>
    <row r="14" spans="1:28" s="447" customFormat="1" ht="30.75" customHeight="1">
      <c r="B14" s="1219" t="s">
        <v>587</v>
      </c>
      <c r="C14" s="1219"/>
      <c r="D14" s="1219"/>
      <c r="E14" s="1219"/>
      <c r="F14" s="1219"/>
      <c r="G14" s="1219"/>
      <c r="H14" s="1219"/>
      <c r="I14" s="1219"/>
      <c r="J14" s="1219"/>
      <c r="K14" s="1219"/>
      <c r="L14" s="1219"/>
      <c r="M14" s="1219"/>
      <c r="N14" s="1219"/>
      <c r="O14" s="1219"/>
      <c r="P14" s="1219"/>
      <c r="Q14" s="1219"/>
      <c r="R14" s="1219"/>
      <c r="S14" s="1219"/>
      <c r="T14" s="1219"/>
      <c r="U14" s="1219"/>
      <c r="V14" s="1219"/>
      <c r="W14" s="1219"/>
      <c r="X14" s="1219"/>
      <c r="Y14" s="1219"/>
      <c r="Z14" s="1219"/>
      <c r="AA14" s="1219"/>
      <c r="AB14" s="1219"/>
    </row>
    <row r="15" spans="1:28" ht="33" customHeight="1">
      <c r="B15" s="1220" t="s">
        <v>585</v>
      </c>
      <c r="C15" s="1220"/>
      <c r="D15" s="1221" t="s">
        <v>586</v>
      </c>
      <c r="E15" s="1221"/>
      <c r="F15" s="1221"/>
      <c r="G15" s="1221"/>
      <c r="H15" s="1221"/>
      <c r="I15" s="1221"/>
      <c r="J15" s="1221"/>
      <c r="K15" s="1221"/>
      <c r="L15" s="1221"/>
      <c r="M15" s="1221"/>
      <c r="N15" s="1221"/>
      <c r="O15" s="1221"/>
      <c r="P15" s="1221"/>
      <c r="Q15" s="1221"/>
      <c r="R15" s="1221"/>
      <c r="S15" s="1221"/>
      <c r="T15" s="1221"/>
      <c r="U15" s="1221"/>
      <c r="V15" s="1221"/>
      <c r="W15" s="1221"/>
      <c r="X15" s="1221"/>
      <c r="Y15" s="1221"/>
      <c r="Z15" s="1221"/>
      <c r="AA15" s="1221"/>
      <c r="AB15" s="1221"/>
    </row>
    <row r="16" spans="1:28" ht="33" customHeight="1">
      <c r="B16" s="1220" t="s">
        <v>585</v>
      </c>
      <c r="C16" s="1220"/>
      <c r="D16" s="1221" t="s">
        <v>584</v>
      </c>
      <c r="E16" s="1221"/>
      <c r="F16" s="1221"/>
      <c r="G16" s="1221"/>
      <c r="H16" s="1221"/>
      <c r="I16" s="1221"/>
      <c r="J16" s="1221"/>
      <c r="K16" s="1221"/>
      <c r="L16" s="1221"/>
      <c r="M16" s="1221"/>
      <c r="N16" s="1221"/>
      <c r="O16" s="1221"/>
      <c r="P16" s="1221"/>
      <c r="Q16" s="1221"/>
      <c r="R16" s="1221"/>
      <c r="S16" s="1221"/>
      <c r="T16" s="1221"/>
      <c r="U16" s="1221"/>
      <c r="V16" s="1221"/>
      <c r="W16" s="1221"/>
      <c r="X16" s="1221"/>
      <c r="Y16" s="1221"/>
      <c r="Z16" s="1221"/>
      <c r="AA16" s="1221"/>
      <c r="AB16" s="1221"/>
    </row>
    <row r="17" spans="1:28" s="575" customFormat="1" ht="13.5" customHeight="1">
      <c r="B17" s="577"/>
      <c r="K17" s="576"/>
      <c r="L17" s="576"/>
      <c r="M17" s="576"/>
      <c r="N17" s="576"/>
      <c r="O17" s="576"/>
      <c r="P17" s="576"/>
      <c r="Q17" s="576"/>
      <c r="R17" s="576"/>
      <c r="S17" s="576"/>
    </row>
    <row r="18" spans="1:28" ht="118.15" customHeight="1">
      <c r="A18" s="574"/>
      <c r="B18" s="1222" t="s">
        <v>583</v>
      </c>
      <c r="C18" s="1222"/>
      <c r="D18" s="1222"/>
      <c r="E18" s="1222"/>
      <c r="F18" s="1222"/>
      <c r="G18" s="1222"/>
      <c r="H18" s="1222"/>
      <c r="I18" s="1222"/>
      <c r="J18" s="1222"/>
      <c r="K18" s="1222"/>
      <c r="L18" s="1222"/>
      <c r="M18" s="1222"/>
      <c r="N18" s="1222"/>
      <c r="O18" s="1222"/>
      <c r="P18" s="1222"/>
      <c r="Q18" s="1222"/>
      <c r="R18" s="1222"/>
      <c r="S18" s="1222"/>
      <c r="T18" s="1222"/>
      <c r="U18" s="1222"/>
      <c r="V18" s="1222"/>
      <c r="W18" s="1222"/>
      <c r="X18" s="1222"/>
      <c r="Y18" s="1222"/>
      <c r="Z18" s="1222"/>
      <c r="AA18" s="1222"/>
      <c r="AB18" s="1222"/>
    </row>
    <row r="19" spans="1:28" ht="10.15" customHeight="1">
      <c r="A19" s="490"/>
      <c r="B19" s="573"/>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row>
    <row r="20" spans="1:28" ht="36" customHeight="1">
      <c r="B20" s="1218" t="s">
        <v>582</v>
      </c>
      <c r="C20" s="1218"/>
      <c r="D20" s="1218"/>
      <c r="E20" s="1218"/>
      <c r="F20" s="1218"/>
      <c r="G20" s="1218"/>
      <c r="H20" s="1218"/>
      <c r="I20" s="1218"/>
      <c r="J20" s="1218"/>
      <c r="K20" s="1218"/>
      <c r="L20" s="1218"/>
      <c r="M20" s="1218"/>
      <c r="N20" s="1218"/>
      <c r="O20" s="1218"/>
      <c r="P20" s="1218"/>
      <c r="Q20" s="1218"/>
      <c r="R20" s="1218"/>
      <c r="S20" s="1218"/>
      <c r="T20" s="1218"/>
      <c r="U20" s="1218"/>
      <c r="V20" s="1218"/>
      <c r="W20" s="1218"/>
      <c r="X20" s="1218"/>
      <c r="Y20" s="1218"/>
      <c r="Z20" s="1218"/>
      <c r="AA20" s="1218"/>
      <c r="AB20" s="1218"/>
    </row>
    <row r="22" spans="1:28" ht="18" customHeight="1">
      <c r="J22" s="1217" t="s">
        <v>399</v>
      </c>
      <c r="K22" s="1217"/>
      <c r="L22" s="1217"/>
      <c r="M22" s="1217"/>
      <c r="N22" s="1217"/>
      <c r="O22" s="1217"/>
      <c r="P22" s="1217"/>
      <c r="R22" s="845"/>
      <c r="S22" s="845"/>
      <c r="T22" s="845"/>
      <c r="U22" s="845"/>
      <c r="V22" s="845"/>
      <c r="W22" s="845"/>
      <c r="X22" s="845"/>
      <c r="Y22" s="845"/>
      <c r="Z22" s="845"/>
      <c r="AA22" s="845"/>
      <c r="AB22" s="845"/>
    </row>
    <row r="23" spans="1:28" ht="18" customHeight="1">
      <c r="L23" s="847" t="s">
        <v>398</v>
      </c>
      <c r="M23" s="847"/>
      <c r="N23" s="847"/>
      <c r="O23" s="847"/>
      <c r="P23" s="847"/>
      <c r="Q23" s="847"/>
      <c r="R23" s="848"/>
      <c r="S23" s="848"/>
      <c r="T23" s="848"/>
      <c r="U23" s="848"/>
      <c r="V23" s="848"/>
      <c r="W23" s="848"/>
      <c r="X23" s="848"/>
      <c r="Y23" s="848"/>
      <c r="Z23" s="848"/>
      <c r="AA23" s="848"/>
      <c r="AB23" s="848"/>
    </row>
    <row r="24" spans="1:28" ht="18" customHeight="1">
      <c r="L24" s="839" t="s">
        <v>397</v>
      </c>
      <c r="M24" s="839"/>
      <c r="N24" s="839"/>
      <c r="O24" s="839"/>
      <c r="P24" s="839"/>
      <c r="Q24" s="839"/>
      <c r="R24" s="840"/>
      <c r="S24" s="840"/>
      <c r="T24" s="840"/>
      <c r="U24" s="840"/>
      <c r="V24" s="840"/>
      <c r="W24" s="840"/>
      <c r="X24" s="840"/>
      <c r="Y24" s="840"/>
      <c r="Z24" s="840"/>
      <c r="AA24" s="840"/>
      <c r="AB24" s="840"/>
    </row>
  </sheetData>
  <sheetProtection algorithmName="SHA-512" hashValue="jRE9EHXO85vi0Sb4xcP1jMGEjniNcVJFVa/Y36fj3FziXLQflLcbqlT4bTrrv8FAbet+xEHJ9KNkXN+dA+Vo3w==" saltValue="iJr0Yoh32BQZvlVHjIHl6Q==" spinCount="100000" sheet="1" objects="1" scenarios="1"/>
  <mergeCells count="29">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 ref="A2:AB2"/>
    <mergeCell ref="K10:S10"/>
    <mergeCell ref="T10:AB10"/>
    <mergeCell ref="B11:J11"/>
    <mergeCell ref="K11:R11"/>
    <mergeCell ref="T11:AA11"/>
    <mergeCell ref="I4:N4"/>
    <mergeCell ref="O4:AB4"/>
    <mergeCell ref="I5:N5"/>
    <mergeCell ref="O5:AB5"/>
    <mergeCell ref="I6:N6"/>
    <mergeCell ref="B10:J10"/>
    <mergeCell ref="O6:AB6"/>
    <mergeCell ref="I7:N7"/>
    <mergeCell ref="O7:AB7"/>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05178-602D-4A3F-A888-5908F2623BF2}">
  <sheetPr>
    <pageSetUpPr fitToPage="1"/>
  </sheetPr>
  <dimension ref="A1:AL39"/>
  <sheetViews>
    <sheetView showGridLines="0" view="pageBreakPreview" zoomScale="85" zoomScaleNormal="70" zoomScaleSheetLayoutView="85" workbookViewId="0">
      <selection activeCell="Y13" sqref="Y13:AK13"/>
    </sheetView>
  </sheetViews>
  <sheetFormatPr defaultColWidth="2.375" defaultRowHeight="13.5"/>
  <cols>
    <col min="1" max="1" width="2.375" style="580"/>
    <col min="2" max="37" width="2.375" style="581"/>
    <col min="38" max="16384" width="2.375" style="580"/>
  </cols>
  <sheetData>
    <row r="1" spans="1:38">
      <c r="B1" s="589" t="s">
        <v>601</v>
      </c>
      <c r="C1" s="584"/>
      <c r="D1" s="584"/>
      <c r="E1" s="584"/>
      <c r="F1" s="584"/>
      <c r="G1" s="584"/>
      <c r="H1" s="584"/>
      <c r="I1" s="584"/>
      <c r="J1" s="584"/>
      <c r="K1" s="584"/>
      <c r="L1" s="584"/>
      <c r="M1" s="584"/>
      <c r="N1" s="584"/>
      <c r="O1" s="584"/>
      <c r="P1" s="584"/>
      <c r="Q1" s="584"/>
      <c r="R1" s="584"/>
      <c r="S1" s="584"/>
      <c r="T1" s="584"/>
      <c r="U1" s="584"/>
      <c r="V1" s="584"/>
      <c r="W1" s="584"/>
      <c r="X1" s="584"/>
      <c r="Y1" s="584"/>
      <c r="Z1" s="588"/>
      <c r="AA1" s="588"/>
      <c r="AB1" s="588"/>
      <c r="AC1" s="588"/>
      <c r="AD1" s="588"/>
      <c r="AE1" s="588"/>
      <c r="AF1" s="588"/>
      <c r="AG1" s="588"/>
      <c r="AH1" s="588"/>
      <c r="AI1" s="588"/>
      <c r="AJ1" s="588"/>
      <c r="AK1" s="588"/>
    </row>
    <row r="2" spans="1:38">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row>
    <row r="3" spans="1:38" ht="17.25">
      <c r="B3" s="1239" t="s">
        <v>600</v>
      </c>
      <c r="C3" s="1239"/>
      <c r="D3" s="1239"/>
      <c r="E3" s="1239"/>
      <c r="F3" s="1239"/>
      <c r="G3" s="1239"/>
      <c r="H3" s="1239"/>
      <c r="I3" s="1239"/>
      <c r="J3" s="1239"/>
      <c r="K3" s="1239"/>
      <c r="L3" s="1239"/>
      <c r="M3" s="1239"/>
      <c r="N3" s="1239"/>
      <c r="O3" s="1239"/>
      <c r="P3" s="1239"/>
      <c r="Q3" s="1239"/>
      <c r="R3" s="1239"/>
      <c r="S3" s="1239"/>
      <c r="T3" s="1239"/>
      <c r="U3" s="1239"/>
      <c r="V3" s="1239"/>
      <c r="W3" s="1239"/>
      <c r="X3" s="1240" t="str">
        <f>様式1!$AQ$2</f>
        <v>８</v>
      </c>
      <c r="Y3" s="1240"/>
      <c r="Z3" s="587" t="s">
        <v>599</v>
      </c>
      <c r="AA3" s="587"/>
      <c r="AB3" s="587"/>
      <c r="AC3" s="586"/>
      <c r="AD3" s="585"/>
      <c r="AE3" s="585"/>
      <c r="AF3" s="585"/>
      <c r="AG3" s="584"/>
      <c r="AH3" s="584"/>
      <c r="AI3" s="584"/>
      <c r="AJ3" s="584"/>
      <c r="AK3" s="584"/>
    </row>
    <row r="4" spans="1:38">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row>
    <row r="5" spans="1:38" s="420" customFormat="1" ht="17.25" customHeight="1">
      <c r="A5" s="575"/>
      <c r="B5" s="575"/>
      <c r="F5" s="452"/>
      <c r="G5" s="452"/>
      <c r="M5" s="437"/>
      <c r="N5" s="437"/>
      <c r="O5" s="437"/>
      <c r="P5" s="437"/>
      <c r="Q5" s="575"/>
      <c r="R5" s="575"/>
      <c r="S5" s="575"/>
      <c r="T5" s="575"/>
      <c r="U5" s="575"/>
      <c r="V5" s="575"/>
      <c r="W5" s="575"/>
      <c r="X5" s="575"/>
      <c r="Y5" s="575"/>
      <c r="Z5" s="575"/>
      <c r="AA5" s="575"/>
      <c r="AB5" s="575"/>
      <c r="AC5" s="575"/>
      <c r="AD5" s="575"/>
      <c r="AE5" s="575"/>
      <c r="AF5" s="575"/>
      <c r="AG5" s="575"/>
      <c r="AH5" s="575"/>
      <c r="AI5" s="575"/>
      <c r="AJ5" s="575"/>
      <c r="AK5" s="575"/>
      <c r="AL5" s="575"/>
    </row>
    <row r="6" spans="1:38" s="420" customFormat="1" ht="17.25" customHeight="1">
      <c r="A6" s="575"/>
      <c r="B6" s="575"/>
      <c r="F6" s="820" t="s">
        <v>394</v>
      </c>
      <c r="G6" s="820"/>
      <c r="H6" s="820"/>
      <c r="I6" s="820"/>
      <c r="J6" s="820"/>
      <c r="K6" s="820"/>
      <c r="L6" s="820"/>
      <c r="M6" s="437"/>
      <c r="N6" s="437"/>
      <c r="O6" s="437"/>
      <c r="P6" s="575"/>
      <c r="Q6" s="575"/>
      <c r="R6" s="575"/>
      <c r="S6" s="575"/>
      <c r="T6" s="575"/>
      <c r="U6" s="575"/>
      <c r="V6" s="575"/>
      <c r="W6" s="575"/>
      <c r="X6" s="575"/>
      <c r="Y6" s="575"/>
      <c r="Z6" s="575"/>
      <c r="AA6" s="575"/>
      <c r="AB6" s="575"/>
      <c r="AC6" s="575"/>
      <c r="AD6" s="575"/>
      <c r="AE6" s="575"/>
      <c r="AF6" s="575"/>
      <c r="AG6" s="575"/>
      <c r="AH6" s="575"/>
      <c r="AI6" s="575"/>
      <c r="AJ6" s="575"/>
      <c r="AK6" s="575"/>
      <c r="AL6" s="575"/>
    </row>
    <row r="7" spans="1:38" s="420" customFormat="1" ht="17.25" customHeight="1" thickBot="1">
      <c r="A7" s="575"/>
      <c r="B7" s="575"/>
      <c r="C7" s="575"/>
      <c r="D7" s="575"/>
      <c r="E7" s="575"/>
      <c r="F7" s="437"/>
      <c r="G7" s="437"/>
      <c r="H7" s="437"/>
      <c r="I7" s="437"/>
      <c r="J7" s="437"/>
      <c r="K7" s="437"/>
      <c r="L7" s="437"/>
      <c r="M7" s="437"/>
      <c r="N7" s="437"/>
      <c r="O7" s="437"/>
      <c r="P7" s="437"/>
      <c r="Q7" s="437"/>
      <c r="R7" s="437"/>
      <c r="S7" s="437"/>
      <c r="T7" s="575"/>
      <c r="U7" s="575"/>
      <c r="V7" s="575"/>
      <c r="W7" s="575"/>
      <c r="X7" s="706"/>
      <c r="Y7" s="607"/>
      <c r="Z7" s="707"/>
      <c r="AA7" s="607"/>
      <c r="AB7" s="607"/>
      <c r="AC7" s="607"/>
      <c r="AD7" s="607"/>
      <c r="AE7" s="607"/>
      <c r="AF7" s="607"/>
      <c r="AG7" s="607"/>
      <c r="AH7" s="607"/>
      <c r="AI7" s="607"/>
      <c r="AJ7" s="607"/>
      <c r="AK7" s="607"/>
      <c r="AL7" s="575"/>
    </row>
    <row r="8" spans="1:38" s="420" customFormat="1" ht="17.25" customHeight="1">
      <c r="A8" s="575"/>
      <c r="B8" s="575"/>
      <c r="C8" s="575"/>
      <c r="D8" s="575"/>
      <c r="E8" s="575"/>
      <c r="F8" s="437"/>
      <c r="G8" s="437"/>
      <c r="H8" s="575"/>
      <c r="I8" s="575"/>
      <c r="J8" s="575"/>
      <c r="K8" s="575"/>
      <c r="L8" s="575"/>
      <c r="M8" s="575"/>
      <c r="N8" s="575"/>
      <c r="O8" s="575"/>
      <c r="P8" s="575"/>
      <c r="Q8" s="1244" t="s">
        <v>393</v>
      </c>
      <c r="R8" s="1245"/>
      <c r="S8" s="1245"/>
      <c r="T8" s="1245"/>
      <c r="U8" s="1245"/>
      <c r="V8" s="1245"/>
      <c r="W8" s="1245"/>
      <c r="X8" s="1245"/>
      <c r="Y8" s="881" t="str">
        <f>様式1!U7</f>
        <v>京都市</v>
      </c>
      <c r="Z8" s="882"/>
      <c r="AA8" s="882"/>
      <c r="AB8" s="882"/>
      <c r="AC8" s="882"/>
      <c r="AD8" s="882"/>
      <c r="AE8" s="882"/>
      <c r="AF8" s="882"/>
      <c r="AG8" s="882"/>
      <c r="AH8" s="882"/>
      <c r="AI8" s="882"/>
      <c r="AJ8" s="882"/>
      <c r="AK8" s="883"/>
      <c r="AL8" s="575"/>
    </row>
    <row r="9" spans="1:38" s="420" customFormat="1" ht="17.25" customHeight="1">
      <c r="A9" s="575"/>
      <c r="B9" s="575"/>
      <c r="C9" s="575"/>
      <c r="D9" s="575"/>
      <c r="E9" s="575"/>
      <c r="F9" s="437"/>
      <c r="G9" s="437"/>
      <c r="H9" s="575"/>
      <c r="I9" s="575"/>
      <c r="J9" s="575"/>
      <c r="K9" s="575"/>
      <c r="L9" s="575"/>
      <c r="M9" s="575"/>
      <c r="N9" s="575"/>
      <c r="O9" s="575"/>
      <c r="P9" s="575"/>
      <c r="Q9" s="1226" t="s">
        <v>391</v>
      </c>
      <c r="R9" s="1227"/>
      <c r="S9" s="1227"/>
      <c r="T9" s="1227"/>
      <c r="U9" s="1227"/>
      <c r="V9" s="1227"/>
      <c r="W9" s="1227"/>
      <c r="X9" s="1227"/>
      <c r="Y9" s="1214">
        <f>様式1!U8</f>
        <v>0</v>
      </c>
      <c r="Z9" s="1215"/>
      <c r="AA9" s="1215"/>
      <c r="AB9" s="1215"/>
      <c r="AC9" s="1215"/>
      <c r="AD9" s="1215"/>
      <c r="AE9" s="1215"/>
      <c r="AF9" s="1215"/>
      <c r="AG9" s="1215"/>
      <c r="AH9" s="1215"/>
      <c r="AI9" s="1215"/>
      <c r="AJ9" s="1215"/>
      <c r="AK9" s="1216"/>
      <c r="AL9" s="575"/>
    </row>
    <row r="10" spans="1:38" s="420" customFormat="1" ht="17.25" customHeight="1">
      <c r="A10" s="575"/>
      <c r="B10" s="575"/>
      <c r="C10" s="575"/>
      <c r="D10" s="575"/>
      <c r="E10" s="575"/>
      <c r="F10" s="437"/>
      <c r="G10" s="437"/>
      <c r="H10" s="575"/>
      <c r="I10" s="575"/>
      <c r="J10" s="575"/>
      <c r="K10" s="575"/>
      <c r="L10" s="575"/>
      <c r="M10" s="575"/>
      <c r="N10" s="575"/>
      <c r="O10" s="575"/>
      <c r="P10" s="575"/>
      <c r="Q10" s="1226" t="s">
        <v>390</v>
      </c>
      <c r="R10" s="1227"/>
      <c r="S10" s="1227"/>
      <c r="T10" s="1227"/>
      <c r="U10" s="1227"/>
      <c r="V10" s="1227"/>
      <c r="W10" s="1227"/>
      <c r="X10" s="1227"/>
      <c r="Y10" s="1214">
        <f>様式1!U9</f>
        <v>0</v>
      </c>
      <c r="Z10" s="1215"/>
      <c r="AA10" s="1215"/>
      <c r="AB10" s="1215"/>
      <c r="AC10" s="1215"/>
      <c r="AD10" s="1215"/>
      <c r="AE10" s="1215"/>
      <c r="AF10" s="1215"/>
      <c r="AG10" s="1215"/>
      <c r="AH10" s="1215"/>
      <c r="AI10" s="1215"/>
      <c r="AJ10" s="1215"/>
      <c r="AK10" s="1216"/>
      <c r="AL10" s="575"/>
    </row>
    <row r="11" spans="1:38" s="420" customFormat="1" ht="17.25" customHeight="1">
      <c r="A11" s="575"/>
      <c r="B11" s="575"/>
      <c r="C11" s="575"/>
      <c r="D11" s="575"/>
      <c r="E11" s="575"/>
      <c r="F11" s="437"/>
      <c r="G11" s="437"/>
      <c r="H11" s="575"/>
      <c r="I11" s="575"/>
      <c r="J11" s="575"/>
      <c r="K11" s="575"/>
      <c r="L11" s="575"/>
      <c r="M11" s="575"/>
      <c r="N11" s="575"/>
      <c r="O11" s="575"/>
      <c r="P11" s="575"/>
      <c r="Q11" s="1226" t="s">
        <v>419</v>
      </c>
      <c r="R11" s="1227"/>
      <c r="S11" s="1227"/>
      <c r="T11" s="1227"/>
      <c r="U11" s="1227"/>
      <c r="V11" s="1227"/>
      <c r="W11" s="1227"/>
      <c r="X11" s="1227"/>
      <c r="Y11" s="1207">
        <f>様式1!U10</f>
        <v>0</v>
      </c>
      <c r="Z11" s="1208"/>
      <c r="AA11" s="1208"/>
      <c r="AB11" s="1208"/>
      <c r="AC11" s="1208"/>
      <c r="AD11" s="1208"/>
      <c r="AE11" s="1208"/>
      <c r="AF11" s="1208"/>
      <c r="AG11" s="1208"/>
      <c r="AH11" s="1208"/>
      <c r="AI11" s="1208"/>
      <c r="AJ11" s="1208"/>
      <c r="AK11" s="1249"/>
      <c r="AL11" s="575"/>
    </row>
    <row r="12" spans="1:38" s="420" customFormat="1" ht="17.25" customHeight="1">
      <c r="A12" s="575"/>
      <c r="B12" s="575"/>
      <c r="C12" s="575"/>
      <c r="D12" s="575"/>
      <c r="E12" s="575"/>
      <c r="F12" s="437"/>
      <c r="G12" s="437"/>
      <c r="H12" s="575"/>
      <c r="I12" s="575"/>
      <c r="J12" s="575"/>
      <c r="K12" s="575"/>
      <c r="L12" s="575"/>
      <c r="M12" s="575"/>
      <c r="N12" s="575"/>
      <c r="O12" s="575"/>
      <c r="P12" s="575"/>
      <c r="Q12" s="1226" t="s">
        <v>598</v>
      </c>
      <c r="R12" s="1227"/>
      <c r="S12" s="1227"/>
      <c r="T12" s="1227"/>
      <c r="U12" s="1227"/>
      <c r="V12" s="1227"/>
      <c r="W12" s="1227"/>
      <c r="X12" s="1227"/>
      <c r="Y12" s="1234"/>
      <c r="Z12" s="1235"/>
      <c r="AA12" s="1235"/>
      <c r="AB12" s="1235"/>
      <c r="AC12" s="1235"/>
      <c r="AD12" s="1235"/>
      <c r="AE12" s="1235"/>
      <c r="AF12" s="1235"/>
      <c r="AG12" s="1235"/>
      <c r="AH12" s="1235"/>
      <c r="AI12" s="1235"/>
      <c r="AJ12" s="1235"/>
      <c r="AK12" s="1236"/>
      <c r="AL12" s="575"/>
    </row>
    <row r="13" spans="1:38" s="420" customFormat="1" ht="17.25" customHeight="1" thickBot="1">
      <c r="A13" s="575"/>
      <c r="B13" s="575"/>
      <c r="C13" s="575"/>
      <c r="D13" s="575"/>
      <c r="E13" s="575"/>
      <c r="F13" s="437"/>
      <c r="G13" s="437"/>
      <c r="H13" s="575"/>
      <c r="I13" s="575"/>
      <c r="J13" s="575"/>
      <c r="K13" s="575"/>
      <c r="L13" s="575"/>
      <c r="M13" s="575"/>
      <c r="N13" s="575"/>
      <c r="O13" s="575"/>
      <c r="P13" s="575"/>
      <c r="Q13" s="1237" t="s">
        <v>397</v>
      </c>
      <c r="R13" s="1238"/>
      <c r="S13" s="1238"/>
      <c r="T13" s="1238"/>
      <c r="U13" s="1238"/>
      <c r="V13" s="1238"/>
      <c r="W13" s="1238"/>
      <c r="X13" s="1238"/>
      <c r="Y13" s="1246"/>
      <c r="Z13" s="1247"/>
      <c r="AA13" s="1247"/>
      <c r="AB13" s="1247"/>
      <c r="AC13" s="1247"/>
      <c r="AD13" s="1247"/>
      <c r="AE13" s="1247"/>
      <c r="AF13" s="1247"/>
      <c r="AG13" s="1247"/>
      <c r="AH13" s="1247"/>
      <c r="AI13" s="1247"/>
      <c r="AJ13" s="1247"/>
      <c r="AK13" s="1248"/>
      <c r="AL13" s="575"/>
    </row>
    <row r="14" spans="1:38">
      <c r="B14" s="584"/>
      <c r="C14" s="584"/>
      <c r="D14" s="584"/>
      <c r="E14" s="584"/>
      <c r="F14" s="584"/>
      <c r="G14" s="584"/>
      <c r="H14" s="584"/>
      <c r="I14" s="584"/>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4"/>
    </row>
    <row r="15" spans="1:38" ht="22.5" customHeight="1">
      <c r="B15" s="583" t="s">
        <v>597</v>
      </c>
      <c r="C15" s="583"/>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2"/>
    </row>
    <row r="16" spans="1:38" ht="46.5" customHeight="1">
      <c r="B16" s="1241" t="s">
        <v>596</v>
      </c>
      <c r="C16" s="1242"/>
      <c r="D16" s="1242"/>
      <c r="E16" s="1242"/>
      <c r="F16" s="1242"/>
      <c r="G16" s="1242"/>
      <c r="H16" s="1242"/>
      <c r="I16" s="1242"/>
      <c r="J16" s="1242"/>
      <c r="K16" s="1242"/>
      <c r="L16" s="1242"/>
      <c r="M16" s="1242"/>
      <c r="N16" s="1242"/>
      <c r="O16" s="1242"/>
      <c r="P16" s="1242"/>
      <c r="Q16" s="1242"/>
      <c r="R16" s="1242"/>
      <c r="S16" s="1242"/>
      <c r="T16" s="1242"/>
      <c r="U16" s="1242"/>
      <c r="V16" s="1242"/>
      <c r="W16" s="1242"/>
      <c r="X16" s="1242"/>
      <c r="Y16" s="1242"/>
      <c r="Z16" s="1242"/>
      <c r="AA16" s="1242"/>
      <c r="AB16" s="1242"/>
      <c r="AC16" s="1242"/>
      <c r="AD16" s="1242"/>
      <c r="AE16" s="1242"/>
      <c r="AF16" s="1242"/>
      <c r="AG16" s="1242"/>
      <c r="AH16" s="1242"/>
      <c r="AI16" s="1242"/>
      <c r="AJ16" s="1242"/>
      <c r="AK16" s="1243"/>
      <c r="AL16" s="582"/>
    </row>
    <row r="17" spans="2:38" ht="86.25" customHeight="1">
      <c r="B17" s="1223"/>
      <c r="C17" s="1224"/>
      <c r="D17" s="1224"/>
      <c r="E17" s="1224"/>
      <c r="F17" s="1224"/>
      <c r="G17" s="1224"/>
      <c r="H17" s="1224"/>
      <c r="I17" s="1224"/>
      <c r="J17" s="1224"/>
      <c r="K17" s="1224"/>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c r="AH17" s="1224"/>
      <c r="AI17" s="1224"/>
      <c r="AJ17" s="1224"/>
      <c r="AK17" s="1225"/>
      <c r="AL17" s="582"/>
    </row>
    <row r="18" spans="2:38">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2"/>
    </row>
    <row r="19" spans="2:38" ht="22.5" customHeight="1">
      <c r="B19" s="583" t="s">
        <v>595</v>
      </c>
      <c r="C19" s="583"/>
      <c r="D19" s="583"/>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2"/>
    </row>
    <row r="20" spans="2:38" ht="86.25" customHeight="1">
      <c r="B20" s="1228"/>
      <c r="C20" s="1229"/>
      <c r="D20" s="1229"/>
      <c r="E20" s="1229"/>
      <c r="F20" s="1229"/>
      <c r="G20" s="1229"/>
      <c r="H20" s="1229"/>
      <c r="I20" s="1229"/>
      <c r="J20" s="1229"/>
      <c r="K20" s="1229"/>
      <c r="L20" s="1229"/>
      <c r="M20" s="1229"/>
      <c r="N20" s="1229"/>
      <c r="O20" s="1229"/>
      <c r="P20" s="1229"/>
      <c r="Q20" s="1229"/>
      <c r="R20" s="1229"/>
      <c r="S20" s="1229"/>
      <c r="T20" s="1229"/>
      <c r="U20" s="1229"/>
      <c r="V20" s="1229"/>
      <c r="W20" s="1229"/>
      <c r="X20" s="1229"/>
      <c r="Y20" s="1229"/>
      <c r="Z20" s="1229"/>
      <c r="AA20" s="1229"/>
      <c r="AB20" s="1229"/>
      <c r="AC20" s="1229"/>
      <c r="AD20" s="1229"/>
      <c r="AE20" s="1229"/>
      <c r="AF20" s="1229"/>
      <c r="AG20" s="1229"/>
      <c r="AH20" s="1229"/>
      <c r="AI20" s="1229"/>
      <c r="AJ20" s="1229"/>
      <c r="AK20" s="1230"/>
      <c r="AL20" s="582"/>
    </row>
    <row r="21" spans="2:38">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2"/>
    </row>
    <row r="22" spans="2:38" ht="22.5" customHeight="1">
      <c r="B22" s="583" t="s">
        <v>594</v>
      </c>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2"/>
    </row>
    <row r="23" spans="2:38" ht="86.25" customHeight="1">
      <c r="B23" s="1228"/>
      <c r="C23" s="1229"/>
      <c r="D23" s="1229"/>
      <c r="E23" s="1229"/>
      <c r="F23" s="1229"/>
      <c r="G23" s="1229"/>
      <c r="H23" s="1229"/>
      <c r="I23" s="1229"/>
      <c r="J23" s="1229"/>
      <c r="K23" s="1229"/>
      <c r="L23" s="1229"/>
      <c r="M23" s="1229"/>
      <c r="N23" s="1229"/>
      <c r="O23" s="1229"/>
      <c r="P23" s="1229"/>
      <c r="Q23" s="1229"/>
      <c r="R23" s="1229"/>
      <c r="S23" s="1229"/>
      <c r="T23" s="1229"/>
      <c r="U23" s="1229"/>
      <c r="V23" s="1229"/>
      <c r="W23" s="1229"/>
      <c r="X23" s="1229"/>
      <c r="Y23" s="1229"/>
      <c r="Z23" s="1229"/>
      <c r="AA23" s="1229"/>
      <c r="AB23" s="1229"/>
      <c r="AC23" s="1229"/>
      <c r="AD23" s="1229"/>
      <c r="AE23" s="1229"/>
      <c r="AF23" s="1229"/>
      <c r="AG23" s="1229"/>
      <c r="AH23" s="1229"/>
      <c r="AI23" s="1229"/>
      <c r="AJ23" s="1229"/>
      <c r="AK23" s="1230"/>
      <c r="AL23" s="582"/>
    </row>
    <row r="24" spans="2:38">
      <c r="B24" s="583" t="s">
        <v>380</v>
      </c>
      <c r="C24" s="583" t="s">
        <v>593</v>
      </c>
      <c r="D24" s="583"/>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2"/>
    </row>
    <row r="25" spans="2:38">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2"/>
    </row>
    <row r="26" spans="2:38" ht="22.5" customHeight="1">
      <c r="B26" s="583" t="s">
        <v>592</v>
      </c>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2"/>
    </row>
    <row r="27" spans="2:38">
      <c r="B27" s="1231" t="s">
        <v>591</v>
      </c>
      <c r="C27" s="1232"/>
      <c r="D27" s="1232"/>
      <c r="E27" s="1232"/>
      <c r="F27" s="1232"/>
      <c r="G27" s="1232"/>
      <c r="H27" s="1232"/>
      <c r="I27" s="1232"/>
      <c r="J27" s="1232"/>
      <c r="K27" s="1232"/>
      <c r="L27" s="1232"/>
      <c r="M27" s="1232"/>
      <c r="N27" s="1232"/>
      <c r="O27" s="1232"/>
      <c r="P27" s="1232"/>
      <c r="Q27" s="1232"/>
      <c r="R27" s="1232"/>
      <c r="S27" s="1232"/>
      <c r="T27" s="1232"/>
      <c r="U27" s="1232"/>
      <c r="V27" s="1232"/>
      <c r="W27" s="1232"/>
      <c r="X27" s="1232"/>
      <c r="Y27" s="1232"/>
      <c r="Z27" s="1232"/>
      <c r="AA27" s="1232"/>
      <c r="AB27" s="1232"/>
      <c r="AC27" s="1232"/>
      <c r="AD27" s="1232"/>
      <c r="AE27" s="1232"/>
      <c r="AF27" s="1232"/>
      <c r="AG27" s="1232"/>
      <c r="AH27" s="1232"/>
      <c r="AI27" s="1232"/>
      <c r="AJ27" s="1232"/>
      <c r="AK27" s="1233"/>
      <c r="AL27" s="582"/>
    </row>
    <row r="28" spans="2:38" ht="86.25" customHeight="1">
      <c r="B28" s="1223"/>
      <c r="C28" s="1224"/>
      <c r="D28" s="1224"/>
      <c r="E28" s="1224"/>
      <c r="F28" s="1224"/>
      <c r="G28" s="1224"/>
      <c r="H28" s="1224"/>
      <c r="I28" s="1224"/>
      <c r="J28" s="1224"/>
      <c r="K28" s="1224"/>
      <c r="L28" s="1224"/>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c r="AJ28" s="1224"/>
      <c r="AK28" s="1225"/>
      <c r="AL28" s="582"/>
    </row>
    <row r="29" spans="2:38" ht="21" customHeight="1">
      <c r="B29" s="583"/>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2"/>
    </row>
    <row r="30" spans="2:38" ht="6" customHeight="1">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2"/>
    </row>
    <row r="37" ht="3.6" customHeight="1"/>
    <row r="38" hidden="1"/>
    <row r="39" hidden="1"/>
  </sheetData>
  <sheetProtection algorithmName="SHA-512" hashValue="CF1VifAp32AZeUKa+tZKHwBOe2kmIWePo3l8K088yfl8NG02T17QNYACv84MIPr2s1W+Ng7ysDoPgLA76Y+LGA==" saltValue="0uRqzUY2IO0DeMRIdUz88g==" spinCount="100000" sheet="1" objects="1" scenarios="1"/>
  <mergeCells count="21">
    <mergeCell ref="B3:W3"/>
    <mergeCell ref="X3:Y3"/>
    <mergeCell ref="B16:AK16"/>
    <mergeCell ref="B17:AK17"/>
    <mergeCell ref="Y8:AK8"/>
    <mergeCell ref="Y9:AK9"/>
    <mergeCell ref="Y10:AK10"/>
    <mergeCell ref="Q8:X8"/>
    <mergeCell ref="Q9:X9"/>
    <mergeCell ref="Q10:X10"/>
    <mergeCell ref="Y13:AK13"/>
    <mergeCell ref="Y11:AK11"/>
    <mergeCell ref="F6:L6"/>
    <mergeCell ref="B28:AK28"/>
    <mergeCell ref="Q11:X11"/>
    <mergeCell ref="B20:AK20"/>
    <mergeCell ref="B23:AK23"/>
    <mergeCell ref="B27:AK27"/>
    <mergeCell ref="Q12:X12"/>
    <mergeCell ref="Y12:AK12"/>
    <mergeCell ref="Q13:X13"/>
  </mergeCells>
  <phoneticPr fontId="4"/>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AA48"/>
  <sheetViews>
    <sheetView showGridLines="0" view="pageBreakPreview" zoomScale="70" zoomScaleNormal="70" zoomScaleSheetLayoutView="70" workbookViewId="0">
      <selection activeCell="M10" sqref="M10"/>
    </sheetView>
  </sheetViews>
  <sheetFormatPr defaultRowHeight="18.75"/>
  <cols>
    <col min="1" max="1" width="4.625" customWidth="1"/>
    <col min="2" max="2" width="35.375" customWidth="1"/>
    <col min="3" max="3" width="5.625" bestFit="1" customWidth="1"/>
    <col min="4" max="27" width="7.125" customWidth="1"/>
  </cols>
  <sheetData>
    <row r="1" spans="1:27">
      <c r="D1" s="144" t="s">
        <v>133</v>
      </c>
      <c r="E1" s="144" t="str">
        <f>D1</f>
        <v>D</v>
      </c>
      <c r="F1" s="144" t="str">
        <f>E1</f>
        <v>D</v>
      </c>
      <c r="G1" s="144" t="str">
        <f>F1</f>
        <v>D</v>
      </c>
      <c r="H1" s="144" t="s">
        <v>134</v>
      </c>
      <c r="I1" s="144" t="str">
        <f>H1</f>
        <v>C</v>
      </c>
      <c r="J1" s="144" t="str">
        <f>I1</f>
        <v>C</v>
      </c>
      <c r="K1" s="144" t="str">
        <f>J1</f>
        <v>C</v>
      </c>
      <c r="L1" s="144" t="s">
        <v>134</v>
      </c>
      <c r="M1" s="144" t="str">
        <f>L1</f>
        <v>C</v>
      </c>
      <c r="N1" s="144" t="str">
        <f>M1</f>
        <v>C</v>
      </c>
      <c r="O1" s="144" t="str">
        <f>N1</f>
        <v>C</v>
      </c>
      <c r="P1" s="144" t="s">
        <v>36</v>
      </c>
      <c r="Q1" s="144" t="str">
        <f>P1</f>
        <v>B</v>
      </c>
      <c r="R1" s="144" t="str">
        <f>Q1</f>
        <v>B</v>
      </c>
      <c r="S1" s="144" t="str">
        <f>R1</f>
        <v>B</v>
      </c>
      <c r="T1" s="144" t="s">
        <v>135</v>
      </c>
      <c r="U1" s="144" t="str">
        <f>T1</f>
        <v>A</v>
      </c>
      <c r="V1" s="144" t="str">
        <f>U1</f>
        <v>A</v>
      </c>
      <c r="W1" s="144" t="str">
        <f>V1</f>
        <v>A</v>
      </c>
      <c r="X1" s="144" t="s">
        <v>135</v>
      </c>
      <c r="Y1" s="144" t="str">
        <f>X1</f>
        <v>A</v>
      </c>
      <c r="Z1" s="144" t="str">
        <f>Y1</f>
        <v>A</v>
      </c>
      <c r="AA1" s="144" t="str">
        <f>Z1</f>
        <v>A</v>
      </c>
    </row>
    <row r="2" spans="1:27">
      <c r="D2" s="88"/>
      <c r="E2" s="88"/>
      <c r="F2" s="88"/>
      <c r="G2" s="88"/>
      <c r="H2" s="88"/>
      <c r="I2" s="88"/>
      <c r="J2" s="88"/>
      <c r="K2" s="88"/>
      <c r="L2" s="88"/>
      <c r="M2" s="88"/>
      <c r="N2" s="88"/>
      <c r="O2" s="88"/>
      <c r="P2" s="88"/>
      <c r="Q2" s="88"/>
      <c r="R2" s="88"/>
      <c r="S2" s="88"/>
      <c r="T2" s="88"/>
      <c r="U2" s="88"/>
      <c r="V2" s="88"/>
      <c r="W2" s="88"/>
      <c r="X2" s="88"/>
      <c r="Y2" s="88"/>
      <c r="Z2" s="88"/>
      <c r="AA2" s="88"/>
    </row>
    <row r="3" spans="1:27">
      <c r="A3" t="s">
        <v>139</v>
      </c>
      <c r="D3" s="107">
        <v>0</v>
      </c>
      <c r="E3" s="107"/>
      <c r="F3" s="107"/>
      <c r="G3" s="107"/>
      <c r="H3" s="107">
        <v>1</v>
      </c>
      <c r="I3" s="107"/>
      <c r="J3" s="107"/>
      <c r="K3" s="107"/>
      <c r="L3" s="107">
        <v>2</v>
      </c>
      <c r="M3" s="107"/>
      <c r="N3" s="107"/>
      <c r="O3" s="107"/>
      <c r="P3" s="107">
        <v>3</v>
      </c>
      <c r="Q3" s="107"/>
      <c r="R3" s="107"/>
      <c r="S3" s="107"/>
      <c r="T3" s="107">
        <v>4</v>
      </c>
      <c r="U3" s="107"/>
      <c r="V3" s="107"/>
      <c r="W3" s="107"/>
      <c r="X3" s="107">
        <v>5</v>
      </c>
      <c r="Y3" s="107"/>
      <c r="Z3" s="107"/>
      <c r="AA3" s="107"/>
    </row>
    <row r="4" spans="1:27">
      <c r="D4" s="107" t="s">
        <v>107</v>
      </c>
      <c r="E4" s="107"/>
      <c r="F4" s="107" t="s">
        <v>108</v>
      </c>
      <c r="G4" s="107"/>
      <c r="H4" s="107" t="s">
        <v>107</v>
      </c>
      <c r="I4" s="107"/>
      <c r="J4" s="107" t="s">
        <v>108</v>
      </c>
      <c r="K4" s="107"/>
      <c r="L4" s="107" t="s">
        <v>107</v>
      </c>
      <c r="M4" s="107"/>
      <c r="N4" s="107" t="s">
        <v>108</v>
      </c>
      <c r="O4" s="107"/>
      <c r="P4" s="107" t="s">
        <v>107</v>
      </c>
      <c r="Q4" s="107"/>
      <c r="R4" s="107" t="s">
        <v>108</v>
      </c>
      <c r="S4" s="107"/>
      <c r="T4" s="107" t="s">
        <v>107</v>
      </c>
      <c r="U4" s="107"/>
      <c r="V4" s="107" t="s">
        <v>108</v>
      </c>
      <c r="W4" s="107"/>
      <c r="X4" s="107" t="s">
        <v>107</v>
      </c>
      <c r="Y4" s="107"/>
      <c r="Z4" s="107" t="s">
        <v>108</v>
      </c>
      <c r="AA4" s="107"/>
    </row>
    <row r="5" spans="1:27">
      <c r="C5" s="86" t="s">
        <v>190</v>
      </c>
      <c r="D5" s="108" t="s">
        <v>138</v>
      </c>
      <c r="E5" s="126" t="s">
        <v>104</v>
      </c>
      <c r="F5" s="126" t="s">
        <v>138</v>
      </c>
      <c r="G5" s="126" t="s">
        <v>104</v>
      </c>
      <c r="H5" s="108" t="s">
        <v>138</v>
      </c>
      <c r="I5" s="126" t="s">
        <v>104</v>
      </c>
      <c r="J5" s="126" t="s">
        <v>138</v>
      </c>
      <c r="K5" s="126" t="s">
        <v>104</v>
      </c>
      <c r="L5" s="126" t="s">
        <v>138</v>
      </c>
      <c r="M5" s="126" t="s">
        <v>104</v>
      </c>
      <c r="N5" s="126" t="s">
        <v>138</v>
      </c>
      <c r="O5" s="126" t="s">
        <v>104</v>
      </c>
      <c r="P5" s="126" t="s">
        <v>138</v>
      </c>
      <c r="Q5" s="126" t="s">
        <v>104</v>
      </c>
      <c r="R5" s="126" t="s">
        <v>138</v>
      </c>
      <c r="S5" s="126" t="s">
        <v>104</v>
      </c>
      <c r="T5" s="126" t="s">
        <v>138</v>
      </c>
      <c r="U5" s="126" t="s">
        <v>104</v>
      </c>
      <c r="V5" s="108" t="s">
        <v>138</v>
      </c>
      <c r="W5" s="126" t="s">
        <v>104</v>
      </c>
      <c r="X5" s="126" t="s">
        <v>138</v>
      </c>
      <c r="Y5" s="126" t="s">
        <v>104</v>
      </c>
      <c r="Z5" s="126" t="s">
        <v>138</v>
      </c>
      <c r="AA5" s="126" t="s">
        <v>104</v>
      </c>
    </row>
    <row r="6" spans="1:27">
      <c r="A6" s="90"/>
      <c r="B6" s="114" t="s">
        <v>173</v>
      </c>
      <c r="C6" s="109"/>
      <c r="D6" s="125">
        <f>'2_区分12加算額計算表'!$D$12</f>
        <v>0</v>
      </c>
      <c r="E6" s="127">
        <f>'2_区分12加算額計算表'!$E$12</f>
        <v>0</v>
      </c>
      <c r="F6" s="127">
        <f>IF('2_区分12加算額計算表'!$D$5=【リスト】!$B$3,'2_区分12加算額計算表'!$H$12,0)</f>
        <v>0</v>
      </c>
      <c r="G6" s="127">
        <f>IF('2_区分12加算額計算表'!$D$5=【リスト】!$B$3,'2_区分12加算額計算表'!$I$12,0)</f>
        <v>0</v>
      </c>
      <c r="H6" s="125">
        <f>'2_区分12加算額計算表'!$D$13</f>
        <v>0</v>
      </c>
      <c r="I6" s="127">
        <f>'2_区分12加算額計算表'!$E$13</f>
        <v>0</v>
      </c>
      <c r="J6" s="127">
        <f>IF('2_区分12加算額計算表'!$D$5=【リスト】!$B$3,'2_区分12加算額計算表'!$H$13,0)</f>
        <v>0</v>
      </c>
      <c r="K6" s="127">
        <f>IF('2_区分12加算額計算表'!$D$5=【リスト】!$B$3,'2_区分12加算額計算表'!$I$13,0)</f>
        <v>0</v>
      </c>
      <c r="L6" s="127">
        <f>'2_区分12加算額計算表'!$D$14</f>
        <v>0</v>
      </c>
      <c r="M6" s="127">
        <f>'2_区分12加算額計算表'!$E$14</f>
        <v>0</v>
      </c>
      <c r="N6" s="127">
        <f>IF('2_区分12加算額計算表'!$D$5=【リスト】!$B$3,'2_区分12加算額計算表'!$H$14,0)</f>
        <v>0</v>
      </c>
      <c r="O6" s="127">
        <f>IF('2_区分12加算額計算表'!$D$5=【リスト】!$B$3,'2_区分12加算額計算表'!$I$14,0)</f>
        <v>0</v>
      </c>
      <c r="P6" s="127">
        <f>'2_区分12加算額計算表'!$D$15</f>
        <v>0</v>
      </c>
      <c r="Q6" s="127">
        <f>'2_区分12加算額計算表'!$E$15</f>
        <v>0</v>
      </c>
      <c r="R6" s="127">
        <f>IF('2_区分12加算額計算表'!$D$5=【リスト】!$B$3,'2_区分12加算額計算表'!$H$15,0)</f>
        <v>0</v>
      </c>
      <c r="S6" s="127">
        <f>IF('2_区分12加算額計算表'!$D$5=【リスト】!$B$3,'2_区分12加算額計算表'!$I$15,0)</f>
        <v>0</v>
      </c>
      <c r="T6" s="127">
        <f>'2_区分12加算額計算表'!$D$16</f>
        <v>0</v>
      </c>
      <c r="U6" s="127">
        <f>'2_区分12加算額計算表'!$E$16</f>
        <v>0</v>
      </c>
      <c r="V6" s="125">
        <f>IF('2_区分12加算額計算表'!$D$5=【リスト】!$B$3,'2_区分12加算額計算表'!$H$16,0)</f>
        <v>0</v>
      </c>
      <c r="W6" s="127">
        <f>IF('2_区分12加算額計算表'!$D$5=【リスト】!$B$3,'2_区分12加算額計算表'!$I$16,0)</f>
        <v>0</v>
      </c>
      <c r="X6" s="127">
        <f>'2_区分12加算額計算表'!$D$17</f>
        <v>0</v>
      </c>
      <c r="Y6" s="127">
        <f>'2_区分12加算額計算表'!$E$17</f>
        <v>0</v>
      </c>
      <c r="Z6" s="127">
        <f>IF('2_区分12加算額計算表'!$D$5=【リスト】!$B$3,'2_区分12加算額計算表'!$H$17,0)</f>
        <v>0</v>
      </c>
      <c r="AA6" s="127">
        <f>IF('2_区分12加算額計算表'!$D$5=【リスト】!$B$3,'2_区分12加算額計算表'!$I$17,0)</f>
        <v>0</v>
      </c>
    </row>
    <row r="7" spans="1:27">
      <c r="A7" s="140" t="e">
        <f>VLOOKUP('2_区分12加算額計算表'!$D$6,【リスト】!$I$2:$J$23,2,TRUE)</f>
        <v>#N/A</v>
      </c>
      <c r="B7" s="115" t="s">
        <v>140</v>
      </c>
      <c r="C7" s="110"/>
      <c r="D7" s="128" t="e">
        <f>VLOOKUP($A7&amp;D$1,単価[],保育所単価!$G$1,FALSE)*加算率a</f>
        <v>#N/A</v>
      </c>
      <c r="E7" s="130"/>
      <c r="F7" s="130"/>
      <c r="G7" s="130"/>
      <c r="H7" s="128" t="e">
        <f>VLOOKUP($A7&amp;H$1,単価[],保育所単価!$G$1,FALSE)*加算率a</f>
        <v>#N/A</v>
      </c>
      <c r="I7" s="130"/>
      <c r="J7" s="130"/>
      <c r="K7" s="130"/>
      <c r="L7" s="128" t="e">
        <f>VLOOKUP($A7&amp;L$1,単価[],保育所単価!$G$1,FALSE)*加算率a</f>
        <v>#N/A</v>
      </c>
      <c r="M7" s="130"/>
      <c r="N7" s="130"/>
      <c r="O7" s="130"/>
      <c r="P7" s="128" t="e">
        <f>VLOOKUP($A7&amp;P$1,単価[],保育所単価!$G$1,FALSE)*加算率a</f>
        <v>#N/A</v>
      </c>
      <c r="Q7" s="130"/>
      <c r="R7" s="130"/>
      <c r="S7" s="130"/>
      <c r="T7" s="128" t="e">
        <f>VLOOKUP($A7&amp;T$1,単価[],保育所単価!$G$1,FALSE)*加算率a</f>
        <v>#N/A</v>
      </c>
      <c r="U7" s="130"/>
      <c r="V7" s="134"/>
      <c r="W7" s="130"/>
      <c r="X7" s="128" t="e">
        <f>VLOOKUP($A7&amp;X$1,単価[],保育所単価!$G$1,FALSE)*加算率a</f>
        <v>#N/A</v>
      </c>
      <c r="Y7" s="130"/>
      <c r="Z7" s="130"/>
      <c r="AA7" s="130"/>
    </row>
    <row r="8" spans="1:27">
      <c r="A8" s="140" t="e">
        <f>A7</f>
        <v>#N/A</v>
      </c>
      <c r="B8" s="116" t="s">
        <v>141</v>
      </c>
      <c r="C8" s="111"/>
      <c r="D8" s="129"/>
      <c r="E8" s="131" t="e">
        <f>VLOOKUP($A8&amp;E$1,単価[],保育所単価!$I$1,FALSE)*加算率a</f>
        <v>#N/A</v>
      </c>
      <c r="F8" s="132"/>
      <c r="G8" s="132"/>
      <c r="H8" s="129"/>
      <c r="I8" s="131" t="e">
        <f>VLOOKUP($A8&amp;I$1,単価[],保育所単価!$I$1,FALSE)*加算率a</f>
        <v>#N/A</v>
      </c>
      <c r="J8" s="132"/>
      <c r="K8" s="132"/>
      <c r="L8" s="132"/>
      <c r="M8" s="131" t="e">
        <f>VLOOKUP($A8&amp;M$1,単価[],保育所単価!$I$1,FALSE)*加算率a</f>
        <v>#N/A</v>
      </c>
      <c r="N8" s="132"/>
      <c r="O8" s="132"/>
      <c r="P8" s="132"/>
      <c r="Q8" s="131" t="e">
        <f>VLOOKUP($A8&amp;Q$1,単価[],保育所単価!$I$1,FALSE)*加算率a</f>
        <v>#N/A</v>
      </c>
      <c r="R8" s="132"/>
      <c r="S8" s="132"/>
      <c r="T8" s="132"/>
      <c r="U8" s="131" t="e">
        <f>VLOOKUP($A8&amp;U$1,単価[],保育所単価!$I$1,FALSE)*加算率a</f>
        <v>#N/A</v>
      </c>
      <c r="V8" s="129"/>
      <c r="W8" s="132"/>
      <c r="X8" s="132"/>
      <c r="Y8" s="131" t="e">
        <f>VLOOKUP($A8&amp;Y$1,単価[],保育所単価!$I$1,FALSE)*加算率a</f>
        <v>#N/A</v>
      </c>
      <c r="Z8" s="132"/>
      <c r="AA8" s="132"/>
    </row>
    <row r="9" spans="1:27">
      <c r="A9" s="140">
        <f>IF('2_区分12加算額計算表'!$D$5=【リスト】!$B$3,VLOOKUP('2_区分12加算額計算表'!$D$7,【リスト】!$I$2:$J$23,2,TRUE),0)</f>
        <v>0</v>
      </c>
      <c r="B9" s="116" t="s">
        <v>142</v>
      </c>
      <c r="C9" s="111"/>
      <c r="D9" s="129"/>
      <c r="E9" s="132"/>
      <c r="F9" s="131" t="e">
        <f>VLOOKUP($A9&amp;F$1,単価[],保育所単価!$G$1,FALSE)*加算率a</f>
        <v>#N/A</v>
      </c>
      <c r="G9" s="132"/>
      <c r="H9" s="129"/>
      <c r="I9" s="132"/>
      <c r="J9" s="131" t="e">
        <f>VLOOKUP($A9&amp;J$1,単価[],保育所単価!$G$1,FALSE)*加算率a</f>
        <v>#N/A</v>
      </c>
      <c r="K9" s="132"/>
      <c r="L9" s="132"/>
      <c r="M9" s="132"/>
      <c r="N9" s="131" t="e">
        <f>VLOOKUP($A9&amp;N$1,単価[],保育所単価!$G$1,FALSE)*加算率a</f>
        <v>#N/A</v>
      </c>
      <c r="O9" s="132"/>
      <c r="P9" s="132"/>
      <c r="Q9" s="132"/>
      <c r="R9" s="131" t="e">
        <f>VLOOKUP($A9&amp;R$1,単価[],保育所単価!$G$1,FALSE)*加算率a</f>
        <v>#N/A</v>
      </c>
      <c r="S9" s="132"/>
      <c r="T9" s="132"/>
      <c r="U9" s="132"/>
      <c r="V9" s="131" t="e">
        <f>VLOOKUP($A9&amp;V$1,単価[],保育所単価!$G$1,FALSE)*加算率a</f>
        <v>#N/A</v>
      </c>
      <c r="W9" s="132"/>
      <c r="X9" s="132"/>
      <c r="Y9" s="132"/>
      <c r="Z9" s="131" t="e">
        <f>VLOOKUP($A9&amp;Z$1,単価[],保育所単価!$G$1,FALSE)*加算率a</f>
        <v>#N/A</v>
      </c>
      <c r="AA9" s="132"/>
    </row>
    <row r="10" spans="1:27">
      <c r="A10" s="140">
        <f>A9</f>
        <v>0</v>
      </c>
      <c r="B10" s="116" t="s">
        <v>143</v>
      </c>
      <c r="C10" s="111"/>
      <c r="D10" s="129"/>
      <c r="E10" s="132"/>
      <c r="F10" s="132"/>
      <c r="G10" s="131" t="e">
        <f>VLOOKUP($A10&amp;G$1,単価[],保育所単価!$I$1,FALSE)*加算率a</f>
        <v>#N/A</v>
      </c>
      <c r="H10" s="129"/>
      <c r="I10" s="132"/>
      <c r="J10" s="132"/>
      <c r="K10" s="131" t="e">
        <f>VLOOKUP($A10&amp;K$1,単価[],保育所単価!$I$1,FALSE)*加算率a</f>
        <v>#N/A</v>
      </c>
      <c r="L10" s="132"/>
      <c r="M10" s="132"/>
      <c r="N10" s="132"/>
      <c r="O10" s="131" t="e">
        <f>VLOOKUP($A10&amp;O$1,単価[],保育所単価!$I$1,FALSE)*加算率a</f>
        <v>#N/A</v>
      </c>
      <c r="P10" s="132"/>
      <c r="Q10" s="132"/>
      <c r="R10" s="132"/>
      <c r="S10" s="131" t="e">
        <f>VLOOKUP($A10&amp;S$1,単価[],保育所単価!$I$1,FALSE)*加算率a</f>
        <v>#N/A</v>
      </c>
      <c r="T10" s="132"/>
      <c r="U10" s="132"/>
      <c r="V10" s="129"/>
      <c r="W10" s="131" t="e">
        <f>VLOOKUP($A10&amp;W$1,単価[],保育所単価!$I$1,FALSE)*加算率a</f>
        <v>#N/A</v>
      </c>
      <c r="X10" s="132"/>
      <c r="Y10" s="132"/>
      <c r="Z10" s="132"/>
      <c r="AA10" s="131" t="e">
        <f>VLOOKUP($A10&amp;AA$1,単価[],保育所単価!$I$1,FALSE)*加算率a</f>
        <v>#N/A</v>
      </c>
    </row>
    <row r="11" spans="1:27">
      <c r="A11" s="140" t="e">
        <f>VLOOKUP('2_区分12加算額計算表'!$D$8,【リスト】!$I$2:$J$23,2,TRUE)</f>
        <v>#N/A</v>
      </c>
      <c r="B11" s="116" t="s">
        <v>144</v>
      </c>
      <c r="C11" s="111">
        <f>IF('2_区分12加算額計算表'!$F$22&lt;&gt;"",1,0)</f>
        <v>0</v>
      </c>
      <c r="D11" s="129"/>
      <c r="E11" s="132"/>
      <c r="F11" s="132"/>
      <c r="G11" s="132"/>
      <c r="H11" s="129"/>
      <c r="I11" s="132"/>
      <c r="J11" s="132"/>
      <c r="K11" s="132"/>
      <c r="L11" s="132"/>
      <c r="M11" s="132"/>
      <c r="N11" s="132"/>
      <c r="O11" s="132"/>
      <c r="P11" s="131" t="e">
        <f>VLOOKUP($A11&amp;P$1,単価[],保育所単価!$K$1,FALSE)*加算率a*$C11</f>
        <v>#N/A</v>
      </c>
      <c r="Q11" s="131" t="e">
        <f>VLOOKUP($A11&amp;Q$1,単価[],保育所単価!$K$1,FALSE)*加算率a*$C11</f>
        <v>#N/A</v>
      </c>
      <c r="R11" s="131" t="e">
        <f>VLOOKUP($A11&amp;R$1,単価[],保育所単価!$K$1,FALSE)*加算率a*$C11</f>
        <v>#N/A</v>
      </c>
      <c r="S11" s="131" t="e">
        <f>VLOOKUP($A11&amp;S$1,単価[],保育所単価!$K$1,FALSE)*加算率a*$C11</f>
        <v>#N/A</v>
      </c>
      <c r="T11" s="132"/>
      <c r="U11" s="132"/>
      <c r="V11" s="129"/>
      <c r="W11" s="132"/>
      <c r="X11" s="132"/>
      <c r="Y11" s="132"/>
      <c r="Z11" s="132"/>
      <c r="AA11" s="132"/>
    </row>
    <row r="12" spans="1:27">
      <c r="A12" s="140" t="e">
        <f>A11</f>
        <v>#N/A</v>
      </c>
      <c r="B12" s="116" t="s">
        <v>146</v>
      </c>
      <c r="C12" s="111">
        <f>IF('2_区分12加算額計算表'!$F$23&lt;&gt;"",1,0)</f>
        <v>0</v>
      </c>
      <c r="D12" s="129"/>
      <c r="E12" s="132"/>
      <c r="F12" s="132"/>
      <c r="G12" s="132"/>
      <c r="H12" s="129"/>
      <c r="I12" s="132"/>
      <c r="J12" s="132"/>
      <c r="K12" s="132"/>
      <c r="L12" s="132"/>
      <c r="M12" s="132"/>
      <c r="N12" s="132"/>
      <c r="O12" s="132"/>
      <c r="P12" s="132"/>
      <c r="Q12" s="132"/>
      <c r="R12" s="132"/>
      <c r="S12" s="132"/>
      <c r="T12" s="131" t="e">
        <f>VLOOKUP($A12&amp;T$1,単価[],保育所単価!$M$1,FALSE)*加算率a*$C12</f>
        <v>#N/A</v>
      </c>
      <c r="U12" s="131" t="e">
        <f>VLOOKUP($A12&amp;U$1,単価[],保育所単価!$M$1,FALSE)*加算率a*$C12</f>
        <v>#N/A</v>
      </c>
      <c r="V12" s="131" t="e">
        <f>VLOOKUP($A12&amp;V$1,単価[],保育所単価!$M$1,FALSE)*加算率a*$C12</f>
        <v>#N/A</v>
      </c>
      <c r="W12" s="131" t="e">
        <f>VLOOKUP($A12&amp;W$1,単価[],保育所単価!$M$1,FALSE)*加算率a*$C12</f>
        <v>#N/A</v>
      </c>
      <c r="X12" s="131" t="e">
        <f>VLOOKUP($A12&amp;X$1,単価[],保育所単価!$M$1,FALSE)*加算率a*$C12</f>
        <v>#N/A</v>
      </c>
      <c r="Y12" s="131" t="e">
        <f>VLOOKUP($A12&amp;Y$1,単価[],保育所単価!$M$1,FALSE)*加算率a*$C12</f>
        <v>#N/A</v>
      </c>
      <c r="Z12" s="131" t="e">
        <f>VLOOKUP($A12&amp;Z$1,単価[],保育所単価!$M$1,FALSE)*加算率a*$C12</f>
        <v>#N/A</v>
      </c>
      <c r="AA12" s="131" t="e">
        <f>VLOOKUP($A12&amp;AA$1,単価[],保育所単価!$M$1,FALSE)*加算率a*$C12</f>
        <v>#N/A</v>
      </c>
    </row>
    <row r="13" spans="1:27">
      <c r="A13" s="140" t="e">
        <f>A12</f>
        <v>#N/A</v>
      </c>
      <c r="B13" s="116" t="s">
        <v>145</v>
      </c>
      <c r="C13" s="111">
        <f>IF('2_区分12加算額計算表'!$F$24&lt;&gt;"",1,0)</f>
        <v>0</v>
      </c>
      <c r="D13" s="129"/>
      <c r="E13" s="132"/>
      <c r="F13" s="132"/>
      <c r="G13" s="132"/>
      <c r="H13" s="131" t="e">
        <f>VLOOKUP($A13&amp;H$1,単価[],保育所単価!$O$1,FALSE)*加算率a*$C13</f>
        <v>#N/A</v>
      </c>
      <c r="I13" s="131" t="e">
        <f>VLOOKUP($A13&amp;I$1,単価[],保育所単価!$O$1,FALSE)*加算率a*$C13</f>
        <v>#N/A</v>
      </c>
      <c r="J13" s="131" t="e">
        <f>VLOOKUP($A13&amp;J$1,単価[],保育所単価!$O$1,FALSE)*加算率a*$C13</f>
        <v>#N/A</v>
      </c>
      <c r="K13" s="131" t="e">
        <f>VLOOKUP($A13&amp;K$1,単価[],保育所単価!$O$1,FALSE)*加算率a*$C13</f>
        <v>#N/A</v>
      </c>
      <c r="L13" s="132"/>
      <c r="M13" s="132"/>
      <c r="N13" s="132"/>
      <c r="O13" s="132"/>
      <c r="P13" s="132"/>
      <c r="Q13" s="132"/>
      <c r="R13" s="132"/>
      <c r="S13" s="132"/>
      <c r="T13" s="132"/>
      <c r="U13" s="132"/>
      <c r="V13" s="129"/>
      <c r="W13" s="132"/>
      <c r="X13" s="132"/>
      <c r="Y13" s="132"/>
      <c r="Z13" s="132"/>
      <c r="AA13" s="132"/>
    </row>
    <row r="14" spans="1:27">
      <c r="A14" s="140">
        <f>VLOOKUP(IF('2_区分12加算額計算表'!$F$25=【リスト】!$C$2,'2_区分12加算額計算表'!$I$25,"対象外"),休日保育[],保育所単価!$AC$1,FALSE)</f>
        <v>1</v>
      </c>
      <c r="B14" s="116" t="s">
        <v>162</v>
      </c>
      <c r="C14" s="111">
        <f>IF('2_区分12加算額計算表'!$F$25&lt;&gt;"",1,0)</f>
        <v>0</v>
      </c>
      <c r="D14" s="131" t="e">
        <f>ROUNDDOWN(VLOOKUP($A14,保育所単価!$AC$8:$AE$22,2,FALSE)*加算率a/'2_区分12加算額計算表'!$D$19,-1)*$C14</f>
        <v>#N/A</v>
      </c>
      <c r="E14" s="131" t="e">
        <f>ROUNDDOWN(VLOOKUP($A14,保育所単価!$AC$8:$AE$22,2,FALSE)*加算率a/'2_区分12加算額計算表'!$D$19,-1)*$C14</f>
        <v>#N/A</v>
      </c>
      <c r="F14" s="131" t="e">
        <f>ROUNDDOWN(VLOOKUP($A14,保育所単価!$AC$8:$AE$22,2,FALSE)*加算率a/'2_区分12加算額計算表'!$D$19,-1)*$C14</f>
        <v>#N/A</v>
      </c>
      <c r="G14" s="131" t="e">
        <f>ROUNDDOWN(VLOOKUP($A14,保育所単価!$AC$8:$AE$22,2,FALSE)*加算率a/'2_区分12加算額計算表'!$D$19,-1)*$C14</f>
        <v>#N/A</v>
      </c>
      <c r="H14" s="131" t="e">
        <f>ROUNDDOWN(VLOOKUP($A14,保育所単価!$AC$8:$AE$22,2,FALSE)*加算率a/'2_区分12加算額計算表'!$D$19,-1)*$C14</f>
        <v>#N/A</v>
      </c>
      <c r="I14" s="131" t="e">
        <f>ROUNDDOWN(VLOOKUP($A14,保育所単価!$AC$8:$AE$22,2,FALSE)*加算率a/'2_区分12加算額計算表'!$D$19,-1)*$C14</f>
        <v>#N/A</v>
      </c>
      <c r="J14" s="131" t="e">
        <f>ROUNDDOWN(VLOOKUP($A14,保育所単価!$AC$8:$AE$22,2,FALSE)*加算率a/'2_区分12加算額計算表'!$D$19,-1)*$C14</f>
        <v>#N/A</v>
      </c>
      <c r="K14" s="131" t="e">
        <f>ROUNDDOWN(VLOOKUP($A14,保育所単価!$AC$8:$AE$22,2,FALSE)*加算率a/'2_区分12加算額計算表'!$D$19,-1)*$C14</f>
        <v>#N/A</v>
      </c>
      <c r="L14" s="131" t="e">
        <f>ROUNDDOWN(VLOOKUP($A14,保育所単価!$AC$8:$AE$22,2,FALSE)*加算率a/'2_区分12加算額計算表'!$D$19,-1)*$C14</f>
        <v>#N/A</v>
      </c>
      <c r="M14" s="131" t="e">
        <f>ROUNDDOWN(VLOOKUP($A14,保育所単価!$AC$8:$AE$22,2,FALSE)*加算率a/'2_区分12加算額計算表'!$D$19,-1)*$C14</f>
        <v>#N/A</v>
      </c>
      <c r="N14" s="131" t="e">
        <f>ROUNDDOWN(VLOOKUP($A14,保育所単価!$AC$8:$AE$22,2,FALSE)*加算率a/'2_区分12加算額計算表'!$D$19,-1)*$C14</f>
        <v>#N/A</v>
      </c>
      <c r="O14" s="131" t="e">
        <f>ROUNDDOWN(VLOOKUP($A14,保育所単価!$AC$8:$AE$22,2,FALSE)*加算率a/'2_区分12加算額計算表'!$D$19,-1)*$C14</f>
        <v>#N/A</v>
      </c>
      <c r="P14" s="131" t="e">
        <f>ROUNDDOWN(VLOOKUP($A14,保育所単価!$AC$8:$AE$22,2,FALSE)*加算率a/'2_区分12加算額計算表'!$D$19,-1)*$C14</f>
        <v>#N/A</v>
      </c>
      <c r="Q14" s="131" t="e">
        <f>ROUNDDOWN(VLOOKUP($A14,保育所単価!$AC$8:$AE$22,2,FALSE)*加算率a/'2_区分12加算額計算表'!$D$19,-1)*$C14</f>
        <v>#N/A</v>
      </c>
      <c r="R14" s="131" t="e">
        <f>ROUNDDOWN(VLOOKUP($A14,保育所単価!$AC$8:$AE$22,2,FALSE)*加算率a/'2_区分12加算額計算表'!$D$19,-1)*$C14</f>
        <v>#N/A</v>
      </c>
      <c r="S14" s="131" t="e">
        <f>ROUNDDOWN(VLOOKUP($A14,保育所単価!$AC$8:$AE$22,2,FALSE)*加算率a/'2_区分12加算額計算表'!$D$19,-1)*$C14</f>
        <v>#N/A</v>
      </c>
      <c r="T14" s="131" t="e">
        <f>ROUNDDOWN(VLOOKUP($A14,保育所単価!$AC$8:$AE$22,2,FALSE)*加算率a/'2_区分12加算額計算表'!$D$19,-1)*$C14</f>
        <v>#N/A</v>
      </c>
      <c r="U14" s="131" t="e">
        <f>ROUNDDOWN(VLOOKUP($A14,保育所単価!$AC$8:$AE$22,2,FALSE)*加算率a/'2_区分12加算額計算表'!$D$19,-1)*$C14</f>
        <v>#N/A</v>
      </c>
      <c r="V14" s="131" t="e">
        <f>ROUNDDOWN(VLOOKUP($A14,保育所単価!$AC$8:$AE$22,2,FALSE)*加算率a/'2_区分12加算額計算表'!$D$19,-1)*$C14</f>
        <v>#N/A</v>
      </c>
      <c r="W14" s="131" t="e">
        <f>ROUNDDOWN(VLOOKUP($A14,保育所単価!$AC$8:$AE$22,2,FALSE)*加算率a/'2_区分12加算額計算表'!$D$19,-1)*$C14</f>
        <v>#N/A</v>
      </c>
      <c r="X14" s="131" t="e">
        <f>ROUNDDOWN(VLOOKUP($A14,保育所単価!$AC$8:$AE$22,2,FALSE)*加算率a/'2_区分12加算額計算表'!$D$19,-1)*$C14</f>
        <v>#N/A</v>
      </c>
      <c r="Y14" s="131" t="e">
        <f>ROUNDDOWN(VLOOKUP($A14,保育所単価!$AC$8:$AE$22,2,FALSE)*加算率a/'2_区分12加算額計算表'!$D$19,-1)*$C14</f>
        <v>#N/A</v>
      </c>
      <c r="Z14" s="131" t="e">
        <f>ROUNDDOWN(VLOOKUP($A14,保育所単価!$AC$8:$AE$22,2,FALSE)*加算率a/'2_区分12加算額計算表'!$D$19,-1)*$C14</f>
        <v>#N/A</v>
      </c>
      <c r="AA14" s="131" t="e">
        <f>ROUNDDOWN(VLOOKUP($A14,保育所単価!$AC$8:$AE$22,2,FALSE)*加算率a/'2_区分12加算額計算表'!$D$19,-1)*$C14</f>
        <v>#N/A</v>
      </c>
    </row>
    <row r="15" spans="1:27">
      <c r="A15" s="140" t="e">
        <f>A13</f>
        <v>#N/A</v>
      </c>
      <c r="B15" s="116" t="s">
        <v>164</v>
      </c>
      <c r="C15" s="111">
        <f>IF('2_区分12加算額計算表'!$F$26&lt;&gt;"",1,0)</f>
        <v>0</v>
      </c>
      <c r="D15" s="131" t="e">
        <f>VLOOKUP($A15&amp;D$1,単価[],保育所単価!$Q$1,FALSE)*加算率a*$C15</f>
        <v>#N/A</v>
      </c>
      <c r="E15" s="131" t="e">
        <f>VLOOKUP($A15&amp;E$1,単価[],保育所単価!$Q$1,FALSE)*加算率a*$C15</f>
        <v>#N/A</v>
      </c>
      <c r="F15" s="131" t="e">
        <f>VLOOKUP($A15&amp;F$1,単価[],保育所単価!$Q$1,FALSE)*加算率a*$C15</f>
        <v>#N/A</v>
      </c>
      <c r="G15" s="131" t="e">
        <f>VLOOKUP($A15&amp;G$1,単価[],保育所単価!$Q$1,FALSE)*加算率a*$C15</f>
        <v>#N/A</v>
      </c>
      <c r="H15" s="131" t="e">
        <f>VLOOKUP($A15&amp;H$1,単価[],保育所単価!$Q$1,FALSE)*加算率a*$C15</f>
        <v>#N/A</v>
      </c>
      <c r="I15" s="131" t="e">
        <f>VLOOKUP($A15&amp;I$1,単価[],保育所単価!$Q$1,FALSE)*加算率a*$C15</f>
        <v>#N/A</v>
      </c>
      <c r="J15" s="131" t="e">
        <f>VLOOKUP($A15&amp;J$1,単価[],保育所単価!$Q$1,FALSE)*加算率a*$C15</f>
        <v>#N/A</v>
      </c>
      <c r="K15" s="131" t="e">
        <f>VLOOKUP($A15&amp;K$1,単価[],保育所単価!$Q$1,FALSE)*加算率a*$C15</f>
        <v>#N/A</v>
      </c>
      <c r="L15" s="131" t="e">
        <f>VLOOKUP($A15&amp;L$1,単価[],保育所単価!$Q$1,FALSE)*加算率a*$C15</f>
        <v>#N/A</v>
      </c>
      <c r="M15" s="131" t="e">
        <f>VLOOKUP($A15&amp;M$1,単価[],保育所単価!$Q$1,FALSE)*加算率a*$C15</f>
        <v>#N/A</v>
      </c>
      <c r="N15" s="131" t="e">
        <f>VLOOKUP($A15&amp;N$1,単価[],保育所単価!$Q$1,FALSE)*加算率a*$C15</f>
        <v>#N/A</v>
      </c>
      <c r="O15" s="131" t="e">
        <f>VLOOKUP($A15&amp;O$1,単価[],保育所単価!$Q$1,FALSE)*加算率a*$C15</f>
        <v>#N/A</v>
      </c>
      <c r="P15" s="131" t="e">
        <f>VLOOKUP($A15&amp;P$1,単価[],保育所単価!$Q$1,FALSE)*加算率a*$C15</f>
        <v>#N/A</v>
      </c>
      <c r="Q15" s="131" t="e">
        <f>VLOOKUP($A15&amp;Q$1,単価[],保育所単価!$Q$1,FALSE)*加算率a*$C15</f>
        <v>#N/A</v>
      </c>
      <c r="R15" s="131" t="e">
        <f>VLOOKUP($A15&amp;R$1,単価[],保育所単価!$Q$1,FALSE)*加算率a*$C15</f>
        <v>#N/A</v>
      </c>
      <c r="S15" s="131" t="e">
        <f>VLOOKUP($A15&amp;S$1,単価[],保育所単価!$Q$1,FALSE)*加算率a*$C15</f>
        <v>#N/A</v>
      </c>
      <c r="T15" s="131" t="e">
        <f>VLOOKUP($A15&amp;T$1,単価[],保育所単価!$Q$1,FALSE)*加算率a*$C15</f>
        <v>#N/A</v>
      </c>
      <c r="U15" s="131" t="e">
        <f>VLOOKUP($A15&amp;U$1,単価[],保育所単価!$Q$1,FALSE)*加算率a*$C15</f>
        <v>#N/A</v>
      </c>
      <c r="V15" s="131" t="e">
        <f>VLOOKUP($A15&amp;V$1,単価[],保育所単価!$Q$1,FALSE)*加算率a*$C15</f>
        <v>#N/A</v>
      </c>
      <c r="W15" s="131" t="e">
        <f>VLOOKUP($A15&amp;W$1,単価[],保育所単価!$Q$1,FALSE)*加算率a*$C15</f>
        <v>#N/A</v>
      </c>
      <c r="X15" s="131" t="e">
        <f>VLOOKUP($A15&amp;X$1,単価[],保育所単価!$Q$1,FALSE)*加算率a*$C15</f>
        <v>#N/A</v>
      </c>
      <c r="Y15" s="131" t="e">
        <f>VLOOKUP($A15&amp;Y$1,単価[],保育所単価!$Q$1,FALSE)*加算率a*$C15</f>
        <v>#N/A</v>
      </c>
      <c r="Z15" s="131" t="e">
        <f>VLOOKUP($A15&amp;Z$1,単価[],保育所単価!$Q$1,FALSE)*加算率a*$C15</f>
        <v>#N/A</v>
      </c>
      <c r="AA15" s="131" t="e">
        <f>VLOOKUP($A15&amp;AA$1,単価[],保育所単価!$Q$1,FALSE)*加算率a*$C15</f>
        <v>#N/A</v>
      </c>
    </row>
    <row r="16" spans="1:27">
      <c r="A16" s="140" t="e">
        <f>A15</f>
        <v>#N/A</v>
      </c>
      <c r="B16" s="116" t="s">
        <v>165</v>
      </c>
      <c r="C16" s="111">
        <f>IF('2_区分12加算額計算表'!$F$27&lt;&gt;"",'2_区分12加算額計算表'!$I$27,0)</f>
        <v>0</v>
      </c>
      <c r="D16" s="131" t="e">
        <f>VLOOKUP($A16&amp;D$1,単価[],保育所単価!$S$1,FALSE)*加算率a*$C16</f>
        <v>#N/A</v>
      </c>
      <c r="E16" s="131" t="e">
        <f>VLOOKUP($A16&amp;E$1,単価[],保育所単価!$S$1,FALSE)*加算率a*$C16</f>
        <v>#N/A</v>
      </c>
      <c r="F16" s="131" t="e">
        <f>VLOOKUP($A16&amp;F$1,単価[],保育所単価!$S$1,FALSE)*加算率a*$C16</f>
        <v>#N/A</v>
      </c>
      <c r="G16" s="131" t="e">
        <f>VLOOKUP($A16&amp;G$1,単価[],保育所単価!$S$1,FALSE)*加算率a*$C16</f>
        <v>#N/A</v>
      </c>
      <c r="H16" s="131" t="e">
        <f>VLOOKUP($A16&amp;H$1,単価[],保育所単価!$S$1,FALSE)*加算率a*$C16</f>
        <v>#N/A</v>
      </c>
      <c r="I16" s="131" t="e">
        <f>VLOOKUP($A16&amp;I$1,単価[],保育所単価!$S$1,FALSE)*加算率a*$C16</f>
        <v>#N/A</v>
      </c>
      <c r="J16" s="131" t="e">
        <f>VLOOKUP($A16&amp;J$1,単価[],保育所単価!$S$1,FALSE)*加算率a*$C16</f>
        <v>#N/A</v>
      </c>
      <c r="K16" s="131" t="e">
        <f>VLOOKUP($A16&amp;K$1,単価[],保育所単価!$S$1,FALSE)*加算率a*$C16</f>
        <v>#N/A</v>
      </c>
      <c r="L16" s="131" t="e">
        <f>VLOOKUP($A16&amp;L$1,単価[],保育所単価!$S$1,FALSE)*加算率a*$C16</f>
        <v>#N/A</v>
      </c>
      <c r="M16" s="131" t="e">
        <f>VLOOKUP($A16&amp;M$1,単価[],保育所単価!$S$1,FALSE)*加算率a*$C16</f>
        <v>#N/A</v>
      </c>
      <c r="N16" s="131" t="e">
        <f>VLOOKUP($A16&amp;N$1,単価[],保育所単価!$S$1,FALSE)*加算率a*$C16</f>
        <v>#N/A</v>
      </c>
      <c r="O16" s="131" t="e">
        <f>VLOOKUP($A16&amp;O$1,単価[],保育所単価!$S$1,FALSE)*加算率a*$C16</f>
        <v>#N/A</v>
      </c>
      <c r="P16" s="131" t="e">
        <f>VLOOKUP($A16&amp;P$1,単価[],保育所単価!$S$1,FALSE)*加算率a*$C16</f>
        <v>#N/A</v>
      </c>
      <c r="Q16" s="131" t="e">
        <f>VLOOKUP($A16&amp;Q$1,単価[],保育所単価!$S$1,FALSE)*加算率a*$C16</f>
        <v>#N/A</v>
      </c>
      <c r="R16" s="131" t="e">
        <f>VLOOKUP($A16&amp;R$1,単価[],保育所単価!$S$1,FALSE)*加算率a*$C16</f>
        <v>#N/A</v>
      </c>
      <c r="S16" s="131" t="e">
        <f>VLOOKUP($A16&amp;S$1,単価[],保育所単価!$S$1,FALSE)*加算率a*$C16</f>
        <v>#N/A</v>
      </c>
      <c r="T16" s="131" t="e">
        <f>VLOOKUP($A16&amp;T$1,単価[],保育所単価!$S$1,FALSE)*加算率a*$C16</f>
        <v>#N/A</v>
      </c>
      <c r="U16" s="131" t="e">
        <f>VLOOKUP($A16&amp;U$1,単価[],保育所単価!$S$1,FALSE)*加算率a*$C16</f>
        <v>#N/A</v>
      </c>
      <c r="V16" s="131" t="e">
        <f>VLOOKUP($A16&amp;V$1,単価[],保育所単価!$S$1,FALSE)*加算率a*$C16</f>
        <v>#N/A</v>
      </c>
      <c r="W16" s="131" t="e">
        <f>VLOOKUP($A16&amp;W$1,単価[],保育所単価!$S$1,FALSE)*加算率a*$C16</f>
        <v>#N/A</v>
      </c>
      <c r="X16" s="131" t="e">
        <f>VLOOKUP($A16&amp;X$1,単価[],保育所単価!$S$1,FALSE)*加算率a*$C16</f>
        <v>#N/A</v>
      </c>
      <c r="Y16" s="131" t="e">
        <f>VLOOKUP($A16&amp;Y$1,単価[],保育所単価!$S$1,FALSE)*加算率a*$C16</f>
        <v>#N/A</v>
      </c>
      <c r="Z16" s="131" t="e">
        <f>VLOOKUP($A16&amp;Z$1,単価[],保育所単価!$S$1,FALSE)*加算率a*$C16</f>
        <v>#N/A</v>
      </c>
      <c r="AA16" s="131" t="e">
        <f>VLOOKUP($A16&amp;AA$1,単価[],保育所単価!$S$1,FALSE)*加算率a*$C16</f>
        <v>#N/A</v>
      </c>
    </row>
    <row r="17" spans="1:27">
      <c r="A17" s="140"/>
      <c r="B17" s="116" t="s">
        <v>166</v>
      </c>
      <c r="C17" s="111"/>
      <c r="D17" s="129"/>
      <c r="E17" s="132"/>
      <c r="F17" s="131" t="e">
        <f>ROUNDDOWN(SUM(F9:F10)/10,-1)*-1</f>
        <v>#N/A</v>
      </c>
      <c r="G17" s="131" t="e">
        <f>ROUNDDOWN(SUM(G9:G10)/10,-1)*-1</f>
        <v>#N/A</v>
      </c>
      <c r="H17" s="129"/>
      <c r="I17" s="132"/>
      <c r="J17" s="131" t="e">
        <f>ROUNDDOWN(SUM(J9:J10)/10,-1)*-1</f>
        <v>#N/A</v>
      </c>
      <c r="K17" s="131" t="e">
        <f>ROUNDDOWN(SUM(K9:K10)/10,-1)*-1</f>
        <v>#N/A</v>
      </c>
      <c r="L17" s="132"/>
      <c r="M17" s="132"/>
      <c r="N17" s="131" t="e">
        <f>ROUNDDOWN(SUM(N9:N10)/10,-1)*-1</f>
        <v>#N/A</v>
      </c>
      <c r="O17" s="131" t="e">
        <f>ROUNDDOWN(SUM(O9:O10)/10,-1)*-1</f>
        <v>#N/A</v>
      </c>
      <c r="P17" s="132"/>
      <c r="Q17" s="132"/>
      <c r="R17" s="131" t="e">
        <f>ROUNDDOWN(SUM(R9:R10)/10,-1)*-1</f>
        <v>#N/A</v>
      </c>
      <c r="S17" s="131" t="e">
        <f>ROUNDDOWN(SUM(S9:S10)/10,-1)*-1</f>
        <v>#N/A</v>
      </c>
      <c r="T17" s="132"/>
      <c r="U17" s="132"/>
      <c r="V17" s="135" t="e">
        <f>ROUNDDOWN(SUM(V9:V10)/10,-1)*-1</f>
        <v>#N/A</v>
      </c>
      <c r="W17" s="131" t="e">
        <f>ROUNDDOWN(SUM(W9:W10)/10,-1)*-1</f>
        <v>#N/A</v>
      </c>
      <c r="X17" s="132"/>
      <c r="Y17" s="132"/>
      <c r="Z17" s="131" t="e">
        <f>ROUNDDOWN(SUM(Z9:Z10)/10,-1)*-1</f>
        <v>#N/A</v>
      </c>
      <c r="AA17" s="131" t="e">
        <f>ROUNDDOWN(SUM(AA9:AA10)/10,-1)*-1</f>
        <v>#N/A</v>
      </c>
    </row>
    <row r="18" spans="1:27">
      <c r="A18" s="140" t="e">
        <f>A8</f>
        <v>#N/A</v>
      </c>
      <c r="B18" s="116" t="s">
        <v>192</v>
      </c>
      <c r="C18" s="111">
        <f>IF('2_区分12加算額計算表'!$F$28&lt;&gt;"",1,0)</f>
        <v>0</v>
      </c>
      <c r="D18" s="131" t="e">
        <f>VLOOKUP($A18&amp;D$1,単価[],保育所単価!$U$1,FALSE)*加算率a*-1*$C18</f>
        <v>#N/A</v>
      </c>
      <c r="E18" s="131" t="e">
        <f>VLOOKUP($A18&amp;E$1,単価[],保育所単価!$U$1,FALSE)*加算率a*-1*$C18</f>
        <v>#N/A</v>
      </c>
      <c r="F18" s="129"/>
      <c r="G18" s="129"/>
      <c r="H18" s="131" t="e">
        <f>VLOOKUP($A18&amp;H$1,単価[],保育所単価!$U$1,FALSE)*加算率a*-1*$C18</f>
        <v>#N/A</v>
      </c>
      <c r="I18" s="131" t="e">
        <f>VLOOKUP($A18&amp;I$1,単価[],保育所単価!$U$1,FALSE)*加算率a*-1*$C18</f>
        <v>#N/A</v>
      </c>
      <c r="J18" s="129"/>
      <c r="K18" s="129"/>
      <c r="L18" s="131" t="e">
        <f>VLOOKUP($A18&amp;L$1,単価[],保育所単価!$U$1,FALSE)*加算率a*-1*$C18</f>
        <v>#N/A</v>
      </c>
      <c r="M18" s="131" t="e">
        <f>VLOOKUP($A18&amp;M$1,単価[],保育所単価!$U$1,FALSE)*加算率a*-1*$C18</f>
        <v>#N/A</v>
      </c>
      <c r="N18" s="129"/>
      <c r="O18" s="129"/>
      <c r="P18" s="131" t="e">
        <f>VLOOKUP($A18&amp;P$1,単価[],保育所単価!$U$1,FALSE)*加算率a*-1*$C18</f>
        <v>#N/A</v>
      </c>
      <c r="Q18" s="131" t="e">
        <f>VLOOKUP($A18&amp;Q$1,単価[],保育所単価!$U$1,FALSE)*加算率a*-1*$C18</f>
        <v>#N/A</v>
      </c>
      <c r="R18" s="129"/>
      <c r="S18" s="129"/>
      <c r="T18" s="131" t="e">
        <f>VLOOKUP($A18&amp;T$1,単価[],保育所単価!$U$1,FALSE)*加算率a*-1*$C18</f>
        <v>#N/A</v>
      </c>
      <c r="U18" s="131" t="e">
        <f>VLOOKUP($A18&amp;U$1,単価[],保育所単価!$U$1,FALSE)*加算率a*-1*$C18</f>
        <v>#N/A</v>
      </c>
      <c r="V18" s="129"/>
      <c r="W18" s="129"/>
      <c r="X18" s="131" t="e">
        <f>VLOOKUP($A18&amp;X$1,単価[],保育所単価!$U$1,FALSE)*加算率a*-1*$C18</f>
        <v>#N/A</v>
      </c>
      <c r="Y18" s="131" t="e">
        <f>VLOOKUP($A18&amp;Y$1,単価[],保育所単価!$U$1,FALSE)*加算率a*-1*$C18</f>
        <v>#N/A</v>
      </c>
      <c r="Z18" s="129"/>
      <c r="AA18" s="129"/>
    </row>
    <row r="19" spans="1:27">
      <c r="A19" s="140">
        <f>A9</f>
        <v>0</v>
      </c>
      <c r="B19" s="116" t="s">
        <v>193</v>
      </c>
      <c r="C19" s="111">
        <f>C18</f>
        <v>0</v>
      </c>
      <c r="D19" s="129"/>
      <c r="E19" s="129"/>
      <c r="F19" s="131" t="e">
        <f>VLOOKUP($A19&amp;F$1,単価[],保育所単価!$U$1,FALSE)*加算率a*-1*$C19</f>
        <v>#N/A</v>
      </c>
      <c r="G19" s="131" t="e">
        <f>VLOOKUP($A19&amp;G$1,単価[],保育所単価!$U$1,FALSE)*加算率a*-1*$C19</f>
        <v>#N/A</v>
      </c>
      <c r="H19" s="129"/>
      <c r="I19" s="129"/>
      <c r="J19" s="131" t="e">
        <f>VLOOKUP($A19&amp;J$1,単価[],保育所単価!$U$1,FALSE)*加算率a*-1*$C19</f>
        <v>#N/A</v>
      </c>
      <c r="K19" s="131" t="e">
        <f>VLOOKUP($A19&amp;K$1,単価[],保育所単価!$U$1,FALSE)*加算率a*-1*$C19</f>
        <v>#N/A</v>
      </c>
      <c r="L19" s="129"/>
      <c r="M19" s="129"/>
      <c r="N19" s="131" t="e">
        <f>VLOOKUP($A19&amp;N$1,単価[],保育所単価!$U$1,FALSE)*加算率a*-1*$C19</f>
        <v>#N/A</v>
      </c>
      <c r="O19" s="131" t="e">
        <f>VLOOKUP($A19&amp;O$1,単価[],保育所単価!$U$1,FALSE)*加算率a*-1*$C19</f>
        <v>#N/A</v>
      </c>
      <c r="P19" s="129"/>
      <c r="Q19" s="129"/>
      <c r="R19" s="131" t="e">
        <f>VLOOKUP($A19&amp;R$1,単価[],保育所単価!$U$1,FALSE)*加算率a*-1*$C19</f>
        <v>#N/A</v>
      </c>
      <c r="S19" s="131" t="e">
        <f>VLOOKUP($A19&amp;S$1,単価[],保育所単価!$U$1,FALSE)*加算率a*-1*$C19</f>
        <v>#N/A</v>
      </c>
      <c r="T19" s="129"/>
      <c r="U19" s="129"/>
      <c r="V19" s="131" t="e">
        <f>VLOOKUP($A19&amp;V$1,単価[],保育所単価!$U$1,FALSE)*加算率a*-1*$C19</f>
        <v>#N/A</v>
      </c>
      <c r="W19" s="131" t="e">
        <f>VLOOKUP($A19&amp;W$1,単価[],保育所単価!$U$1,FALSE)*加算率a*-1*$C19</f>
        <v>#N/A</v>
      </c>
      <c r="X19" s="129"/>
      <c r="Y19" s="129"/>
      <c r="Z19" s="131" t="e">
        <f>VLOOKUP($A19&amp;Z$1,単価[],保育所単価!$U$1,FALSE)*加算率a*-1*$C19</f>
        <v>#N/A</v>
      </c>
      <c r="AA19" s="131" t="e">
        <f>VLOOKUP($A19&amp;AA$1,単価[],保育所単価!$U$1,FALSE)*加算率a*-1*$C19</f>
        <v>#N/A</v>
      </c>
    </row>
    <row r="20" spans="1:27">
      <c r="A20" s="140"/>
      <c r="B20" s="116" t="s">
        <v>168</v>
      </c>
      <c r="C20" s="111">
        <f>IF('2_区分12加算額計算表'!$F$29&lt;&gt;"",1,0)</f>
        <v>0</v>
      </c>
      <c r="D20" s="131" t="e">
        <f>ROUNDDOWN(保育所単価!$AJ15*加算率a/'2_区分12加算額計算表'!$D$19,-1)*$C20</f>
        <v>#N/A</v>
      </c>
      <c r="E20" s="131" t="e">
        <f>ROUNDDOWN(保育所単価!$AJ15*加算率a/'2_区分12加算額計算表'!$D$19,-1)*$C20</f>
        <v>#N/A</v>
      </c>
      <c r="F20" s="131" t="e">
        <f>ROUNDDOWN(保育所単価!$AJ15*加算率a/'2_区分12加算額計算表'!$D$19,-1)*$C20</f>
        <v>#N/A</v>
      </c>
      <c r="G20" s="131" t="e">
        <f>ROUNDDOWN(保育所単価!$AJ15*加算率a/'2_区分12加算額計算表'!$D$19,-1)*$C20</f>
        <v>#N/A</v>
      </c>
      <c r="H20" s="131" t="e">
        <f>ROUNDDOWN(保育所単価!$AJ15*加算率a/'2_区分12加算額計算表'!$D$19,-1)*$C20</f>
        <v>#N/A</v>
      </c>
      <c r="I20" s="131" t="e">
        <f>ROUNDDOWN(保育所単価!$AJ15*加算率a/'2_区分12加算額計算表'!$D$19,-1)*$C20</f>
        <v>#N/A</v>
      </c>
      <c r="J20" s="131" t="e">
        <f>ROUNDDOWN(保育所単価!$AJ15*加算率a/'2_区分12加算額計算表'!$D$19,-1)*$C20</f>
        <v>#N/A</v>
      </c>
      <c r="K20" s="131" t="e">
        <f>ROUNDDOWN(保育所単価!$AJ15*加算率a/'2_区分12加算額計算表'!$D$19,-1)*$C20</f>
        <v>#N/A</v>
      </c>
      <c r="L20" s="131" t="e">
        <f>ROUNDDOWN(保育所単価!$AJ15*加算率a/'2_区分12加算額計算表'!$D$19,-1)*$C20</f>
        <v>#N/A</v>
      </c>
      <c r="M20" s="131" t="e">
        <f>ROUNDDOWN(保育所単価!$AJ15*加算率a/'2_区分12加算額計算表'!$D$19,-1)*$C20</f>
        <v>#N/A</v>
      </c>
      <c r="N20" s="131" t="e">
        <f>ROUNDDOWN(保育所単価!$AJ15*加算率a/'2_区分12加算額計算表'!$D$19,-1)*$C20</f>
        <v>#N/A</v>
      </c>
      <c r="O20" s="131" t="e">
        <f>ROUNDDOWN(保育所単価!$AJ15*加算率a/'2_区分12加算額計算表'!$D$19,-1)*$C20</f>
        <v>#N/A</v>
      </c>
      <c r="P20" s="131" t="e">
        <f>ROUNDDOWN(保育所単価!$AJ15*加算率a/'2_区分12加算額計算表'!$D$19,-1)*$C20</f>
        <v>#N/A</v>
      </c>
      <c r="Q20" s="131" t="e">
        <f>ROUNDDOWN(保育所単価!$AJ15*加算率a/'2_区分12加算額計算表'!$D$19,-1)*$C20</f>
        <v>#N/A</v>
      </c>
      <c r="R20" s="131" t="e">
        <f>ROUNDDOWN(保育所単価!$AJ15*加算率a/'2_区分12加算額計算表'!$D$19,-1)*$C20</f>
        <v>#N/A</v>
      </c>
      <c r="S20" s="131" t="e">
        <f>ROUNDDOWN(保育所単価!$AJ15*加算率a/'2_区分12加算額計算表'!$D$19,-1)*$C20</f>
        <v>#N/A</v>
      </c>
      <c r="T20" s="131" t="e">
        <f>ROUNDDOWN(保育所単価!$AJ15*加算率a/'2_区分12加算額計算表'!$D$19,-1)*$C20</f>
        <v>#N/A</v>
      </c>
      <c r="U20" s="131" t="e">
        <f>ROUNDDOWN(保育所単価!$AJ15*加算率a/'2_区分12加算額計算表'!$D$19,-1)*$C20</f>
        <v>#N/A</v>
      </c>
      <c r="V20" s="131" t="e">
        <f>ROUNDDOWN(保育所単価!$AJ15*加算率a/'2_区分12加算額計算表'!$D$19,-1)*$C20</f>
        <v>#N/A</v>
      </c>
      <c r="W20" s="131" t="e">
        <f>ROUNDDOWN(保育所単価!$AJ15*加算率a/'2_区分12加算額計算表'!$D$19,-1)*$C20</f>
        <v>#N/A</v>
      </c>
      <c r="X20" s="131" t="e">
        <f>ROUNDDOWN(保育所単価!$AJ15*加算率a/'2_区分12加算額計算表'!$D$19,-1)*$C20</f>
        <v>#N/A</v>
      </c>
      <c r="Y20" s="131" t="e">
        <f>ROUNDDOWN(保育所単価!$AJ15*加算率a/'2_区分12加算額計算表'!$D$19,-1)*$C20</f>
        <v>#N/A</v>
      </c>
      <c r="Z20" s="131" t="e">
        <f>ROUNDDOWN(保育所単価!$AJ15*加算率a/'2_区分12加算額計算表'!$D$19,-1)*$C20</f>
        <v>#N/A</v>
      </c>
      <c r="AA20" s="131" t="e">
        <f>ROUNDDOWN(保育所単価!$AJ15*加算率a/'2_区分12加算額計算表'!$D$19,-1)*$C20</f>
        <v>#N/A</v>
      </c>
    </row>
    <row r="21" spans="1:27">
      <c r="A21" s="140">
        <f>IF('2_区分12加算額計算表'!$F$30=【リスト】!$D$2,2,IF('2_区分12加算額計算表'!$F$30=【リスト】!$D$3,3,1))</f>
        <v>1</v>
      </c>
      <c r="B21" s="116" t="s">
        <v>170</v>
      </c>
      <c r="C21" s="111">
        <f>IF('2_区分12加算額計算表'!$F$30&lt;&gt;"",1,0)</f>
        <v>0</v>
      </c>
      <c r="D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E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F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G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H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I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J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K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L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M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N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O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P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Q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R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S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T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U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V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W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X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Y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Z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c r="AA21" s="131" t="e">
        <f>IF(VLOOKUP($A21,療育支援[],保育所単価!$AJ$1,FALSE)*加算率a/'2_区分12加算額計算表'!$D$19&gt;=10,
ROUNDDOWN(VLOOKUP($A21,療育支援[],保育所単価!$AJ$1,FALSE)*加算率a/'2_区分12加算額計算表'!$D$19,-1),
ROUNDDOWN(VLOOKUP($A21,療育支援[],保育所単価!$AJ$1,FALSE)*加算率a/'2_区分12加算額計算表'!$D$19,0))*$C21</f>
        <v>#N/A</v>
      </c>
    </row>
    <row r="22" spans="1:27">
      <c r="A22" s="140"/>
      <c r="B22" s="116" t="s">
        <v>169</v>
      </c>
      <c r="C22" s="111">
        <f>IF('2_区分12加算額計算表'!$F$31&lt;&gt;"",1,0)</f>
        <v>0</v>
      </c>
      <c r="D22" s="131" t="e">
        <f>IF(保育所単価!$AJ16*加算率a/'2_区分12加算額計算表'!$D$19&gt;=10,
ROUNDDOWN(保育所単価!$AJ16*加算率a/'2_区分12加算額計算表'!$D$19,-1),
ROUNDDOWN(保育所単価!$AJ16*加算率a/'2_区分12加算額計算表'!$D$19,0))*$C22</f>
        <v>#N/A</v>
      </c>
      <c r="E22" s="131" t="e">
        <f>IF(保育所単価!$AJ16*加算率a/'2_区分12加算額計算表'!$D$19&gt;=10,
ROUNDDOWN(保育所単価!$AJ16*加算率a/'2_区分12加算額計算表'!$D$19,-1),
ROUNDDOWN(保育所単価!$AJ16*加算率a/'2_区分12加算額計算表'!$D$19,0))*$C22</f>
        <v>#N/A</v>
      </c>
      <c r="F22" s="131" t="e">
        <f>IF(保育所単価!$AJ16*加算率a/'2_区分12加算額計算表'!$D$19&gt;=10,
ROUNDDOWN(保育所単価!$AJ16*加算率a/'2_区分12加算額計算表'!$D$19,-1),
ROUNDDOWN(保育所単価!$AJ16*加算率a/'2_区分12加算額計算表'!$D$19,0))*$C22</f>
        <v>#N/A</v>
      </c>
      <c r="G22" s="131" t="e">
        <f>IF(保育所単価!$AJ16*加算率a/'2_区分12加算額計算表'!$D$19&gt;=10,
ROUNDDOWN(保育所単価!$AJ16*加算率a/'2_区分12加算額計算表'!$D$19,-1),
ROUNDDOWN(保育所単価!$AJ16*加算率a/'2_区分12加算額計算表'!$D$19,0))*$C22</f>
        <v>#N/A</v>
      </c>
      <c r="H22" s="131" t="e">
        <f>IF(保育所単価!$AJ16*加算率a/'2_区分12加算額計算表'!$D$19&gt;=10,
ROUNDDOWN(保育所単価!$AJ16*加算率a/'2_区分12加算額計算表'!$D$19,-1),
ROUNDDOWN(保育所単価!$AJ16*加算率a/'2_区分12加算額計算表'!$D$19,0))*$C22</f>
        <v>#N/A</v>
      </c>
      <c r="I22" s="131" t="e">
        <f>IF(保育所単価!$AJ16*加算率a/'2_区分12加算額計算表'!$D$19&gt;=10,
ROUNDDOWN(保育所単価!$AJ16*加算率a/'2_区分12加算額計算表'!$D$19,-1),
ROUNDDOWN(保育所単価!$AJ16*加算率a/'2_区分12加算額計算表'!$D$19,0))*$C22</f>
        <v>#N/A</v>
      </c>
      <c r="J22" s="131" t="e">
        <f>IF(保育所単価!$AJ16*加算率a/'2_区分12加算額計算表'!$D$19&gt;=10,
ROUNDDOWN(保育所単価!$AJ16*加算率a/'2_区分12加算額計算表'!$D$19,-1),
ROUNDDOWN(保育所単価!$AJ16*加算率a/'2_区分12加算額計算表'!$D$19,0))*$C22</f>
        <v>#N/A</v>
      </c>
      <c r="K22" s="131" t="e">
        <f>IF(保育所単価!$AJ16*加算率a/'2_区分12加算額計算表'!$D$19&gt;=10,
ROUNDDOWN(保育所単価!$AJ16*加算率a/'2_区分12加算額計算表'!$D$19,-1),
ROUNDDOWN(保育所単価!$AJ16*加算率a/'2_区分12加算額計算表'!$D$19,0))*$C22</f>
        <v>#N/A</v>
      </c>
      <c r="L22" s="131" t="e">
        <f>IF(保育所単価!$AJ16*加算率a/'2_区分12加算額計算表'!$D$19&gt;=10,
ROUNDDOWN(保育所単価!$AJ16*加算率a/'2_区分12加算額計算表'!$D$19,-1),
ROUNDDOWN(保育所単価!$AJ16*加算率a/'2_区分12加算額計算表'!$D$19,0))*$C22</f>
        <v>#N/A</v>
      </c>
      <c r="M22" s="131" t="e">
        <f>IF(保育所単価!$AJ16*加算率a/'2_区分12加算額計算表'!$D$19&gt;=10,
ROUNDDOWN(保育所単価!$AJ16*加算率a/'2_区分12加算額計算表'!$D$19,-1),
ROUNDDOWN(保育所単価!$AJ16*加算率a/'2_区分12加算額計算表'!$D$19,0))*$C22</f>
        <v>#N/A</v>
      </c>
      <c r="N22" s="131" t="e">
        <f>IF(保育所単価!$AJ16*加算率a/'2_区分12加算額計算表'!$D$19&gt;=10,
ROUNDDOWN(保育所単価!$AJ16*加算率a/'2_区分12加算額計算表'!$D$19,-1),
ROUNDDOWN(保育所単価!$AJ16*加算率a/'2_区分12加算額計算表'!$D$19,0))*$C22</f>
        <v>#N/A</v>
      </c>
      <c r="O22" s="131" t="e">
        <f>IF(保育所単価!$AJ16*加算率a/'2_区分12加算額計算表'!$D$19&gt;=10,
ROUNDDOWN(保育所単価!$AJ16*加算率a/'2_区分12加算額計算表'!$D$19,-1),
ROUNDDOWN(保育所単価!$AJ16*加算率a/'2_区分12加算額計算表'!$D$19,0))*$C22</f>
        <v>#N/A</v>
      </c>
      <c r="P22" s="131" t="e">
        <f>IF(保育所単価!$AJ16*加算率a/'2_区分12加算額計算表'!$D$19&gt;=10,
ROUNDDOWN(保育所単価!$AJ16*加算率a/'2_区分12加算額計算表'!$D$19,-1),
ROUNDDOWN(保育所単価!$AJ16*加算率a/'2_区分12加算額計算表'!$D$19,0))*$C22</f>
        <v>#N/A</v>
      </c>
      <c r="Q22" s="131" t="e">
        <f>IF(保育所単価!$AJ16*加算率a/'2_区分12加算額計算表'!$D$19&gt;=10,
ROUNDDOWN(保育所単価!$AJ16*加算率a/'2_区分12加算額計算表'!$D$19,-1),
ROUNDDOWN(保育所単価!$AJ16*加算率a/'2_区分12加算額計算表'!$D$19,0))*$C22</f>
        <v>#N/A</v>
      </c>
      <c r="R22" s="131" t="e">
        <f>IF(保育所単価!$AJ16*加算率a/'2_区分12加算額計算表'!$D$19&gt;=10,
ROUNDDOWN(保育所単価!$AJ16*加算率a/'2_区分12加算額計算表'!$D$19,-1),
ROUNDDOWN(保育所単価!$AJ16*加算率a/'2_区分12加算額計算表'!$D$19,0))*$C22</f>
        <v>#N/A</v>
      </c>
      <c r="S22" s="131" t="e">
        <f>IF(保育所単価!$AJ16*加算率a/'2_区分12加算額計算表'!$D$19&gt;=10,
ROUNDDOWN(保育所単価!$AJ16*加算率a/'2_区分12加算額計算表'!$D$19,-1),
ROUNDDOWN(保育所単価!$AJ16*加算率a/'2_区分12加算額計算表'!$D$19,0))*$C22</f>
        <v>#N/A</v>
      </c>
      <c r="T22" s="131" t="e">
        <f>IF(保育所単価!$AJ16*加算率a/'2_区分12加算額計算表'!$D$19&gt;=10,
ROUNDDOWN(保育所単価!$AJ16*加算率a/'2_区分12加算額計算表'!$D$19,-1),
ROUNDDOWN(保育所単価!$AJ16*加算率a/'2_区分12加算額計算表'!$D$19,0))*$C22</f>
        <v>#N/A</v>
      </c>
      <c r="U22" s="131" t="e">
        <f>IF(保育所単価!$AJ16*加算率a/'2_区分12加算額計算表'!$D$19&gt;=10,
ROUNDDOWN(保育所単価!$AJ16*加算率a/'2_区分12加算額計算表'!$D$19,-1),
ROUNDDOWN(保育所単価!$AJ16*加算率a/'2_区分12加算額計算表'!$D$19,0))*$C22</f>
        <v>#N/A</v>
      </c>
      <c r="V22" s="131" t="e">
        <f>IF(保育所単価!$AJ16*加算率a/'2_区分12加算額計算表'!$D$19&gt;=10,
ROUNDDOWN(保育所単価!$AJ16*加算率a/'2_区分12加算額計算表'!$D$19,-1),
ROUNDDOWN(保育所単価!$AJ16*加算率a/'2_区分12加算額計算表'!$D$19,0))*$C22</f>
        <v>#N/A</v>
      </c>
      <c r="W22" s="131" t="e">
        <f>IF(保育所単価!$AJ16*加算率a/'2_区分12加算額計算表'!$D$19&gt;=10,
ROUNDDOWN(保育所単価!$AJ16*加算率a/'2_区分12加算額計算表'!$D$19,-1),
ROUNDDOWN(保育所単価!$AJ16*加算率a/'2_区分12加算額計算表'!$D$19,0))*$C22</f>
        <v>#N/A</v>
      </c>
      <c r="X22" s="131" t="e">
        <f>IF(保育所単価!$AJ16*加算率a/'2_区分12加算額計算表'!$D$19&gt;=10,
ROUNDDOWN(保育所単価!$AJ16*加算率a/'2_区分12加算額計算表'!$D$19,-1),
ROUNDDOWN(保育所単価!$AJ16*加算率a/'2_区分12加算額計算表'!$D$19,0))*$C22</f>
        <v>#N/A</v>
      </c>
      <c r="Y22" s="131" t="e">
        <f>IF(保育所単価!$AJ16*加算率a/'2_区分12加算額計算表'!$D$19&gt;=10,
ROUNDDOWN(保育所単価!$AJ16*加算率a/'2_区分12加算額計算表'!$D$19,-1),
ROUNDDOWN(保育所単価!$AJ16*加算率a/'2_区分12加算額計算表'!$D$19,0))*$C22</f>
        <v>#N/A</v>
      </c>
      <c r="Z22" s="131" t="e">
        <f>IF(保育所単価!$AJ16*加算率a/'2_区分12加算額計算表'!$D$19&gt;=10,
ROUNDDOWN(保育所単価!$AJ16*加算率a/'2_区分12加算額計算表'!$D$19,-1),
ROUNDDOWN(保育所単価!$AJ16*加算率a/'2_区分12加算額計算表'!$D$19,0))*$C22</f>
        <v>#N/A</v>
      </c>
      <c r="AA22" s="131" t="e">
        <f>IF(保育所単価!$AJ16*加算率a/'2_区分12加算額計算表'!$D$19&gt;=10,
ROUNDDOWN(保育所単価!$AJ16*加算率a/'2_区分12加算額計算表'!$D$19,-1),
ROUNDDOWN(保育所単価!$AJ16*加算率a/'2_区分12加算額計算表'!$D$19,0))*$C22</f>
        <v>#N/A</v>
      </c>
    </row>
    <row r="23" spans="1:27">
      <c r="A23" s="140">
        <f>IF('2_区分12加算額計算表'!$F$32=【リスト】!$E$2,1,IF('2_区分12加算額計算表'!$F$32=【リスト】!$E$3,2,IF('2_区分12加算額計算表'!$F$32=【リスト】!$E$4,3,0)))</f>
        <v>0</v>
      </c>
      <c r="B23" s="117" t="s">
        <v>171</v>
      </c>
      <c r="C23" s="112">
        <f>IF('2_区分12加算額計算表'!$F$32&lt;&gt;"",1,0)</f>
        <v>0</v>
      </c>
      <c r="D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E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F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G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H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I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J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K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L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M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N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O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P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Q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R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S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T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U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V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W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X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Y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Z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c r="AA23" s="133" t="e">
        <f>IF(VLOOKUP($A23,栄養管理[],保育所単価!$AP$1,FALSE)*加算率a/'2_区分12加算額計算表'!$D$19&gt;=10,
ROUNDDOWN(VLOOKUP($A23,栄養管理[],保育所単価!$AP$1,FALSE)*加算率a/'2_区分12加算額計算表'!$D$19,-1),
ROUNDDOWN(VLOOKUP($A23,栄養管理[],保育所単価!$AP$1,FALSE)*加算率a/'2_区分12加算額計算表'!$D$19,0))*$C23</f>
        <v>#N/A</v>
      </c>
    </row>
    <row r="24" spans="1:27">
      <c r="A24" s="140" t="e">
        <f>A18</f>
        <v>#N/A</v>
      </c>
      <c r="B24" s="116" t="s">
        <v>191</v>
      </c>
      <c r="C24" s="111" t="str">
        <f>IF('2_区分12加算額計算表'!$F$33=【リスト】!$H$2,0,IF('2_区分12加算額計算表'!$F$33=【リスト】!$H$3,1,IF('2_区分12加算額計算表'!$F$33=【リスト】!$H$4,2,IF('2_区分12加算額計算表'!$F$33=【リスト】!$H$5,3,"Q"))))</f>
        <v>Q</v>
      </c>
      <c r="D24" s="131">
        <f>IF($C24="Q",0,ROUNDDOWN(SUM(D7:D13,D15)*VLOOKUP($A24&amp;D$1,単価[],保育所単価!$W$1+$C24,FALSE),-1))*-1</f>
        <v>0</v>
      </c>
      <c r="E24" s="131">
        <f>IF($C24="Q",0,ROUNDDOWN(SUM(E7:E13,E15)*VLOOKUP($A24&amp;E$1,単価[],保育所単価!$W$1+$C24,FALSE),-1))*-1</f>
        <v>0</v>
      </c>
      <c r="F24" s="131">
        <f>IF($C24="Q",0,ROUNDDOWN(SUM(F7:F13,F15)*VLOOKUP($A24&amp;F$1,単価[],保育所単価!$W$1+$C24,FALSE),-1))*-1</f>
        <v>0</v>
      </c>
      <c r="G24" s="131">
        <f>IF($C24="Q",0,ROUNDDOWN(SUM(G7:G13,G15)*VLOOKUP($A24&amp;G$1,単価[],保育所単価!$W$1+$C24,FALSE),-1))*-1</f>
        <v>0</v>
      </c>
      <c r="H24" s="131">
        <f>IF($C24="Q",0,ROUNDDOWN(SUM(H7:H13,H15)*VLOOKUP($A24&amp;H$1,単価[],保育所単価!$W$1+$C24,FALSE),-1))*-1</f>
        <v>0</v>
      </c>
      <c r="I24" s="131">
        <f>IF($C24="Q",0,ROUNDDOWN(SUM(I7:I13,I15)*VLOOKUP($A24&amp;I$1,単価[],保育所単価!$W$1+$C24,FALSE),-1))*-1</f>
        <v>0</v>
      </c>
      <c r="J24" s="131">
        <f>IF($C24="Q",0,ROUNDDOWN(SUM(J7:J13,J15)*VLOOKUP($A24&amp;J$1,単価[],保育所単価!$W$1+$C24,FALSE),-1))*-1</f>
        <v>0</v>
      </c>
      <c r="K24" s="131">
        <f>IF($C24="Q",0,ROUNDDOWN(SUM(K7:K13,K15)*VLOOKUP($A24&amp;K$1,単価[],保育所単価!$W$1+$C24,FALSE),-1))*-1</f>
        <v>0</v>
      </c>
      <c r="L24" s="131">
        <f>IF($C24="Q",0,ROUNDDOWN(SUM(L7:L13,L15)*VLOOKUP($A24&amp;L$1,単価[],保育所単価!$W$1+$C24,FALSE),-1))*-1</f>
        <v>0</v>
      </c>
      <c r="M24" s="131">
        <f>IF($C24="Q",0,ROUNDDOWN(SUM(M7:M13,M15)*VLOOKUP($A24&amp;M$1,単価[],保育所単価!$W$1+$C24,FALSE),-1))*-1</f>
        <v>0</v>
      </c>
      <c r="N24" s="131">
        <f>IF($C24="Q",0,ROUNDDOWN(SUM(N7:N13,N15)*VLOOKUP($A24&amp;N$1,単価[],保育所単価!$W$1+$C24,FALSE),-1))*-1</f>
        <v>0</v>
      </c>
      <c r="O24" s="131">
        <f>IF($C24="Q",0,ROUNDDOWN(SUM(O7:O13,O15)*VLOOKUP($A24&amp;O$1,単価[],保育所単価!$W$1+$C24,FALSE),-1))*-1</f>
        <v>0</v>
      </c>
      <c r="P24" s="131">
        <f>IF($C24="Q",0,ROUNDDOWN(SUM(P7:P13,P15)*VLOOKUP($A24&amp;P$1,単価[],保育所単価!$W$1+$C24,FALSE),-1))*-1</f>
        <v>0</v>
      </c>
      <c r="Q24" s="131">
        <f>IF($C24="Q",0,ROUNDDOWN(SUM(Q7:Q13,Q15)*VLOOKUP($A24&amp;Q$1,単価[],保育所単価!$W$1+$C24,FALSE),-1))*-1</f>
        <v>0</v>
      </c>
      <c r="R24" s="131">
        <f>IF($C24="Q",0,ROUNDDOWN(SUM(R7:R13,R15)*VLOOKUP($A24&amp;R$1,単価[],保育所単価!$W$1+$C24,FALSE),-1))*-1</f>
        <v>0</v>
      </c>
      <c r="S24" s="131">
        <f>IF($C24="Q",0,ROUNDDOWN(SUM(S7:S13,S15)*VLOOKUP($A24&amp;S$1,単価[],保育所単価!$W$1+$C24,FALSE),-1))*-1</f>
        <v>0</v>
      </c>
      <c r="T24" s="131">
        <f>IF($C24="Q",0,ROUNDDOWN(SUM(T7:T13,T15)*VLOOKUP($A24&amp;T$1,単価[],保育所単価!$W$1+$C24,FALSE),-1))*-1</f>
        <v>0</v>
      </c>
      <c r="U24" s="131">
        <f>IF($C24="Q",0,ROUNDDOWN(SUM(U7:U13,U15)*VLOOKUP($A24&amp;U$1,単価[],保育所単価!$W$1+$C24,FALSE),-1))*-1</f>
        <v>0</v>
      </c>
      <c r="V24" s="131">
        <f>IF($C24="Q",0,ROUNDDOWN(SUM(V7:V13,V15)*VLOOKUP($A24&amp;V$1,単価[],保育所単価!$W$1+$C24,FALSE),-1))*-1</f>
        <v>0</v>
      </c>
      <c r="W24" s="131">
        <f>IF($C24="Q",0,ROUNDDOWN(SUM(W7:W13,W15)*VLOOKUP($A24&amp;W$1,単価[],保育所単価!$W$1+$C24,FALSE),-1))*-1</f>
        <v>0</v>
      </c>
      <c r="X24" s="131">
        <f>IF($C24="Q",0,ROUNDDOWN(SUM(X7:X13,X15)*VLOOKUP($A24&amp;X$1,単価[],保育所単価!$W$1+$C24,FALSE),-1))*-1</f>
        <v>0</v>
      </c>
      <c r="Y24" s="131">
        <f>IF($C24="Q",0,ROUNDDOWN(SUM(Y7:Y13,Y15)*VLOOKUP($A24&amp;Y$1,単価[],保育所単価!$W$1+$C24,FALSE),-1))*-1</f>
        <v>0</v>
      </c>
      <c r="Z24" s="131">
        <f>IF($C24="Q",0,ROUNDDOWN(SUM(Z7:Z13,Z15)*VLOOKUP($A24&amp;Z$1,単価[],保育所単価!$W$1+$C24,FALSE),-1))*-1</f>
        <v>0</v>
      </c>
      <c r="AA24" s="131">
        <f>IF($C24="Q",0,ROUNDDOWN(SUM(AA7:AA13,AA15)*VLOOKUP($A24&amp;AA$1,単価[],保育所単価!$W$1+$C24,FALSE),-1))*-1</f>
        <v>0</v>
      </c>
    </row>
    <row r="25" spans="1:27">
      <c r="A25" s="141"/>
      <c r="B25" s="114" t="s">
        <v>174</v>
      </c>
      <c r="C25" s="109"/>
      <c r="D25" s="145" t="e">
        <f t="shared" ref="D25:AA25" si="0">SUM(D7:D24)</f>
        <v>#N/A</v>
      </c>
      <c r="E25" s="145" t="e">
        <f t="shared" si="0"/>
        <v>#N/A</v>
      </c>
      <c r="F25" s="145" t="e">
        <f t="shared" si="0"/>
        <v>#N/A</v>
      </c>
      <c r="G25" s="145" t="e">
        <f t="shared" si="0"/>
        <v>#N/A</v>
      </c>
      <c r="H25" s="145" t="e">
        <f t="shared" si="0"/>
        <v>#N/A</v>
      </c>
      <c r="I25" s="145" t="e">
        <f t="shared" si="0"/>
        <v>#N/A</v>
      </c>
      <c r="J25" s="145" t="e">
        <f t="shared" si="0"/>
        <v>#N/A</v>
      </c>
      <c r="K25" s="145" t="e">
        <f t="shared" si="0"/>
        <v>#N/A</v>
      </c>
      <c r="L25" s="145" t="e">
        <f t="shared" si="0"/>
        <v>#N/A</v>
      </c>
      <c r="M25" s="145" t="e">
        <f t="shared" si="0"/>
        <v>#N/A</v>
      </c>
      <c r="N25" s="145" t="e">
        <f t="shared" si="0"/>
        <v>#N/A</v>
      </c>
      <c r="O25" s="145" t="e">
        <f t="shared" si="0"/>
        <v>#N/A</v>
      </c>
      <c r="P25" s="145" t="e">
        <f t="shared" si="0"/>
        <v>#N/A</v>
      </c>
      <c r="Q25" s="145" t="e">
        <f t="shared" si="0"/>
        <v>#N/A</v>
      </c>
      <c r="R25" s="145" t="e">
        <f t="shared" si="0"/>
        <v>#N/A</v>
      </c>
      <c r="S25" s="145" t="e">
        <f t="shared" si="0"/>
        <v>#N/A</v>
      </c>
      <c r="T25" s="145" t="e">
        <f t="shared" si="0"/>
        <v>#N/A</v>
      </c>
      <c r="U25" s="145" t="e">
        <f t="shared" si="0"/>
        <v>#N/A</v>
      </c>
      <c r="V25" s="145" t="e">
        <f t="shared" si="0"/>
        <v>#N/A</v>
      </c>
      <c r="W25" s="145" t="e">
        <f t="shared" si="0"/>
        <v>#N/A</v>
      </c>
      <c r="X25" s="145" t="e">
        <f t="shared" si="0"/>
        <v>#N/A</v>
      </c>
      <c r="Y25" s="145" t="e">
        <f t="shared" si="0"/>
        <v>#N/A</v>
      </c>
      <c r="Z25" s="145" t="e">
        <f t="shared" si="0"/>
        <v>#N/A</v>
      </c>
      <c r="AA25" s="145" t="e">
        <f t="shared" si="0"/>
        <v>#N/A</v>
      </c>
    </row>
    <row r="26" spans="1:27">
      <c r="B26" s="118" t="s">
        <v>175</v>
      </c>
      <c r="C26" s="113"/>
      <c r="D26" s="145" t="e">
        <f>D$6*D25</f>
        <v>#N/A</v>
      </c>
      <c r="E26" s="146" t="e">
        <f t="shared" ref="E26:AA26" si="1">E$6*E25</f>
        <v>#N/A</v>
      </c>
      <c r="F26" s="146" t="e">
        <f t="shared" si="1"/>
        <v>#N/A</v>
      </c>
      <c r="G26" s="146" t="e">
        <f t="shared" si="1"/>
        <v>#N/A</v>
      </c>
      <c r="H26" s="145" t="e">
        <f t="shared" si="1"/>
        <v>#N/A</v>
      </c>
      <c r="I26" s="146" t="e">
        <f t="shared" si="1"/>
        <v>#N/A</v>
      </c>
      <c r="J26" s="146" t="e">
        <f t="shared" si="1"/>
        <v>#N/A</v>
      </c>
      <c r="K26" s="146" t="e">
        <f t="shared" si="1"/>
        <v>#N/A</v>
      </c>
      <c r="L26" s="146" t="e">
        <f t="shared" si="1"/>
        <v>#N/A</v>
      </c>
      <c r="M26" s="146" t="e">
        <f t="shared" si="1"/>
        <v>#N/A</v>
      </c>
      <c r="N26" s="146" t="e">
        <f t="shared" si="1"/>
        <v>#N/A</v>
      </c>
      <c r="O26" s="146" t="e">
        <f t="shared" si="1"/>
        <v>#N/A</v>
      </c>
      <c r="P26" s="146" t="e">
        <f t="shared" si="1"/>
        <v>#N/A</v>
      </c>
      <c r="Q26" s="146" t="e">
        <f t="shared" si="1"/>
        <v>#N/A</v>
      </c>
      <c r="R26" s="146" t="e">
        <f t="shared" si="1"/>
        <v>#N/A</v>
      </c>
      <c r="S26" s="146" t="e">
        <f t="shared" si="1"/>
        <v>#N/A</v>
      </c>
      <c r="T26" s="146" t="e">
        <f t="shared" si="1"/>
        <v>#N/A</v>
      </c>
      <c r="U26" s="146" t="e">
        <f t="shared" si="1"/>
        <v>#N/A</v>
      </c>
      <c r="V26" s="145" t="e">
        <f t="shared" si="1"/>
        <v>#N/A</v>
      </c>
      <c r="W26" s="146" t="e">
        <f t="shared" si="1"/>
        <v>#N/A</v>
      </c>
      <c r="X26" s="146" t="e">
        <f t="shared" si="1"/>
        <v>#N/A</v>
      </c>
      <c r="Y26" s="146" t="e">
        <f t="shared" si="1"/>
        <v>#N/A</v>
      </c>
      <c r="Z26" s="146" t="e">
        <f t="shared" si="1"/>
        <v>#N/A</v>
      </c>
      <c r="AA26" s="146" t="e">
        <f t="shared" si="1"/>
        <v>#N/A</v>
      </c>
    </row>
    <row r="27" spans="1:27">
      <c r="A27" s="141"/>
    </row>
    <row r="28" spans="1:27">
      <c r="A28" s="141" t="s">
        <v>176</v>
      </c>
    </row>
    <row r="29" spans="1:27">
      <c r="A29" s="140" t="e">
        <f t="shared" ref="A29:C44" si="2">A7</f>
        <v>#N/A</v>
      </c>
      <c r="B29" s="119" t="str">
        <f t="shared" si="2"/>
        <v>処遇改善等加算（本園/標準時間）単価</v>
      </c>
      <c r="C29" s="122">
        <f t="shared" si="2"/>
        <v>0</v>
      </c>
      <c r="D29" s="136" t="e">
        <f>ROUNDDOWN(VLOOKUP($A29&amp;D$1,単価[],保育所単価!$G$1,FALSE)*(加算率b+VLOOKUP($A29&amp;D$1,単価[],保育所単価!$H$1,FALSE)),-1)</f>
        <v>#N/A</v>
      </c>
      <c r="E29" s="137"/>
      <c r="F29" s="137"/>
      <c r="G29" s="137"/>
      <c r="H29" s="136" t="e">
        <f>ROUNDDOWN(VLOOKUP($A29&amp;H$1,単価[],保育所単価!$G$1,FALSE)*(加算率b+VLOOKUP($A29&amp;H$1,単価[],保育所単価!$H$1,FALSE)),-1)</f>
        <v>#N/A</v>
      </c>
      <c r="I29" s="137"/>
      <c r="J29" s="137"/>
      <c r="K29" s="137"/>
      <c r="L29" s="138" t="e">
        <f>ROUNDDOWN(VLOOKUP($A29&amp;L$1,単価[],保育所単価!$G$1,FALSE)*(加算率b+VLOOKUP($A29&amp;L$1,単価[],保育所単価!$H$1,FALSE)),-1)</f>
        <v>#N/A</v>
      </c>
      <c r="M29" s="137"/>
      <c r="N29" s="137"/>
      <c r="O29" s="137"/>
      <c r="P29" s="138" t="e">
        <f>ROUNDDOWN(VLOOKUP($A29&amp;P$1,単価[],保育所単価!$G$1,FALSE)*(加算率b+VLOOKUP($A29&amp;P$1,単価[],保育所単価!$H$1,FALSE)),-1)</f>
        <v>#N/A</v>
      </c>
      <c r="Q29" s="137"/>
      <c r="R29" s="137"/>
      <c r="S29" s="137"/>
      <c r="T29" s="138" t="e">
        <f>ROUNDDOWN(VLOOKUP($A29&amp;T$1,単価[],保育所単価!$G$1,FALSE)*(加算率b+VLOOKUP($A29&amp;T$1,単価[],保育所単価!$H$1,FALSE)),-1)</f>
        <v>#N/A</v>
      </c>
      <c r="U29" s="137"/>
      <c r="V29" s="139"/>
      <c r="W29" s="137"/>
      <c r="X29" s="138" t="e">
        <f>ROUNDDOWN(VLOOKUP($A29&amp;X$1,単価[],保育所単価!$G$1,FALSE)*(加算率b+VLOOKUP($A29&amp;X$1,単価[],保育所単価!$H$1,FALSE)),-1)</f>
        <v>#N/A</v>
      </c>
      <c r="Y29" s="137"/>
      <c r="Z29" s="137"/>
      <c r="AA29" s="137"/>
    </row>
    <row r="30" spans="1:27">
      <c r="A30" s="140" t="e">
        <f t="shared" si="2"/>
        <v>#N/A</v>
      </c>
      <c r="B30" s="120" t="str">
        <f t="shared" si="2"/>
        <v>処遇改善等加算（本園/短時間）単価</v>
      </c>
      <c r="C30" s="123">
        <f t="shared" si="2"/>
        <v>0</v>
      </c>
      <c r="D30" s="129"/>
      <c r="E30" s="131" t="e">
        <f>ROUNDDOWN(VLOOKUP($A30&amp;E$1,単価[],保育所単価!$I$1,FALSE)*(加算率b+VLOOKUP($A30&amp;E$1,単価[],保育所単価!$J$1,FALSE)),-1)</f>
        <v>#N/A</v>
      </c>
      <c r="F30" s="132"/>
      <c r="G30" s="132"/>
      <c r="H30" s="129"/>
      <c r="I30" s="131" t="e">
        <f>ROUNDDOWN(VLOOKUP($A30&amp;I$1,単価[],保育所単価!$I$1,FALSE)*(加算率b+VLOOKUP($A30&amp;I$1,単価[],保育所単価!$J$1,FALSE)),-1)</f>
        <v>#N/A</v>
      </c>
      <c r="J30" s="132"/>
      <c r="K30" s="132"/>
      <c r="L30" s="132"/>
      <c r="M30" s="131" t="e">
        <f>ROUNDDOWN(VLOOKUP($A30&amp;M$1,単価[],保育所単価!$I$1,FALSE)*(加算率b+VLOOKUP($A30&amp;M$1,単価[],保育所単価!$J$1,FALSE)),-1)</f>
        <v>#N/A</v>
      </c>
      <c r="N30" s="132"/>
      <c r="O30" s="132"/>
      <c r="P30" s="132"/>
      <c r="Q30" s="131" t="e">
        <f>ROUNDDOWN(VLOOKUP($A30&amp;Q$1,単価[],保育所単価!$I$1,FALSE)*(加算率b+VLOOKUP($A30&amp;Q$1,単価[],保育所単価!$J$1,FALSE)),-1)</f>
        <v>#N/A</v>
      </c>
      <c r="R30" s="132"/>
      <c r="S30" s="132"/>
      <c r="T30" s="132"/>
      <c r="U30" s="131" t="e">
        <f>ROUNDDOWN(VLOOKUP($A30&amp;U$1,単価[],保育所単価!$I$1,FALSE)*(加算率b+VLOOKUP($A30&amp;U$1,単価[],保育所単価!$J$1,FALSE)),-1)</f>
        <v>#N/A</v>
      </c>
      <c r="V30" s="129"/>
      <c r="W30" s="132"/>
      <c r="X30" s="132"/>
      <c r="Y30" s="131" t="e">
        <f>ROUNDDOWN(VLOOKUP($A30&amp;Y$1,単価[],保育所単価!$I$1,FALSE)*(加算率b+VLOOKUP($A30&amp;Y$1,単価[],保育所単価!$J$1,FALSE)),-1)</f>
        <v>#N/A</v>
      </c>
      <c r="Z30" s="132"/>
      <c r="AA30" s="132"/>
    </row>
    <row r="31" spans="1:27">
      <c r="A31" s="140">
        <f t="shared" si="2"/>
        <v>0</v>
      </c>
      <c r="B31" s="120" t="str">
        <f t="shared" si="2"/>
        <v>処遇改善等加算（分園/標準時間）単価</v>
      </c>
      <c r="C31" s="123">
        <f t="shared" si="2"/>
        <v>0</v>
      </c>
      <c r="D31" s="129"/>
      <c r="E31" s="132"/>
      <c r="F31" s="131" t="e">
        <f>ROUNDDOWN(VLOOKUP($A31&amp;F$1,単価[],保育所単価!$G$1,FALSE)*(加算率b+VLOOKUP($A31&amp;F$1,単価[],保育所単価!$H$1,FALSE)),-1)</f>
        <v>#N/A</v>
      </c>
      <c r="G31" s="132"/>
      <c r="H31" s="129"/>
      <c r="I31" s="132"/>
      <c r="J31" s="131" t="e">
        <f>ROUNDDOWN(VLOOKUP($A31&amp;J$1,単価[],保育所単価!$G$1,FALSE)*(加算率b+VLOOKUP($A31&amp;J$1,単価[],保育所単価!$H$1,FALSE)),-1)</f>
        <v>#N/A</v>
      </c>
      <c r="K31" s="132"/>
      <c r="L31" s="132"/>
      <c r="M31" s="132"/>
      <c r="N31" s="131" t="e">
        <f>ROUNDDOWN(VLOOKUP($A31&amp;N$1,単価[],保育所単価!$G$1,FALSE)*(加算率b+VLOOKUP($A31&amp;N$1,単価[],保育所単価!$H$1,FALSE)),-1)</f>
        <v>#N/A</v>
      </c>
      <c r="O31" s="132"/>
      <c r="P31" s="132"/>
      <c r="Q31" s="132"/>
      <c r="R31" s="131" t="e">
        <f>ROUNDDOWN(VLOOKUP($A31&amp;R$1,単価[],保育所単価!$G$1,FALSE)*(加算率b+VLOOKUP($A31&amp;R$1,単価[],保育所単価!$H$1,FALSE)),-1)</f>
        <v>#N/A</v>
      </c>
      <c r="S31" s="132"/>
      <c r="T31" s="132"/>
      <c r="U31" s="132"/>
      <c r="V31" s="135" t="e">
        <f>ROUNDDOWN(VLOOKUP($A31&amp;V$1,単価[],保育所単価!$G$1,FALSE)*(加算率b+VLOOKUP($A31&amp;V$1,単価[],保育所単価!$H$1,FALSE)),-1)</f>
        <v>#N/A</v>
      </c>
      <c r="W31" s="132"/>
      <c r="X31" s="132"/>
      <c r="Y31" s="132"/>
      <c r="Z31" s="131" t="e">
        <f>ROUNDDOWN(VLOOKUP($A31&amp;Z$1,単価[],保育所単価!$G$1,FALSE)*(加算率b+VLOOKUP($A31&amp;Z$1,単価[],保育所単価!$H$1,FALSE)),-1)</f>
        <v>#N/A</v>
      </c>
      <c r="AA31" s="132"/>
    </row>
    <row r="32" spans="1:27">
      <c r="A32" s="140">
        <f t="shared" si="2"/>
        <v>0</v>
      </c>
      <c r="B32" s="120" t="str">
        <f t="shared" si="2"/>
        <v>処遇改善等加算（分園/短時間）単価</v>
      </c>
      <c r="C32" s="123">
        <f t="shared" si="2"/>
        <v>0</v>
      </c>
      <c r="D32" s="129"/>
      <c r="E32" s="132"/>
      <c r="F32" s="132"/>
      <c r="G32" s="131" t="e">
        <f>ROUNDDOWN(VLOOKUP($A32&amp;G$1,単価[],保育所単価!$I$1,FALSE)*(加算率b+VLOOKUP($A32&amp;G$1,単価[],保育所単価!$J$1,FALSE)),-1)</f>
        <v>#N/A</v>
      </c>
      <c r="H32" s="129"/>
      <c r="I32" s="132"/>
      <c r="J32" s="132"/>
      <c r="K32" s="131" t="e">
        <f>ROUNDDOWN(VLOOKUP($A32&amp;K$1,単価[],保育所単価!$I$1,FALSE)*(加算率b+VLOOKUP($A32&amp;K$1,単価[],保育所単価!$J$1,FALSE)),-1)</f>
        <v>#N/A</v>
      </c>
      <c r="L32" s="132"/>
      <c r="M32" s="132"/>
      <c r="N32" s="132"/>
      <c r="O32" s="131" t="e">
        <f>ROUNDDOWN(VLOOKUP($A32&amp;O$1,単価[],保育所単価!$I$1,FALSE)*(加算率b+VLOOKUP($A32&amp;O$1,単価[],保育所単価!$J$1,FALSE)),-1)</f>
        <v>#N/A</v>
      </c>
      <c r="P32" s="132"/>
      <c r="Q32" s="132"/>
      <c r="R32" s="132"/>
      <c r="S32" s="131" t="e">
        <f>ROUNDDOWN(VLOOKUP($A32&amp;S$1,単価[],保育所単価!$I$1,FALSE)*(加算率b+VLOOKUP($A32&amp;S$1,単価[],保育所単価!$J$1,FALSE)),-1)</f>
        <v>#N/A</v>
      </c>
      <c r="T32" s="132"/>
      <c r="U32" s="132"/>
      <c r="V32" s="129"/>
      <c r="W32" s="131" t="e">
        <f>ROUNDDOWN(VLOOKUP($A32&amp;W$1,単価[],保育所単価!$I$1,FALSE)*(加算率b+VLOOKUP($A32&amp;W$1,単価[],保育所単価!$J$1,FALSE)),-1)</f>
        <v>#N/A</v>
      </c>
      <c r="X32" s="132"/>
      <c r="Y32" s="132"/>
      <c r="Z32" s="132"/>
      <c r="AA32" s="131" t="e">
        <f>ROUNDDOWN(VLOOKUP($A32&amp;AA$1,単価[],保育所単価!$I$1,FALSE)*(加算率b+VLOOKUP($A32&amp;AA$1,単価[],保育所単価!$J$1,FALSE)),-1)</f>
        <v>#N/A</v>
      </c>
    </row>
    <row r="33" spans="1:27">
      <c r="A33" s="140" t="e">
        <f t="shared" si="2"/>
        <v>#N/A</v>
      </c>
      <c r="B33" s="120" t="str">
        <f t="shared" si="2"/>
        <v>3歳児配置改善加算単価</v>
      </c>
      <c r="C33" s="123">
        <f t="shared" si="2"/>
        <v>0</v>
      </c>
      <c r="D33" s="129"/>
      <c r="E33" s="132"/>
      <c r="F33" s="132"/>
      <c r="G33" s="132"/>
      <c r="H33" s="129"/>
      <c r="I33" s="132"/>
      <c r="J33" s="132"/>
      <c r="K33" s="132"/>
      <c r="L33" s="132"/>
      <c r="M33" s="132"/>
      <c r="N33" s="132"/>
      <c r="O33" s="132"/>
      <c r="P33" s="131" t="e">
        <f>ROUNDDOWN(VLOOKUP($A33&amp;P$1,単価[],保育所単価!$K$1,FALSE)*(加算率b+VLOOKUP($A33&amp;P$1,単価[],保育所単価!$L$1,FALSE)),-1)*$C33</f>
        <v>#N/A</v>
      </c>
      <c r="Q33" s="131" t="e">
        <f>ROUNDDOWN(VLOOKUP($A33&amp;Q$1,単価[],保育所単価!$K$1,FALSE)*(加算率b+VLOOKUP($A33&amp;Q$1,単価[],保育所単価!$L$1,FALSE)),-1)*$C33</f>
        <v>#N/A</v>
      </c>
      <c r="R33" s="131" t="e">
        <f>ROUNDDOWN(VLOOKUP($A33&amp;R$1,単価[],保育所単価!$K$1,FALSE)*(加算率b+VLOOKUP($A33&amp;R$1,単価[],保育所単価!$L$1,FALSE)),-1)*$C33</f>
        <v>#N/A</v>
      </c>
      <c r="S33" s="131" t="e">
        <f>ROUNDDOWN(VLOOKUP($A33&amp;S$1,単価[],保育所単価!$K$1,FALSE)*(加算率b+VLOOKUP($A33&amp;S$1,単価[],保育所単価!$L$1,FALSE)),-1)*$C33</f>
        <v>#N/A</v>
      </c>
      <c r="T33" s="132"/>
      <c r="U33" s="132"/>
      <c r="V33" s="129"/>
      <c r="W33" s="132"/>
      <c r="X33" s="132"/>
      <c r="Y33" s="132"/>
      <c r="Z33" s="132"/>
      <c r="AA33" s="132"/>
    </row>
    <row r="34" spans="1:27">
      <c r="A34" s="140" t="e">
        <f t="shared" si="2"/>
        <v>#N/A</v>
      </c>
      <c r="B34" s="120" t="str">
        <f t="shared" si="2"/>
        <v>4歳以上児配置改善加算単価</v>
      </c>
      <c r="C34" s="123">
        <f t="shared" si="2"/>
        <v>0</v>
      </c>
      <c r="D34" s="129"/>
      <c r="E34" s="132"/>
      <c r="F34" s="132"/>
      <c r="G34" s="132"/>
      <c r="H34" s="129"/>
      <c r="I34" s="132"/>
      <c r="J34" s="132"/>
      <c r="K34" s="132"/>
      <c r="L34" s="132"/>
      <c r="M34" s="132"/>
      <c r="N34" s="132"/>
      <c r="O34" s="132"/>
      <c r="P34" s="132"/>
      <c r="Q34" s="132"/>
      <c r="R34" s="132"/>
      <c r="S34" s="132"/>
      <c r="T34" s="131" t="e">
        <f>ROUNDDOWN(VLOOKUP($A34&amp;T$1,単価[],保育所単価!$M$1,FALSE)*(加算率b+VLOOKUP($A34&amp;T$1,単価[],保育所単価!$N$1,FALSE)),-1)*$C34</f>
        <v>#N/A</v>
      </c>
      <c r="U34" s="131" t="e">
        <f>ROUNDDOWN(VLOOKUP($A34&amp;U$1,単価[],保育所単価!$M$1,FALSE)*(加算率b+VLOOKUP($A34&amp;U$1,単価[],保育所単価!$N$1,FALSE)),-1)*$C34</f>
        <v>#N/A</v>
      </c>
      <c r="V34" s="131" t="e">
        <f>ROUNDDOWN(VLOOKUP($A34&amp;V$1,単価[],保育所単価!$M$1,FALSE)*(加算率b+VLOOKUP($A34&amp;V$1,単価[],保育所単価!$N$1,FALSE)),-1)*$C34</f>
        <v>#N/A</v>
      </c>
      <c r="W34" s="131" t="e">
        <f>ROUNDDOWN(VLOOKUP($A34&amp;W$1,単価[],保育所単価!$M$1,FALSE)*(加算率b+VLOOKUP($A34&amp;W$1,単価[],保育所単価!$N$1,FALSE)),-1)*$C34</f>
        <v>#N/A</v>
      </c>
      <c r="X34" s="131" t="e">
        <f>ROUNDDOWN(VLOOKUP($A34&amp;X$1,単価[],保育所単価!$M$1,FALSE)*(加算率b+VLOOKUP($A34&amp;X$1,単価[],保育所単価!$N$1,FALSE)),-1)*$C34</f>
        <v>#N/A</v>
      </c>
      <c r="Y34" s="131" t="e">
        <f>ROUNDDOWN(VLOOKUP($A34&amp;Y$1,単価[],保育所単価!$M$1,FALSE)*(加算率b+VLOOKUP($A34&amp;Y$1,単価[],保育所単価!$N$1,FALSE)),-1)*$C34</f>
        <v>#N/A</v>
      </c>
      <c r="Z34" s="131" t="e">
        <f>ROUNDDOWN(VLOOKUP($A34&amp;Z$1,単価[],保育所単価!$M$1,FALSE)*(加算率b+VLOOKUP($A34&amp;Z$1,単価[],保育所単価!$N$1,FALSE)),-1)*$C34</f>
        <v>#N/A</v>
      </c>
      <c r="AA34" s="131" t="e">
        <f>ROUNDDOWN(VLOOKUP($A34&amp;AA$1,単価[],保育所単価!$M$1,FALSE)*(加算率b+VLOOKUP($A34&amp;AA$1,単価[],保育所単価!$N$1,FALSE)),-1)*$C34</f>
        <v>#N/A</v>
      </c>
    </row>
    <row r="35" spans="1:27">
      <c r="A35" s="140" t="e">
        <f t="shared" si="2"/>
        <v>#N/A</v>
      </c>
      <c r="B35" s="120" t="str">
        <f t="shared" si="2"/>
        <v>1歳児配置改善加算単価</v>
      </c>
      <c r="C35" s="123">
        <f t="shared" si="2"/>
        <v>0</v>
      </c>
      <c r="D35" s="129"/>
      <c r="E35" s="132"/>
      <c r="F35" s="132"/>
      <c r="G35" s="132"/>
      <c r="H35" s="131" t="e">
        <f>ROUNDDOWN(VLOOKUP($A35&amp;H$1,単価[],保育所単価!$O$1,FALSE)*(加算率b+VLOOKUP($A35&amp;H$1,単価[],保育所単価!$P$1,FALSE)),-1)*$C35</f>
        <v>#N/A</v>
      </c>
      <c r="I35" s="131" t="e">
        <f>ROUNDDOWN(VLOOKUP($A35&amp;I$1,単価[],保育所単価!$O$1,FALSE)*(加算率b+VLOOKUP($A35&amp;I$1,単価[],保育所単価!$P$1,FALSE)),-1)*$C35</f>
        <v>#N/A</v>
      </c>
      <c r="J35" s="131" t="e">
        <f>ROUNDDOWN(VLOOKUP($A35&amp;J$1,単価[],保育所単価!$O$1,FALSE)*(加算率b+VLOOKUP($A35&amp;J$1,単価[],保育所単価!$P$1,FALSE)),-1)*$C35</f>
        <v>#N/A</v>
      </c>
      <c r="K35" s="131" t="e">
        <f>ROUNDDOWN(VLOOKUP($A35&amp;K$1,単価[],保育所単価!$O$1,FALSE)*(加算率b+VLOOKUP($A35&amp;K$1,単価[],保育所単価!$P$1,FALSE)),-1)*$C35</f>
        <v>#N/A</v>
      </c>
      <c r="L35" s="132"/>
      <c r="M35" s="132"/>
      <c r="N35" s="132"/>
      <c r="O35" s="132"/>
      <c r="P35" s="132"/>
      <c r="Q35" s="132"/>
      <c r="R35" s="132"/>
      <c r="S35" s="132"/>
      <c r="T35" s="132"/>
      <c r="U35" s="132"/>
      <c r="V35" s="129"/>
      <c r="W35" s="132"/>
      <c r="X35" s="132"/>
      <c r="Y35" s="132"/>
      <c r="Z35" s="132"/>
      <c r="AA35" s="132"/>
    </row>
    <row r="36" spans="1:27">
      <c r="A36" s="140">
        <f t="shared" si="2"/>
        <v>1</v>
      </c>
      <c r="B36" s="120" t="str">
        <f t="shared" si="2"/>
        <v>休日保育加算単価</v>
      </c>
      <c r="C36" s="123">
        <f t="shared" si="2"/>
        <v>0</v>
      </c>
      <c r="D36" s="131" t="e">
        <f>ROUNDDOWN(VLOOKUP($A36,保育所単価!$AC$8:$AE$22,2,FALSE)*(加算率b+VLOOKUP($A36,保育所単価!$AC$8:$AE$22,3,FALSE))/'2_区分12加算額計算表'!$D$19,-1)*$C36</f>
        <v>#N/A</v>
      </c>
      <c r="E36" s="131" t="e">
        <f>ROUNDDOWN(VLOOKUP($A36,保育所単価!$AC$8:$AE$22,2,FALSE)*(加算率b+VLOOKUP($A36,保育所単価!$AC$8:$AE$22,3,FALSE))/'2_区分12加算額計算表'!$D$19,-1)*$C36</f>
        <v>#N/A</v>
      </c>
      <c r="F36" s="131" t="e">
        <f>ROUNDDOWN(VLOOKUP($A36,保育所単価!$AC$8:$AE$22,2,FALSE)*(加算率b+VLOOKUP($A36,保育所単価!$AC$8:$AE$22,3,FALSE))/'2_区分12加算額計算表'!$D$19,-1)*$C36</f>
        <v>#N/A</v>
      </c>
      <c r="G36" s="131" t="e">
        <f>ROUNDDOWN(VLOOKUP($A36,保育所単価!$AC$8:$AE$22,2,FALSE)*(加算率b+VLOOKUP($A36,保育所単価!$AC$8:$AE$22,3,FALSE))/'2_区分12加算額計算表'!$D$19,-1)*$C36</f>
        <v>#N/A</v>
      </c>
      <c r="H36" s="131" t="e">
        <f>ROUNDDOWN(VLOOKUP($A36,保育所単価!$AC$8:$AE$22,2,FALSE)*(加算率b+VLOOKUP($A36,保育所単価!$AC$8:$AE$22,3,FALSE))/'2_区分12加算額計算表'!$D$19,-1)*$C36</f>
        <v>#N/A</v>
      </c>
      <c r="I36" s="131" t="e">
        <f>ROUNDDOWN(VLOOKUP($A36,保育所単価!$AC$8:$AE$22,2,FALSE)*(加算率b+VLOOKUP($A36,保育所単価!$AC$8:$AE$22,3,FALSE))/'2_区分12加算額計算表'!$D$19,-1)*$C36</f>
        <v>#N/A</v>
      </c>
      <c r="J36" s="131" t="e">
        <f>ROUNDDOWN(VLOOKUP($A36,保育所単価!$AC$8:$AE$22,2,FALSE)*(加算率b+VLOOKUP($A36,保育所単価!$AC$8:$AE$22,3,FALSE))/'2_区分12加算額計算表'!$D$19,-1)*$C36</f>
        <v>#N/A</v>
      </c>
      <c r="K36" s="131" t="e">
        <f>ROUNDDOWN(VLOOKUP($A36,保育所単価!$AC$8:$AE$22,2,FALSE)*(加算率b+VLOOKUP($A36,保育所単価!$AC$8:$AE$22,3,FALSE))/'2_区分12加算額計算表'!$D$19,-1)*$C36</f>
        <v>#N/A</v>
      </c>
      <c r="L36" s="131" t="e">
        <f>ROUNDDOWN(VLOOKUP($A36,保育所単価!$AC$8:$AE$22,2,FALSE)*(加算率b+VLOOKUP($A36,保育所単価!$AC$8:$AE$22,3,FALSE))/'2_区分12加算額計算表'!$D$19,-1)*$C36</f>
        <v>#N/A</v>
      </c>
      <c r="M36" s="131" t="e">
        <f>ROUNDDOWN(VLOOKUP($A36,保育所単価!$AC$8:$AE$22,2,FALSE)*(加算率b+VLOOKUP($A36,保育所単価!$AC$8:$AE$22,3,FALSE))/'2_区分12加算額計算表'!$D$19,-1)*$C36</f>
        <v>#N/A</v>
      </c>
      <c r="N36" s="131" t="e">
        <f>ROUNDDOWN(VLOOKUP($A36,保育所単価!$AC$8:$AE$22,2,FALSE)*(加算率b+VLOOKUP($A36,保育所単価!$AC$8:$AE$22,3,FALSE))/'2_区分12加算額計算表'!$D$19,-1)*$C36</f>
        <v>#N/A</v>
      </c>
      <c r="O36" s="131" t="e">
        <f>ROUNDDOWN(VLOOKUP($A36,保育所単価!$AC$8:$AE$22,2,FALSE)*(加算率b+VLOOKUP($A36,保育所単価!$AC$8:$AE$22,3,FALSE))/'2_区分12加算額計算表'!$D$19,-1)*$C36</f>
        <v>#N/A</v>
      </c>
      <c r="P36" s="131" t="e">
        <f>ROUNDDOWN(VLOOKUP($A36,保育所単価!$AC$8:$AE$22,2,FALSE)*(加算率b+VLOOKUP($A36,保育所単価!$AC$8:$AE$22,3,FALSE))/'2_区分12加算額計算表'!$D$19,-1)*$C36</f>
        <v>#N/A</v>
      </c>
      <c r="Q36" s="131" t="e">
        <f>ROUNDDOWN(VLOOKUP($A36,保育所単価!$AC$8:$AE$22,2,FALSE)*(加算率b+VLOOKUP($A36,保育所単価!$AC$8:$AE$22,3,FALSE))/'2_区分12加算額計算表'!$D$19,-1)*$C36</f>
        <v>#N/A</v>
      </c>
      <c r="R36" s="131" t="e">
        <f>ROUNDDOWN(VLOOKUP($A36,保育所単価!$AC$8:$AE$22,2,FALSE)*(加算率b+VLOOKUP($A36,保育所単価!$AC$8:$AE$22,3,FALSE))/'2_区分12加算額計算表'!$D$19,-1)*$C36</f>
        <v>#N/A</v>
      </c>
      <c r="S36" s="131" t="e">
        <f>ROUNDDOWN(VLOOKUP($A36,保育所単価!$AC$8:$AE$22,2,FALSE)*(加算率b+VLOOKUP($A36,保育所単価!$AC$8:$AE$22,3,FALSE))/'2_区分12加算額計算表'!$D$19,-1)*$C36</f>
        <v>#N/A</v>
      </c>
      <c r="T36" s="131" t="e">
        <f>ROUNDDOWN(VLOOKUP($A36,保育所単価!$AC$8:$AE$22,2,FALSE)*(加算率b+VLOOKUP($A36,保育所単価!$AC$8:$AE$22,3,FALSE))/'2_区分12加算額計算表'!$D$19,-1)*$C36</f>
        <v>#N/A</v>
      </c>
      <c r="U36" s="131" t="e">
        <f>ROUNDDOWN(VLOOKUP($A36,保育所単価!$AC$8:$AE$22,2,FALSE)*(加算率b+VLOOKUP($A36,保育所単価!$AC$8:$AE$22,3,FALSE))/'2_区分12加算額計算表'!$D$19,-1)*$C36</f>
        <v>#N/A</v>
      </c>
      <c r="V36" s="131" t="e">
        <f>ROUNDDOWN(VLOOKUP($A36,保育所単価!$AC$8:$AE$22,2,FALSE)*(加算率b+VLOOKUP($A36,保育所単価!$AC$8:$AE$22,3,FALSE))/'2_区分12加算額計算表'!$D$19,-1)*$C36</f>
        <v>#N/A</v>
      </c>
      <c r="W36" s="131" t="e">
        <f>ROUNDDOWN(VLOOKUP($A36,保育所単価!$AC$8:$AE$22,2,FALSE)*(加算率b+VLOOKUP($A36,保育所単価!$AC$8:$AE$22,3,FALSE))/'2_区分12加算額計算表'!$D$19,-1)*$C36</f>
        <v>#N/A</v>
      </c>
      <c r="X36" s="131" t="e">
        <f>ROUNDDOWN(VLOOKUP($A36,保育所単価!$AC$8:$AE$22,2,FALSE)*(加算率b+VLOOKUP($A36,保育所単価!$AC$8:$AE$22,3,FALSE))/'2_区分12加算額計算表'!$D$19,-1)*$C36</f>
        <v>#N/A</v>
      </c>
      <c r="Y36" s="131" t="e">
        <f>ROUNDDOWN(VLOOKUP($A36,保育所単価!$AC$8:$AE$22,2,FALSE)*(加算率b+VLOOKUP($A36,保育所単価!$AC$8:$AE$22,3,FALSE))/'2_区分12加算額計算表'!$D$19,-1)*$C36</f>
        <v>#N/A</v>
      </c>
      <c r="Z36" s="131" t="e">
        <f>ROUNDDOWN(VLOOKUP($A36,保育所単価!$AC$8:$AE$22,2,FALSE)*(加算率b+VLOOKUP($A36,保育所単価!$AC$8:$AE$22,3,FALSE))/'2_区分12加算額計算表'!$D$19,-1)*$C36</f>
        <v>#N/A</v>
      </c>
      <c r="AA36" s="131" t="e">
        <f>ROUNDDOWN(VLOOKUP($A36,保育所単価!$AC$8:$AE$22,2,FALSE)*(加算率b+VLOOKUP($A36,保育所単価!$AC$8:$AE$22,3,FALSE))/'2_区分12加算額計算表'!$D$19,-1)*$C36</f>
        <v>#N/A</v>
      </c>
    </row>
    <row r="37" spans="1:27">
      <c r="A37" s="140" t="e">
        <f t="shared" si="2"/>
        <v>#N/A</v>
      </c>
      <c r="B37" s="120" t="str">
        <f t="shared" si="2"/>
        <v>夜間保育加算単価</v>
      </c>
      <c r="C37" s="123">
        <f t="shared" si="2"/>
        <v>0</v>
      </c>
      <c r="D37" s="131" t="e">
        <f>ROUNDDOWN(VLOOKUP($A37&amp;D$1,単価[],保育所単価!$Q$1,FALSE)*(加算率b+VLOOKUP($A37&amp;D$1,単価[],保育所単価!$R$1,FALSE)),-1)*$C37</f>
        <v>#N/A</v>
      </c>
      <c r="E37" s="131" t="e">
        <f>ROUNDDOWN(VLOOKUP($A37&amp;E$1,単価[],保育所単価!$Q$1,FALSE)*(加算率b+VLOOKUP($A37&amp;E$1,単価[],保育所単価!$R$1,FALSE)),-1)*$C37</f>
        <v>#N/A</v>
      </c>
      <c r="F37" s="131" t="e">
        <f>ROUNDDOWN(VLOOKUP($A37&amp;F$1,単価[],保育所単価!$Q$1,FALSE)*(加算率b+VLOOKUP($A37&amp;F$1,単価[],保育所単価!$R$1,FALSE)),-1)*$C37</f>
        <v>#N/A</v>
      </c>
      <c r="G37" s="131" t="e">
        <f>ROUNDDOWN(VLOOKUP($A37&amp;G$1,単価[],保育所単価!$Q$1,FALSE)*(加算率b+VLOOKUP($A37&amp;G$1,単価[],保育所単価!$R$1,FALSE)),-1)*$C37</f>
        <v>#N/A</v>
      </c>
      <c r="H37" s="131" t="e">
        <f>ROUNDDOWN(VLOOKUP($A37&amp;H$1,単価[],保育所単価!$Q$1,FALSE)*(加算率b+VLOOKUP($A37&amp;H$1,単価[],保育所単価!$R$1,FALSE)),-1)*$C37</f>
        <v>#N/A</v>
      </c>
      <c r="I37" s="131" t="e">
        <f>ROUNDDOWN(VLOOKUP($A37&amp;I$1,単価[],保育所単価!$Q$1,FALSE)*(加算率b+VLOOKUP($A37&amp;I$1,単価[],保育所単価!$R$1,FALSE)),-1)*$C37</f>
        <v>#N/A</v>
      </c>
      <c r="J37" s="131" t="e">
        <f>ROUNDDOWN(VLOOKUP($A37&amp;J$1,単価[],保育所単価!$Q$1,FALSE)*(加算率b+VLOOKUP($A37&amp;J$1,単価[],保育所単価!$R$1,FALSE)),-1)*$C37</f>
        <v>#N/A</v>
      </c>
      <c r="K37" s="131" t="e">
        <f>ROUNDDOWN(VLOOKUP($A37&amp;K$1,単価[],保育所単価!$Q$1,FALSE)*(加算率b+VLOOKUP($A37&amp;K$1,単価[],保育所単価!$R$1,FALSE)),-1)*$C37</f>
        <v>#N/A</v>
      </c>
      <c r="L37" s="131" t="e">
        <f>ROUNDDOWN(VLOOKUP($A37&amp;L$1,単価[],保育所単価!$Q$1,FALSE)*(加算率b+VLOOKUP($A37&amp;L$1,単価[],保育所単価!$R$1,FALSE)),-1)*$C37</f>
        <v>#N/A</v>
      </c>
      <c r="M37" s="131" t="e">
        <f>ROUNDDOWN(VLOOKUP($A37&amp;M$1,単価[],保育所単価!$Q$1,FALSE)*(加算率b+VLOOKUP($A37&amp;M$1,単価[],保育所単価!$R$1,FALSE)),-1)*$C37</f>
        <v>#N/A</v>
      </c>
      <c r="N37" s="131" t="e">
        <f>ROUNDDOWN(VLOOKUP($A37&amp;N$1,単価[],保育所単価!$Q$1,FALSE)*(加算率b+VLOOKUP($A37&amp;N$1,単価[],保育所単価!$R$1,FALSE)),-1)*$C37</f>
        <v>#N/A</v>
      </c>
      <c r="O37" s="131" t="e">
        <f>ROUNDDOWN(VLOOKUP($A37&amp;O$1,単価[],保育所単価!$Q$1,FALSE)*(加算率b+VLOOKUP($A37&amp;O$1,単価[],保育所単価!$R$1,FALSE)),-1)*$C37</f>
        <v>#N/A</v>
      </c>
      <c r="P37" s="131" t="e">
        <f>ROUNDDOWN(VLOOKUP($A37&amp;P$1,単価[],保育所単価!$Q$1,FALSE)*(加算率b+VLOOKUP($A37&amp;P$1,単価[],保育所単価!$R$1,FALSE)),-1)*$C37</f>
        <v>#N/A</v>
      </c>
      <c r="Q37" s="131" t="e">
        <f>ROUNDDOWN(VLOOKUP($A37&amp;Q$1,単価[],保育所単価!$Q$1,FALSE)*(加算率b+VLOOKUP($A37&amp;Q$1,単価[],保育所単価!$R$1,FALSE)),-1)*$C37</f>
        <v>#N/A</v>
      </c>
      <c r="R37" s="131" t="e">
        <f>ROUNDDOWN(VLOOKUP($A37&amp;R$1,単価[],保育所単価!$Q$1,FALSE)*(加算率b+VLOOKUP($A37&amp;R$1,単価[],保育所単価!$R$1,FALSE)),-1)*$C37</f>
        <v>#N/A</v>
      </c>
      <c r="S37" s="131" t="e">
        <f>ROUNDDOWN(VLOOKUP($A37&amp;S$1,単価[],保育所単価!$Q$1,FALSE)*(加算率b+VLOOKUP($A37&amp;S$1,単価[],保育所単価!$R$1,FALSE)),-1)*$C37</f>
        <v>#N/A</v>
      </c>
      <c r="T37" s="131" t="e">
        <f>ROUNDDOWN(VLOOKUP($A37&amp;T$1,単価[],保育所単価!$Q$1,FALSE)*(加算率b+VLOOKUP($A37&amp;T$1,単価[],保育所単価!$R$1,FALSE)),-1)*$C37</f>
        <v>#N/A</v>
      </c>
      <c r="U37" s="131" t="e">
        <f>ROUNDDOWN(VLOOKUP($A37&amp;U$1,単価[],保育所単価!$Q$1,FALSE)*(加算率b+VLOOKUP($A37&amp;U$1,単価[],保育所単価!$R$1,FALSE)),-1)*$C37</f>
        <v>#N/A</v>
      </c>
      <c r="V37" s="131" t="e">
        <f>ROUNDDOWN(VLOOKUP($A37&amp;V$1,単価[],保育所単価!$Q$1,FALSE)*(加算率b+VLOOKUP($A37&amp;V$1,単価[],保育所単価!$R$1,FALSE)),-1)*$C37</f>
        <v>#N/A</v>
      </c>
      <c r="W37" s="131" t="e">
        <f>ROUNDDOWN(VLOOKUP($A37&amp;W$1,単価[],保育所単価!$Q$1,FALSE)*(加算率b+VLOOKUP($A37&amp;W$1,単価[],保育所単価!$R$1,FALSE)),-1)*$C37</f>
        <v>#N/A</v>
      </c>
      <c r="X37" s="131" t="e">
        <f>ROUNDDOWN(VLOOKUP($A37&amp;X$1,単価[],保育所単価!$Q$1,FALSE)*(加算率b+VLOOKUP($A37&amp;X$1,単価[],保育所単価!$R$1,FALSE)),-1)*$C37</f>
        <v>#N/A</v>
      </c>
      <c r="Y37" s="131" t="e">
        <f>ROUNDDOWN(VLOOKUP($A37&amp;Y$1,単価[],保育所単価!$Q$1,FALSE)*(加算率b+VLOOKUP($A37&amp;Y$1,単価[],保育所単価!$R$1,FALSE)),-1)*$C37</f>
        <v>#N/A</v>
      </c>
      <c r="Z37" s="131" t="e">
        <f>ROUNDDOWN(VLOOKUP($A37&amp;Z$1,単価[],保育所単価!$Q$1,FALSE)*(加算率b+VLOOKUP($A37&amp;Z$1,単価[],保育所単価!$R$1,FALSE)),-1)*$C37</f>
        <v>#N/A</v>
      </c>
      <c r="AA37" s="131" t="e">
        <f>ROUNDDOWN(VLOOKUP($A37&amp;AA$1,単価[],保育所単価!$Q$1,FALSE)*(加算率b+VLOOKUP($A37&amp;AA$1,単価[],保育所単価!$R$1,FALSE)),-1)*$C37</f>
        <v>#N/A</v>
      </c>
    </row>
    <row r="38" spans="1:27">
      <c r="A38" s="140" t="e">
        <f t="shared" si="2"/>
        <v>#N/A</v>
      </c>
      <c r="B38" s="120" t="str">
        <f t="shared" si="2"/>
        <v>チーム保育推進加算単価</v>
      </c>
      <c r="C38" s="123">
        <f t="shared" si="2"/>
        <v>0</v>
      </c>
      <c r="D38" s="131" t="e">
        <f>ROUNDDOWN(VLOOKUP($A38&amp;D$1,単価[],保育所単価!$S$1,FALSE)*(加算率b+VLOOKUP($A38&amp;D$1,単価[],保育所単価!$T$1,FALSE)),-1)*$C38</f>
        <v>#N/A</v>
      </c>
      <c r="E38" s="131" t="e">
        <f>ROUNDDOWN(VLOOKUP($A38&amp;E$1,単価[],保育所単価!$S$1,FALSE)*(加算率b+VLOOKUP($A38&amp;E$1,単価[],保育所単価!$T$1,FALSE)),-1)*$C38</f>
        <v>#N/A</v>
      </c>
      <c r="F38" s="131" t="e">
        <f>ROUNDDOWN(VLOOKUP($A38&amp;F$1,単価[],保育所単価!$S$1,FALSE)*(加算率b+VLOOKUP($A38&amp;F$1,単価[],保育所単価!$T$1,FALSE)),-1)*$C38</f>
        <v>#N/A</v>
      </c>
      <c r="G38" s="131" t="e">
        <f>ROUNDDOWN(VLOOKUP($A38&amp;G$1,単価[],保育所単価!$S$1,FALSE)*(加算率b+VLOOKUP($A38&amp;G$1,単価[],保育所単価!$T$1,FALSE)),-1)*$C38</f>
        <v>#N/A</v>
      </c>
      <c r="H38" s="131" t="e">
        <f>ROUNDDOWN(VLOOKUP($A38&amp;H$1,単価[],保育所単価!$S$1,FALSE)*(加算率b+VLOOKUP($A38&amp;H$1,単価[],保育所単価!$T$1,FALSE)),-1)*$C38</f>
        <v>#N/A</v>
      </c>
      <c r="I38" s="131" t="e">
        <f>ROUNDDOWN(VLOOKUP($A38&amp;I$1,単価[],保育所単価!$S$1,FALSE)*(加算率b+VLOOKUP($A38&amp;I$1,単価[],保育所単価!$T$1,FALSE)),-1)*$C38</f>
        <v>#N/A</v>
      </c>
      <c r="J38" s="131" t="e">
        <f>ROUNDDOWN(VLOOKUP($A38&amp;J$1,単価[],保育所単価!$S$1,FALSE)*(加算率b+VLOOKUP($A38&amp;J$1,単価[],保育所単価!$T$1,FALSE)),-1)*$C38</f>
        <v>#N/A</v>
      </c>
      <c r="K38" s="131" t="e">
        <f>ROUNDDOWN(VLOOKUP($A38&amp;K$1,単価[],保育所単価!$S$1,FALSE)*(加算率b+VLOOKUP($A38&amp;K$1,単価[],保育所単価!$T$1,FALSE)),-1)*$C38</f>
        <v>#N/A</v>
      </c>
      <c r="L38" s="131" t="e">
        <f>ROUNDDOWN(VLOOKUP($A38&amp;L$1,単価[],保育所単価!$S$1,FALSE)*(加算率b+VLOOKUP($A38&amp;L$1,単価[],保育所単価!$T$1,FALSE)),-1)*$C38</f>
        <v>#N/A</v>
      </c>
      <c r="M38" s="131" t="e">
        <f>ROUNDDOWN(VLOOKUP($A38&amp;M$1,単価[],保育所単価!$S$1,FALSE)*(加算率b+VLOOKUP($A38&amp;M$1,単価[],保育所単価!$T$1,FALSE)),-1)*$C38</f>
        <v>#N/A</v>
      </c>
      <c r="N38" s="131" t="e">
        <f>ROUNDDOWN(VLOOKUP($A38&amp;N$1,単価[],保育所単価!$S$1,FALSE)*(加算率b+VLOOKUP($A38&amp;N$1,単価[],保育所単価!$T$1,FALSE)),-1)*$C38</f>
        <v>#N/A</v>
      </c>
      <c r="O38" s="131" t="e">
        <f>ROUNDDOWN(VLOOKUP($A38&amp;O$1,単価[],保育所単価!$S$1,FALSE)*(加算率b+VLOOKUP($A38&amp;O$1,単価[],保育所単価!$T$1,FALSE)),-1)*$C38</f>
        <v>#N/A</v>
      </c>
      <c r="P38" s="131" t="e">
        <f>ROUNDDOWN(VLOOKUP($A38&amp;P$1,単価[],保育所単価!$S$1,FALSE)*(加算率b+VLOOKUP($A38&amp;P$1,単価[],保育所単価!$T$1,FALSE)),-1)*$C38</f>
        <v>#N/A</v>
      </c>
      <c r="Q38" s="131" t="e">
        <f>ROUNDDOWN(VLOOKUP($A38&amp;Q$1,単価[],保育所単価!$S$1,FALSE)*(加算率b+VLOOKUP($A38&amp;Q$1,単価[],保育所単価!$T$1,FALSE)),-1)*$C38</f>
        <v>#N/A</v>
      </c>
      <c r="R38" s="131" t="e">
        <f>ROUNDDOWN(VLOOKUP($A38&amp;R$1,単価[],保育所単価!$S$1,FALSE)*(加算率b+VLOOKUP($A38&amp;R$1,単価[],保育所単価!$T$1,FALSE)),-1)*$C38</f>
        <v>#N/A</v>
      </c>
      <c r="S38" s="131" t="e">
        <f>ROUNDDOWN(VLOOKUP($A38&amp;S$1,単価[],保育所単価!$S$1,FALSE)*(加算率b+VLOOKUP($A38&amp;S$1,単価[],保育所単価!$T$1,FALSE)),-1)*$C38</f>
        <v>#N/A</v>
      </c>
      <c r="T38" s="131" t="e">
        <f>ROUNDDOWN(VLOOKUP($A38&amp;T$1,単価[],保育所単価!$S$1,FALSE)*(加算率b+VLOOKUP($A38&amp;T$1,単価[],保育所単価!$T$1,FALSE)),-1)*$C38</f>
        <v>#N/A</v>
      </c>
      <c r="U38" s="131" t="e">
        <f>ROUNDDOWN(VLOOKUP($A38&amp;U$1,単価[],保育所単価!$S$1,FALSE)*(加算率b+VLOOKUP($A38&amp;U$1,単価[],保育所単価!$T$1,FALSE)),-1)*$C38</f>
        <v>#N/A</v>
      </c>
      <c r="V38" s="131" t="e">
        <f>ROUNDDOWN(VLOOKUP($A38&amp;V$1,単価[],保育所単価!$S$1,FALSE)*(加算率b+VLOOKUP($A38&amp;V$1,単価[],保育所単価!$T$1,FALSE)),-1)*$C38</f>
        <v>#N/A</v>
      </c>
      <c r="W38" s="131" t="e">
        <f>ROUNDDOWN(VLOOKUP($A38&amp;W$1,単価[],保育所単価!$S$1,FALSE)*(加算率b+VLOOKUP($A38&amp;W$1,単価[],保育所単価!$T$1,FALSE)),-1)*$C38</f>
        <v>#N/A</v>
      </c>
      <c r="X38" s="131" t="e">
        <f>ROUNDDOWN(VLOOKUP($A38&amp;X$1,単価[],保育所単価!$S$1,FALSE)*(加算率b+VLOOKUP($A38&amp;X$1,単価[],保育所単価!$T$1,FALSE)),-1)*$C38</f>
        <v>#N/A</v>
      </c>
      <c r="Y38" s="131" t="e">
        <f>ROUNDDOWN(VLOOKUP($A38&amp;Y$1,単価[],保育所単価!$S$1,FALSE)*(加算率b+VLOOKUP($A38&amp;Y$1,単価[],保育所単価!$T$1,FALSE)),-1)*$C38</f>
        <v>#N/A</v>
      </c>
      <c r="Z38" s="131" t="e">
        <f>ROUNDDOWN(VLOOKUP($A38&amp;Z$1,単価[],保育所単価!$S$1,FALSE)*(加算率b+VLOOKUP($A38&amp;Z$1,単価[],保育所単価!$T$1,FALSE)),-1)*$C38</f>
        <v>#N/A</v>
      </c>
      <c r="AA38" s="131" t="e">
        <f>ROUNDDOWN(VLOOKUP($A38&amp;AA$1,単価[],保育所単価!$S$1,FALSE)*(加算率b+VLOOKUP($A38&amp;AA$1,単価[],保育所単価!$T$1,FALSE)),-1)*$C38</f>
        <v>#N/A</v>
      </c>
    </row>
    <row r="39" spans="1:27">
      <c r="A39" s="140">
        <f t="shared" si="2"/>
        <v>0</v>
      </c>
      <c r="B39" s="120" t="str">
        <f t="shared" si="2"/>
        <v>分園の調整</v>
      </c>
      <c r="C39" s="123">
        <f t="shared" si="2"/>
        <v>0</v>
      </c>
      <c r="D39" s="129"/>
      <c r="E39" s="132"/>
      <c r="F39" s="131" t="e">
        <f>ROUNDDOWN(SUM(F31:F32)/10,-1)*-1</f>
        <v>#N/A</v>
      </c>
      <c r="G39" s="131" t="e">
        <f>ROUNDDOWN(SUM(G31:G32)/10,-1)*-1</f>
        <v>#N/A</v>
      </c>
      <c r="H39" s="129"/>
      <c r="I39" s="132"/>
      <c r="J39" s="131" t="e">
        <f>ROUNDDOWN(SUM(J31:J32)/10,-1)*-1</f>
        <v>#N/A</v>
      </c>
      <c r="K39" s="131" t="e">
        <f>ROUNDDOWN(SUM(K31:K32)/10,-1)*-1</f>
        <v>#N/A</v>
      </c>
      <c r="L39" s="132"/>
      <c r="M39" s="132"/>
      <c r="N39" s="131" t="e">
        <f>ROUNDDOWN(SUM(N31:N32)/10,-1)*-1</f>
        <v>#N/A</v>
      </c>
      <c r="O39" s="131" t="e">
        <f>ROUNDDOWN(SUM(O31:O32)/10,-1)*-1</f>
        <v>#N/A</v>
      </c>
      <c r="P39" s="132"/>
      <c r="Q39" s="132"/>
      <c r="R39" s="131" t="e">
        <f>ROUNDDOWN(SUM(R31:R32)/10,-1)*-1</f>
        <v>#N/A</v>
      </c>
      <c r="S39" s="131" t="e">
        <f>ROUNDDOWN(SUM(S31:S32)/10,-1)*-1</f>
        <v>#N/A</v>
      </c>
      <c r="T39" s="132"/>
      <c r="U39" s="132"/>
      <c r="V39" s="135" t="e">
        <f>ROUNDDOWN(SUM(V31:V32)/10,-1)*-1</f>
        <v>#N/A</v>
      </c>
      <c r="W39" s="131" t="e">
        <f>ROUNDDOWN(SUM(W31:W32)/10,-1)*-1</f>
        <v>#N/A</v>
      </c>
      <c r="X39" s="132"/>
      <c r="Y39" s="132"/>
      <c r="Z39" s="131" t="e">
        <f>ROUNDDOWN(SUM(Z31:Z32)/10,-1)*-1</f>
        <v>#N/A</v>
      </c>
      <c r="AA39" s="131" t="e">
        <f>ROUNDDOWN(SUM(AA31:AA32)/10,-1)*-1</f>
        <v>#N/A</v>
      </c>
    </row>
    <row r="40" spans="1:27">
      <c r="A40" s="140" t="e">
        <f t="shared" si="2"/>
        <v>#N/A</v>
      </c>
      <c r="B40" s="120" t="str">
        <f t="shared" si="2"/>
        <v>施設長を設置していない場合の調整（本園）</v>
      </c>
      <c r="C40" s="123">
        <f t="shared" si="2"/>
        <v>0</v>
      </c>
      <c r="D40" s="131" t="e">
        <f>ROUNDDOWN(VLOOKUP($A40&amp;D$1,単価[],保育所単価!$U$1,FALSE)*(加算率b+VLOOKUP($A40&amp;D$1,単価[],保育所単価!$V$1,FALSE))*-1*$C40,-1)</f>
        <v>#N/A</v>
      </c>
      <c r="E40" s="131" t="e">
        <f>ROUNDDOWN(VLOOKUP($A40&amp;E$1,単価[],保育所単価!$U$1,FALSE)*(加算率b+VLOOKUP($A40&amp;E$1,単価[],保育所単価!$V$1,FALSE))*-1*$C40,-1)</f>
        <v>#N/A</v>
      </c>
      <c r="F40" s="129"/>
      <c r="G40" s="132"/>
      <c r="H40" s="131" t="e">
        <f>ROUNDDOWN(VLOOKUP($A40&amp;H$1,単価[],保育所単価!$U$1,FALSE)*(加算率b+VLOOKUP($A40&amp;H$1,単価[],保育所単価!$V$1,FALSE))*-1*$C40,-1)</f>
        <v>#N/A</v>
      </c>
      <c r="I40" s="131" t="e">
        <f>ROUNDDOWN(VLOOKUP($A40&amp;I$1,単価[],保育所単価!$U$1,FALSE)*(加算率b+VLOOKUP($A40&amp;I$1,単価[],保育所単価!$V$1,FALSE))*-1*$C40,-1)</f>
        <v>#N/A</v>
      </c>
      <c r="J40" s="129"/>
      <c r="K40" s="132"/>
      <c r="L40" s="131" t="e">
        <f>ROUNDDOWN(VLOOKUP($A40&amp;L$1,単価[],保育所単価!$U$1,FALSE)*(加算率b+VLOOKUP($A40&amp;L$1,単価[],保育所単価!$V$1,FALSE))*-1*$C40,-1)</f>
        <v>#N/A</v>
      </c>
      <c r="M40" s="131" t="e">
        <f>ROUNDDOWN(VLOOKUP($A40&amp;M$1,単価[],保育所単価!$U$1,FALSE)*(加算率b+VLOOKUP($A40&amp;M$1,単価[],保育所単価!$V$1,FALSE))*-1*$C40,-1)</f>
        <v>#N/A</v>
      </c>
      <c r="N40" s="129"/>
      <c r="O40" s="132"/>
      <c r="P40" s="131" t="e">
        <f>ROUNDDOWN(VLOOKUP($A40&amp;P$1,単価[],保育所単価!$U$1,FALSE)*(加算率b+VLOOKUP($A40&amp;P$1,単価[],保育所単価!$V$1,FALSE))*-1*$C40,-1)</f>
        <v>#N/A</v>
      </c>
      <c r="Q40" s="131" t="e">
        <f>ROUNDDOWN(VLOOKUP($A40&amp;Q$1,単価[],保育所単価!$U$1,FALSE)*(加算率b+VLOOKUP($A40&amp;Q$1,単価[],保育所単価!$V$1,FALSE))*-1*$C40,-1)</f>
        <v>#N/A</v>
      </c>
      <c r="R40" s="129"/>
      <c r="S40" s="132"/>
      <c r="T40" s="131" t="e">
        <f>ROUNDDOWN(VLOOKUP($A40&amp;T$1,単価[],保育所単価!$U$1,FALSE)*(加算率b+VLOOKUP($A40&amp;T$1,単価[],保育所単価!$V$1,FALSE))*-1*$C40,-1)</f>
        <v>#N/A</v>
      </c>
      <c r="U40" s="131" t="e">
        <f>ROUNDDOWN(VLOOKUP($A40&amp;U$1,単価[],保育所単価!$U$1,FALSE)*(加算率b+VLOOKUP($A40&amp;U$1,単価[],保育所単価!$V$1,FALSE))*-1*$C40,-1)</f>
        <v>#N/A</v>
      </c>
      <c r="V40" s="129"/>
      <c r="W40" s="132"/>
      <c r="X40" s="131" t="e">
        <f>ROUNDDOWN(VLOOKUP($A40&amp;X$1,単価[],保育所単価!$U$1,FALSE)*(加算率b+VLOOKUP($A40&amp;X$1,単価[],保育所単価!$V$1,FALSE))*-1*$C40,-1)</f>
        <v>#N/A</v>
      </c>
      <c r="Y40" s="131" t="e">
        <f>ROUNDDOWN(VLOOKUP($A40&amp;Y$1,単価[],保育所単価!$U$1,FALSE)*(加算率b+VLOOKUP($A40&amp;Y$1,単価[],保育所単価!$V$1,FALSE))*-1*$C40,-1)</f>
        <v>#N/A</v>
      </c>
      <c r="Z40" s="129"/>
      <c r="AA40" s="132"/>
    </row>
    <row r="41" spans="1:27">
      <c r="A41" s="140">
        <f t="shared" si="2"/>
        <v>0</v>
      </c>
      <c r="B41" s="120" t="str">
        <f t="shared" si="2"/>
        <v>施設長を設置していない場合の調整（分園）</v>
      </c>
      <c r="C41" s="123">
        <f t="shared" si="2"/>
        <v>0</v>
      </c>
      <c r="D41" s="129"/>
      <c r="E41" s="132"/>
      <c r="F41" s="131" t="e">
        <f>ROUNDDOWN(VLOOKUP($A41&amp;F$1,単価[],保育所単価!$U$1,FALSE)*(加算率b+VLOOKUP($A41&amp;F$1,単価[],保育所単価!$V$1,FALSE))*-1*$C41,-1)</f>
        <v>#N/A</v>
      </c>
      <c r="G41" s="131" t="e">
        <f>ROUNDDOWN(VLOOKUP($A41&amp;G$1,単価[],保育所単価!$U$1,FALSE)*(加算率b+VLOOKUP($A41&amp;G$1,単価[],保育所単価!$V$1,FALSE))*-1*$C41,-1)</f>
        <v>#N/A</v>
      </c>
      <c r="H41" s="129"/>
      <c r="I41" s="132"/>
      <c r="J41" s="131" t="e">
        <f>ROUNDDOWN(VLOOKUP($A41&amp;J$1,単価[],保育所単価!$U$1,FALSE)*(加算率b+VLOOKUP($A41&amp;J$1,単価[],保育所単価!$V$1,FALSE))*-1*$C41,-1)</f>
        <v>#N/A</v>
      </c>
      <c r="K41" s="131" t="e">
        <f>ROUNDDOWN(VLOOKUP($A41&amp;K$1,単価[],保育所単価!$U$1,FALSE)*(加算率b+VLOOKUP($A41&amp;K$1,単価[],保育所単価!$V$1,FALSE))*-1*$C41,-1)</f>
        <v>#N/A</v>
      </c>
      <c r="L41" s="129"/>
      <c r="M41" s="132"/>
      <c r="N41" s="131" t="e">
        <f>ROUNDDOWN(VLOOKUP($A41&amp;N$1,単価[],保育所単価!$U$1,FALSE)*(加算率b+VLOOKUP($A41&amp;N$1,単価[],保育所単価!$V$1,FALSE))*-1*$C41,-1)</f>
        <v>#N/A</v>
      </c>
      <c r="O41" s="131" t="e">
        <f>ROUNDDOWN(VLOOKUP($A41&amp;O$1,単価[],保育所単価!$U$1,FALSE)*(加算率b+VLOOKUP($A41&amp;O$1,単価[],保育所単価!$V$1,FALSE))*-1*$C41,-1)</f>
        <v>#N/A</v>
      </c>
      <c r="P41" s="129"/>
      <c r="Q41" s="132"/>
      <c r="R41" s="131" t="e">
        <f>ROUNDDOWN(VLOOKUP($A41&amp;R$1,単価[],保育所単価!$U$1,FALSE)*(加算率b+VLOOKUP($A41&amp;R$1,単価[],保育所単価!$V$1,FALSE))*-1*$C41,-1)</f>
        <v>#N/A</v>
      </c>
      <c r="S41" s="131" t="e">
        <f>ROUNDDOWN(VLOOKUP($A41&amp;S$1,単価[],保育所単価!$U$1,FALSE)*(加算率b+VLOOKUP($A41&amp;S$1,単価[],保育所単価!$V$1,FALSE))*-1*$C41,-1)</f>
        <v>#N/A</v>
      </c>
      <c r="T41" s="129"/>
      <c r="U41" s="132"/>
      <c r="V41" s="131" t="e">
        <f>ROUNDDOWN(VLOOKUP($A41&amp;V$1,単価[],保育所単価!$U$1,FALSE)*(加算率b+VLOOKUP($A41&amp;V$1,単価[],保育所単価!$V$1,FALSE))*-1*$C41,-1)</f>
        <v>#N/A</v>
      </c>
      <c r="W41" s="131" t="e">
        <f>ROUNDDOWN(VLOOKUP($A41&amp;W$1,単価[],保育所単価!$U$1,FALSE)*(加算率b+VLOOKUP($A41&amp;W$1,単価[],保育所単価!$V$1,FALSE))*-1*$C41,-1)</f>
        <v>#N/A</v>
      </c>
      <c r="X41" s="129"/>
      <c r="Y41" s="132"/>
      <c r="Z41" s="131" t="e">
        <f>ROUNDDOWN(VLOOKUP($A41&amp;Z$1,単価[],保育所単価!$U$1,FALSE)*(加算率b+VLOOKUP($A41&amp;Z$1,単価[],保育所単価!$V$1,FALSE))*-1*$C41,-1)</f>
        <v>#N/A</v>
      </c>
      <c r="AA41" s="131" t="e">
        <f>ROUNDDOWN(VLOOKUP($A41&amp;AA$1,単価[],保育所単価!$U$1,FALSE)*(加算率b+VLOOKUP($A41&amp;AA$1,単価[],保育所単価!$V$1,FALSE))*-1*$C41,-1)</f>
        <v>#N/A</v>
      </c>
    </row>
    <row r="42" spans="1:27">
      <c r="A42" s="140">
        <f t="shared" si="2"/>
        <v>0</v>
      </c>
      <c r="B42" s="120" t="str">
        <f t="shared" si="2"/>
        <v>主任保育士専任加算単価</v>
      </c>
      <c r="C42" s="123">
        <f t="shared" si="2"/>
        <v>0</v>
      </c>
      <c r="D42" s="131" t="e">
        <f>ROUNDDOWN(保育所単価!$AJ15*(加算率b+保育所単価!$AK15)/'2_区分12加算額計算表'!$D$19,-1)*$C42</f>
        <v>#N/A</v>
      </c>
      <c r="E42" s="131" t="e">
        <f>ROUNDDOWN(保育所単価!$AJ15*(加算率b+保育所単価!$AK15)/'2_区分12加算額計算表'!$D$19,-1)*$C42</f>
        <v>#N/A</v>
      </c>
      <c r="F42" s="131" t="e">
        <f>ROUNDDOWN(保育所単価!$AJ15*(加算率b+保育所単価!$AK15)/'2_区分12加算額計算表'!$D$19,-1)*$C42</f>
        <v>#N/A</v>
      </c>
      <c r="G42" s="131" t="e">
        <f>ROUNDDOWN(保育所単価!$AJ15*(加算率b+保育所単価!$AK15)/'2_区分12加算額計算表'!$D$19,-1)*$C42</f>
        <v>#N/A</v>
      </c>
      <c r="H42" s="131" t="e">
        <f>ROUNDDOWN(保育所単価!$AJ15*(加算率b+保育所単価!$AK15)/'2_区分12加算額計算表'!$D$19,-1)*$C42</f>
        <v>#N/A</v>
      </c>
      <c r="I42" s="131" t="e">
        <f>ROUNDDOWN(保育所単価!$AJ15*(加算率b+保育所単価!$AK15)/'2_区分12加算額計算表'!$D$19,-1)*$C42</f>
        <v>#N/A</v>
      </c>
      <c r="J42" s="131" t="e">
        <f>ROUNDDOWN(保育所単価!$AJ15*(加算率b+保育所単価!$AK15)/'2_区分12加算額計算表'!$D$19,-1)*$C42</f>
        <v>#N/A</v>
      </c>
      <c r="K42" s="131" t="e">
        <f>ROUNDDOWN(保育所単価!$AJ15*(加算率b+保育所単価!$AK15)/'2_区分12加算額計算表'!$D$19,-1)*$C42</f>
        <v>#N/A</v>
      </c>
      <c r="L42" s="131" t="e">
        <f>ROUNDDOWN(保育所単価!$AJ15*(加算率b+保育所単価!$AK15)/'2_区分12加算額計算表'!$D$19,-1)*$C42</f>
        <v>#N/A</v>
      </c>
      <c r="M42" s="131" t="e">
        <f>ROUNDDOWN(保育所単価!$AJ15*(加算率b+保育所単価!$AK15)/'2_区分12加算額計算表'!$D$19,-1)*$C42</f>
        <v>#N/A</v>
      </c>
      <c r="N42" s="131" t="e">
        <f>ROUNDDOWN(保育所単価!$AJ15*(加算率b+保育所単価!$AK15)/'2_区分12加算額計算表'!$D$19,-1)*$C42</f>
        <v>#N/A</v>
      </c>
      <c r="O42" s="131" t="e">
        <f>ROUNDDOWN(保育所単価!$AJ15*(加算率b+保育所単価!$AK15)/'2_区分12加算額計算表'!$D$19,-1)*$C42</f>
        <v>#N/A</v>
      </c>
      <c r="P42" s="131" t="e">
        <f>ROUNDDOWN(保育所単価!$AJ15*(加算率b+保育所単価!$AK15)/'2_区分12加算額計算表'!$D$19,-1)*$C42</f>
        <v>#N/A</v>
      </c>
      <c r="Q42" s="131" t="e">
        <f>ROUNDDOWN(保育所単価!$AJ15*(加算率b+保育所単価!$AK15)/'2_区分12加算額計算表'!$D$19,-1)*$C42</f>
        <v>#N/A</v>
      </c>
      <c r="R42" s="131" t="e">
        <f>ROUNDDOWN(保育所単価!$AJ15*(加算率b+保育所単価!$AK15)/'2_区分12加算額計算表'!$D$19,-1)*$C42</f>
        <v>#N/A</v>
      </c>
      <c r="S42" s="131" t="e">
        <f>ROUNDDOWN(保育所単価!$AJ15*(加算率b+保育所単価!$AK15)/'2_区分12加算額計算表'!$D$19,-1)*$C42</f>
        <v>#N/A</v>
      </c>
      <c r="T42" s="131" t="e">
        <f>ROUNDDOWN(保育所単価!$AJ15*(加算率b+保育所単価!$AK15)/'2_区分12加算額計算表'!$D$19,-1)*$C42</f>
        <v>#N/A</v>
      </c>
      <c r="U42" s="131" t="e">
        <f>ROUNDDOWN(保育所単価!$AJ15*(加算率b+保育所単価!$AK15)/'2_区分12加算額計算表'!$D$19,-1)*$C42</f>
        <v>#N/A</v>
      </c>
      <c r="V42" s="131" t="e">
        <f>ROUNDDOWN(保育所単価!$AJ15*(加算率b+保育所単価!$AK15)/'2_区分12加算額計算表'!$D$19,-1)*$C42</f>
        <v>#N/A</v>
      </c>
      <c r="W42" s="131" t="e">
        <f>ROUNDDOWN(保育所単価!$AJ15*(加算率b+保育所単価!$AK15)/'2_区分12加算額計算表'!$D$19,-1)*$C42</f>
        <v>#N/A</v>
      </c>
      <c r="X42" s="131" t="e">
        <f>ROUNDDOWN(保育所単価!$AJ15*(加算率b+保育所単価!$AK15)/'2_区分12加算額計算表'!$D$19,-1)*$C42</f>
        <v>#N/A</v>
      </c>
      <c r="Y42" s="131" t="e">
        <f>ROUNDDOWN(保育所単価!$AJ15*(加算率b+保育所単価!$AK15)/'2_区分12加算額計算表'!$D$19,-1)*$C42</f>
        <v>#N/A</v>
      </c>
      <c r="Z42" s="131" t="e">
        <f>ROUNDDOWN(保育所単価!$AJ15*(加算率b+保育所単価!$AK15)/'2_区分12加算額計算表'!$D$19,-1)*$C42</f>
        <v>#N/A</v>
      </c>
      <c r="AA42" s="131" t="e">
        <f>ROUNDDOWN(保育所単価!$AJ15*(加算率b+保育所単価!$AK15)/'2_区分12加算額計算表'!$D$19,-1)*$C42</f>
        <v>#N/A</v>
      </c>
    </row>
    <row r="43" spans="1:27">
      <c r="A43" s="140">
        <f t="shared" si="2"/>
        <v>1</v>
      </c>
      <c r="B43" s="120" t="str">
        <f t="shared" si="2"/>
        <v>療育支援加算単価</v>
      </c>
      <c r="C43" s="123">
        <f t="shared" si="2"/>
        <v>0</v>
      </c>
      <c r="D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E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F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G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H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I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J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K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L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M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N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O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P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Q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R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S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T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U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V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W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X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Y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Z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c r="AA43" s="131" t="e">
        <f>IF(VLOOKUP($A43,療育支援[],保育所単価!$AJ$1,FALSE)*(加算率b+VLOOKUP($A43,療育支援[],保育所単価!$AK$1,FALSE))/'2_区分12加算額計算表'!$D$19&gt;=10,
ROUNDDOWN(VLOOKUP($A43,療育支援[],保育所単価!$AJ$1,FALSE)*(加算率b+VLOOKUP($A43,療育支援[],保育所単価!$AK$1,FALSE))/'2_区分12加算額計算表'!$D$19,-1),
ROUNDDOWN(VLOOKUP($A43,療育支援[],保育所単価!$AJ$1,FALSE)*(加算率b+VLOOKUP($A43,療育支援[],保育所単価!$AK$1,FALSE))/'2_区分12加算額計算表'!$D$19,0))*$C43</f>
        <v>#N/A</v>
      </c>
    </row>
    <row r="44" spans="1:27">
      <c r="A44" s="140">
        <f t="shared" si="2"/>
        <v>0</v>
      </c>
      <c r="B44" s="120" t="str">
        <f t="shared" si="2"/>
        <v>事務職員雇上費加算単価</v>
      </c>
      <c r="C44" s="123">
        <f t="shared" si="2"/>
        <v>0</v>
      </c>
      <c r="D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E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F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G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H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I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J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K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L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M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N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O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P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Q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R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S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T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U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V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W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X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Y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Z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c r="AA44" s="131" t="e">
        <f>IF(保育所単価!$AJ16*(加算率b+保育所単価!$AK16)/'2_区分12加算額計算表'!$D$19&gt;=10,
ROUNDDOWN(保育所単価!$AJ16*(加算率b+保育所単価!$AK16)/'2_区分12加算額計算表'!$D$19,-1),
ROUNDDOWN(保育所単価!$AJ16*(加算率b+保育所単価!$AK16)/'2_区分12加算額計算表'!$D$19,0))*$C44</f>
        <v>#N/A</v>
      </c>
    </row>
    <row r="45" spans="1:27">
      <c r="A45" s="140">
        <f t="shared" ref="A45:C46" si="3">A23</f>
        <v>0</v>
      </c>
      <c r="B45" s="121" t="str">
        <f t="shared" si="3"/>
        <v>栄養管理加算単価</v>
      </c>
      <c r="C45" s="124">
        <f t="shared" si="3"/>
        <v>0</v>
      </c>
      <c r="D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E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F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G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H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I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J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K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L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M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N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O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P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Q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R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S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T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U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V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W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X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Y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Z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c r="AA45" s="133" t="e">
        <f>IF(VLOOKUP($A45,栄養管理[],保育所単価!$AP$1,FALSE)*(加算率b+VLOOKUP($A45,栄養管理[],保育所単価!$AQ$1,FALSE))/'2_区分12加算額計算表'!$D$19&gt;=10,
ROUNDDOWN(VLOOKUP($A45,栄養管理[],保育所単価!$AP$1,FALSE)*(加算率b+VLOOKUP($A45,栄養管理[],保育所単価!$AQ$1,FALSE))/'2_区分12加算額計算表'!$D$19,-1),
ROUNDDOWN(VLOOKUP($A45,栄養管理[],保育所単価!$AP$1,FALSE)*(加算率b+VLOOKUP($A45,栄養管理[],保育所単価!$AQ$1,FALSE))/'2_区分12加算額計算表'!$D$19,0))*$C45</f>
        <v>#N/A</v>
      </c>
    </row>
    <row r="46" spans="1:27">
      <c r="A46" s="140" t="e">
        <f t="shared" si="3"/>
        <v>#N/A</v>
      </c>
      <c r="B46" s="116" t="str">
        <f>B24</f>
        <v>土曜閉所減算単価</v>
      </c>
      <c r="C46" s="111" t="str">
        <f>C24</f>
        <v>Q</v>
      </c>
      <c r="D46" s="131">
        <f>IF($C46="Q",0,ROUNDDOWN(SUM(D29:D35,D37)*VLOOKUP($A46&amp;D$1,単価[],保育所単価!$W$1+$C46,FALSE),-1))*-1</f>
        <v>0</v>
      </c>
      <c r="E46" s="131">
        <f>IF($C46="Q",0,ROUNDDOWN(SUM(E29:E35,E37)*VLOOKUP($A46&amp;E$1,単価[],保育所単価!$W$1+$C46,FALSE),-1))*-1</f>
        <v>0</v>
      </c>
      <c r="F46" s="131">
        <f>IF($C46="Q",0,ROUNDDOWN(SUM(F29:F35,F37)*VLOOKUP($A46&amp;F$1,単価[],保育所単価!$W$1+$C46,FALSE),-1))*-1</f>
        <v>0</v>
      </c>
      <c r="G46" s="131">
        <f>IF($C46="Q",0,ROUNDDOWN(SUM(G29:G35,G37)*VLOOKUP($A46&amp;G$1,単価[],保育所単価!$W$1+$C46,FALSE),-1))*-1</f>
        <v>0</v>
      </c>
      <c r="H46" s="131">
        <f>IF($C46="Q",0,ROUNDDOWN(SUM(H29:H35,H37)*VLOOKUP($A46&amp;H$1,単価[],保育所単価!$W$1+$C46,FALSE),-1))*-1</f>
        <v>0</v>
      </c>
      <c r="I46" s="131">
        <f>IF($C46="Q",0,ROUNDDOWN(SUM(I29:I35,I37)*VLOOKUP($A46&amp;I$1,単価[],保育所単価!$W$1+$C46,FALSE),-1))*-1</f>
        <v>0</v>
      </c>
      <c r="J46" s="131">
        <f>IF($C46="Q",0,ROUNDDOWN(SUM(J29:J35,J37)*VLOOKUP($A46&amp;J$1,単価[],保育所単価!$W$1+$C46,FALSE),-1))*-1</f>
        <v>0</v>
      </c>
      <c r="K46" s="131">
        <f>IF($C46="Q",0,ROUNDDOWN(SUM(K29:K35,K37)*VLOOKUP($A46&amp;K$1,単価[],保育所単価!$W$1+$C46,FALSE),-1))*-1</f>
        <v>0</v>
      </c>
      <c r="L46" s="131">
        <f>IF($C46="Q",0,ROUNDDOWN(SUM(L29:L35,L37)*VLOOKUP($A46&amp;L$1,単価[],保育所単価!$W$1+$C46,FALSE),-1))*-1</f>
        <v>0</v>
      </c>
      <c r="M46" s="131">
        <f>IF($C46="Q",0,ROUNDDOWN(SUM(M29:M35,M37)*VLOOKUP($A46&amp;M$1,単価[],保育所単価!$W$1+$C46,FALSE),-1))*-1</f>
        <v>0</v>
      </c>
      <c r="N46" s="131">
        <f>IF($C46="Q",0,ROUNDDOWN(SUM(N29:N35,N37)*VLOOKUP($A46&amp;N$1,単価[],保育所単価!$W$1+$C46,FALSE),-1))*-1</f>
        <v>0</v>
      </c>
      <c r="O46" s="131">
        <f>IF($C46="Q",0,ROUNDDOWN(SUM(O29:O35,O37)*VLOOKUP($A46&amp;O$1,単価[],保育所単価!$W$1+$C46,FALSE),-1))*-1</f>
        <v>0</v>
      </c>
      <c r="P46" s="131">
        <f>IF($C46="Q",0,ROUNDDOWN(SUM(P29:P35,P37)*VLOOKUP($A46&amp;P$1,単価[],保育所単価!$W$1+$C46,FALSE),-1))*-1</f>
        <v>0</v>
      </c>
      <c r="Q46" s="131">
        <f>IF($C46="Q",0,ROUNDDOWN(SUM(Q29:Q35,Q37)*VLOOKUP($A46&amp;Q$1,単価[],保育所単価!$W$1+$C46,FALSE),-1))*-1</f>
        <v>0</v>
      </c>
      <c r="R46" s="131">
        <f>IF($C46="Q",0,ROUNDDOWN(SUM(R29:R35,R37)*VLOOKUP($A46&amp;R$1,単価[],保育所単価!$W$1+$C46,FALSE),-1))*-1</f>
        <v>0</v>
      </c>
      <c r="S46" s="131">
        <f>IF($C46="Q",0,ROUNDDOWN(SUM(S29:S35,S37)*VLOOKUP($A46&amp;S$1,単価[],保育所単価!$W$1+$C46,FALSE),-1))*-1</f>
        <v>0</v>
      </c>
      <c r="T46" s="131">
        <f>IF($C46="Q",0,ROUNDDOWN(SUM(T29:T35,T37)*VLOOKUP($A46&amp;T$1,単価[],保育所単価!$W$1+$C46,FALSE),-1))*-1</f>
        <v>0</v>
      </c>
      <c r="U46" s="131">
        <f>IF($C46="Q",0,ROUNDDOWN(SUM(U29:U35,U37)*VLOOKUP($A46&amp;U$1,単価[],保育所単価!$W$1+$C46,FALSE),-1))*-1</f>
        <v>0</v>
      </c>
      <c r="V46" s="131">
        <f>IF($C46="Q",0,ROUNDDOWN(SUM(V29:V35,V37)*VLOOKUP($A46&amp;V$1,単価[],保育所単価!$W$1+$C46,FALSE),-1))*-1</f>
        <v>0</v>
      </c>
      <c r="W46" s="131">
        <f>IF($C46="Q",0,ROUNDDOWN(SUM(W29:W35,W37)*VLOOKUP($A46&amp;W$1,単価[],保育所単価!$W$1+$C46,FALSE),-1))*-1</f>
        <v>0</v>
      </c>
      <c r="X46" s="131">
        <f>IF($C46="Q",0,ROUNDDOWN(SUM(X29:X35,X37)*VLOOKUP($A46&amp;X$1,単価[],保育所単価!$W$1+$C46,FALSE),-1))*-1</f>
        <v>0</v>
      </c>
      <c r="Y46" s="131">
        <f>IF($C46="Q",0,ROUNDDOWN(SUM(Y29:Y35,Y37)*VLOOKUP($A46&amp;Y$1,単価[],保育所単価!$W$1+$C46,FALSE),-1))*-1</f>
        <v>0</v>
      </c>
      <c r="Z46" s="131">
        <f>IF($C46="Q",0,ROUNDDOWN(SUM(Z29:Z35,Z37)*VLOOKUP($A46&amp;Z$1,単価[],保育所単価!$W$1+$C46,FALSE),-1))*-1</f>
        <v>0</v>
      </c>
      <c r="AA46" s="131">
        <f>IF($C46="Q",0,ROUNDDOWN(SUM(AA29:AA35,AA37)*VLOOKUP($A46&amp;AA$1,単価[],保育所単価!$W$1+$C46,FALSE),-1))*-1</f>
        <v>0</v>
      </c>
    </row>
    <row r="47" spans="1:27">
      <c r="B47" s="94" t="str">
        <f>B25</f>
        <v>単価計（②）</v>
      </c>
      <c r="C47" s="96"/>
      <c r="D47" s="145" t="e">
        <f t="shared" ref="D47:AA47" si="4">SUM(D29:D46)</f>
        <v>#N/A</v>
      </c>
      <c r="E47" s="145" t="e">
        <f t="shared" si="4"/>
        <v>#N/A</v>
      </c>
      <c r="F47" s="145" t="e">
        <f t="shared" si="4"/>
        <v>#N/A</v>
      </c>
      <c r="G47" s="145" t="e">
        <f t="shared" si="4"/>
        <v>#N/A</v>
      </c>
      <c r="H47" s="145" t="e">
        <f t="shared" si="4"/>
        <v>#N/A</v>
      </c>
      <c r="I47" s="145" t="e">
        <f t="shared" si="4"/>
        <v>#N/A</v>
      </c>
      <c r="J47" s="145" t="e">
        <f t="shared" si="4"/>
        <v>#N/A</v>
      </c>
      <c r="K47" s="145" t="e">
        <f t="shared" si="4"/>
        <v>#N/A</v>
      </c>
      <c r="L47" s="145" t="e">
        <f t="shared" si="4"/>
        <v>#N/A</v>
      </c>
      <c r="M47" s="145" t="e">
        <f t="shared" si="4"/>
        <v>#N/A</v>
      </c>
      <c r="N47" s="145" t="e">
        <f t="shared" si="4"/>
        <v>#N/A</v>
      </c>
      <c r="O47" s="145" t="e">
        <f t="shared" si="4"/>
        <v>#N/A</v>
      </c>
      <c r="P47" s="145" t="e">
        <f t="shared" si="4"/>
        <v>#N/A</v>
      </c>
      <c r="Q47" s="145" t="e">
        <f t="shared" si="4"/>
        <v>#N/A</v>
      </c>
      <c r="R47" s="145" t="e">
        <f t="shared" si="4"/>
        <v>#N/A</v>
      </c>
      <c r="S47" s="145" t="e">
        <f t="shared" si="4"/>
        <v>#N/A</v>
      </c>
      <c r="T47" s="145" t="e">
        <f t="shared" si="4"/>
        <v>#N/A</v>
      </c>
      <c r="U47" s="145" t="e">
        <f t="shared" si="4"/>
        <v>#N/A</v>
      </c>
      <c r="V47" s="145" t="e">
        <f t="shared" si="4"/>
        <v>#N/A</v>
      </c>
      <c r="W47" s="145" t="e">
        <f t="shared" si="4"/>
        <v>#N/A</v>
      </c>
      <c r="X47" s="145" t="e">
        <f t="shared" si="4"/>
        <v>#N/A</v>
      </c>
      <c r="Y47" s="145" t="e">
        <f t="shared" si="4"/>
        <v>#N/A</v>
      </c>
      <c r="Z47" s="145" t="e">
        <f t="shared" si="4"/>
        <v>#N/A</v>
      </c>
      <c r="AA47" s="145" t="e">
        <f t="shared" si="4"/>
        <v>#N/A</v>
      </c>
    </row>
    <row r="48" spans="1:27">
      <c r="B48" s="94" t="str">
        <f>B26</f>
        <v>月額（①×②）</v>
      </c>
      <c r="C48" s="96"/>
      <c r="D48" s="145" t="e">
        <f t="shared" ref="D48:AA48" si="5">D$6*D47</f>
        <v>#N/A</v>
      </c>
      <c r="E48" s="146" t="e">
        <f t="shared" si="5"/>
        <v>#N/A</v>
      </c>
      <c r="F48" s="146" t="e">
        <f t="shared" si="5"/>
        <v>#N/A</v>
      </c>
      <c r="G48" s="146" t="e">
        <f t="shared" si="5"/>
        <v>#N/A</v>
      </c>
      <c r="H48" s="145" t="e">
        <f t="shared" si="5"/>
        <v>#N/A</v>
      </c>
      <c r="I48" s="146" t="e">
        <f t="shared" si="5"/>
        <v>#N/A</v>
      </c>
      <c r="J48" s="146" t="e">
        <f t="shared" si="5"/>
        <v>#N/A</v>
      </c>
      <c r="K48" s="146" t="e">
        <f t="shared" si="5"/>
        <v>#N/A</v>
      </c>
      <c r="L48" s="146" t="e">
        <f t="shared" si="5"/>
        <v>#N/A</v>
      </c>
      <c r="M48" s="146" t="e">
        <f t="shared" si="5"/>
        <v>#N/A</v>
      </c>
      <c r="N48" s="146" t="e">
        <f t="shared" si="5"/>
        <v>#N/A</v>
      </c>
      <c r="O48" s="146" t="e">
        <f t="shared" si="5"/>
        <v>#N/A</v>
      </c>
      <c r="P48" s="146" t="e">
        <f t="shared" si="5"/>
        <v>#N/A</v>
      </c>
      <c r="Q48" s="146" t="e">
        <f t="shared" si="5"/>
        <v>#N/A</v>
      </c>
      <c r="R48" s="146" t="e">
        <f t="shared" si="5"/>
        <v>#N/A</v>
      </c>
      <c r="S48" s="146" t="e">
        <f t="shared" si="5"/>
        <v>#N/A</v>
      </c>
      <c r="T48" s="146" t="e">
        <f t="shared" si="5"/>
        <v>#N/A</v>
      </c>
      <c r="U48" s="146" t="e">
        <f t="shared" si="5"/>
        <v>#N/A</v>
      </c>
      <c r="V48" s="145" t="e">
        <f t="shared" si="5"/>
        <v>#N/A</v>
      </c>
      <c r="W48" s="146" t="e">
        <f t="shared" si="5"/>
        <v>#N/A</v>
      </c>
      <c r="X48" s="146" t="e">
        <f t="shared" si="5"/>
        <v>#N/A</v>
      </c>
      <c r="Y48" s="146" t="e">
        <f t="shared" si="5"/>
        <v>#N/A</v>
      </c>
      <c r="Z48" s="146" t="e">
        <f t="shared" si="5"/>
        <v>#N/A</v>
      </c>
      <c r="AA48" s="146" t="e">
        <f t="shared" si="5"/>
        <v>#N/A</v>
      </c>
    </row>
  </sheetData>
  <sheetProtection algorithmName="SHA-512" hashValue="7maDsBeyHTvcjNI6Sq3jsBIqt5yCqJ5IzwgG5FxEXOgPT/GXes/elW7edpXimssHrMyD/hrFa2mV4P8sDBX76A==" saltValue="RM3dKfHHhJP9/XEDTbbdXg==" spinCount="100000" sheet="1" objects="1" scenarios="1"/>
  <phoneticPr fontId="4"/>
  <pageMargins left="0.7" right="0.7" top="0.75" bottom="0.75" header="0.3" footer="0.3"/>
  <pageSetup paperSize="9" scale="3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8DE4-A105-45C1-ABB4-0D86C3BD3FFF}">
  <sheetPr>
    <tabColor theme="2" tint="-9.9978637043366805E-2"/>
    <pageSetUpPr fitToPage="1"/>
  </sheetPr>
  <dimension ref="B1:AQ95"/>
  <sheetViews>
    <sheetView view="pageBreakPreview" zoomScaleNormal="100" zoomScaleSheetLayoutView="100" workbookViewId="0">
      <selection activeCell="G9" sqref="G9"/>
    </sheetView>
  </sheetViews>
  <sheetFormatPr defaultColWidth="1.625" defaultRowHeight="15.75" customHeight="1"/>
  <cols>
    <col min="1" max="1" width="1.625" style="2"/>
    <col min="2" max="2" width="15.875" style="2" customWidth="1"/>
    <col min="3" max="3" width="9" style="2" bestFit="1" customWidth="1"/>
    <col min="4" max="4" width="4" style="2" customWidth="1"/>
    <col min="5" max="5" width="5" style="2" customWidth="1"/>
    <col min="6" max="6" width="5.125" style="2" customWidth="1"/>
    <col min="7" max="26" width="7.375" style="2" customWidth="1"/>
    <col min="27" max="27" width="1.625" style="2"/>
    <col min="28" max="28" width="12.125" style="2" customWidth="1"/>
    <col min="29" max="29" width="4.375" style="2" customWidth="1"/>
    <col min="30" max="31" width="7.5" style="2" customWidth="1"/>
    <col min="32" max="32" width="1.625" style="2"/>
    <col min="33" max="33" width="11.625" style="2" customWidth="1"/>
    <col min="34" max="34" width="4.375" style="2" customWidth="1"/>
    <col min="35" max="37" width="7.5" style="2" customWidth="1"/>
    <col min="38" max="38" width="1.625" style="2"/>
    <col min="39" max="39" width="11.625" style="2" customWidth="1"/>
    <col min="40" max="40" width="4.375" style="2" customWidth="1"/>
    <col min="41" max="43" width="7.5" style="2" customWidth="1"/>
    <col min="44" max="16384" width="1.625" style="2"/>
  </cols>
  <sheetData>
    <row r="1" spans="2:43" ht="15.75" customHeight="1">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B1" s="2">
        <f>COLUMNS($AB:AB)</f>
        <v>1</v>
      </c>
      <c r="AC1" s="2">
        <f>COLUMNS($AB:AC)</f>
        <v>2</v>
      </c>
      <c r="AD1" s="2">
        <f>COLUMNS($AB:AD)</f>
        <v>3</v>
      </c>
      <c r="AE1" s="2">
        <f>COLUMNS($AB:AE)</f>
        <v>4</v>
      </c>
      <c r="AH1" s="2">
        <f>COLUMNS($AH:AH)</f>
        <v>1</v>
      </c>
      <c r="AI1" s="2">
        <f>COLUMNS($AH:AI)</f>
        <v>2</v>
      </c>
      <c r="AJ1" s="2">
        <f>COLUMNS($AH:AJ)</f>
        <v>3</v>
      </c>
      <c r="AK1" s="2">
        <f>COLUMNS($AH:AK)</f>
        <v>4</v>
      </c>
      <c r="AN1" s="2">
        <f>COLUMNS($AN:AN)</f>
        <v>1</v>
      </c>
      <c r="AO1" s="2">
        <f>COLUMNS($AN:AO)</f>
        <v>2</v>
      </c>
      <c r="AP1" s="2">
        <f>COLUMNS($AN:AP)</f>
        <v>3</v>
      </c>
      <c r="AQ1" s="2">
        <f>COLUMNS($AN:AQ)</f>
        <v>4</v>
      </c>
    </row>
    <row r="2" spans="2:43" ht="15.75" customHeight="1">
      <c r="B2" s="1"/>
      <c r="F2" s="2" t="s">
        <v>195</v>
      </c>
      <c r="G2" s="2" t="s">
        <v>196</v>
      </c>
      <c r="H2" s="2" t="s">
        <v>197</v>
      </c>
      <c r="I2" s="2" t="s">
        <v>198</v>
      </c>
      <c r="J2" s="2" t="s">
        <v>199</v>
      </c>
      <c r="K2" s="2" t="s">
        <v>200</v>
      </c>
      <c r="L2" s="2" t="s">
        <v>201</v>
      </c>
      <c r="M2" s="2" t="s">
        <v>202</v>
      </c>
      <c r="N2" s="2" t="s">
        <v>203</v>
      </c>
      <c r="O2" s="2" t="s">
        <v>204</v>
      </c>
      <c r="P2" s="2" t="s">
        <v>205</v>
      </c>
      <c r="Q2" s="2" t="s">
        <v>206</v>
      </c>
      <c r="R2" s="2" t="s">
        <v>207</v>
      </c>
      <c r="S2" s="2" t="s">
        <v>208</v>
      </c>
      <c r="T2" s="2" t="s">
        <v>209</v>
      </c>
      <c r="U2" s="2" t="s">
        <v>210</v>
      </c>
      <c r="V2" s="2" t="s">
        <v>211</v>
      </c>
      <c r="W2" s="2" t="s">
        <v>212</v>
      </c>
      <c r="X2" s="2" t="s">
        <v>213</v>
      </c>
      <c r="Y2" s="2" t="s">
        <v>214</v>
      </c>
      <c r="Z2" s="2" t="s">
        <v>215</v>
      </c>
      <c r="AB2" s="2" t="s">
        <v>195</v>
      </c>
      <c r="AC2" s="2" t="s">
        <v>196</v>
      </c>
      <c r="AD2" s="2" t="s">
        <v>197</v>
      </c>
      <c r="AE2" s="2" t="s">
        <v>198</v>
      </c>
      <c r="AH2" s="2" t="s">
        <v>195</v>
      </c>
      <c r="AI2" s="2" t="s">
        <v>196</v>
      </c>
      <c r="AJ2" s="2" t="s">
        <v>197</v>
      </c>
      <c r="AK2" s="2" t="s">
        <v>198</v>
      </c>
      <c r="AN2" s="2" t="s">
        <v>195</v>
      </c>
      <c r="AO2" s="2" t="s">
        <v>196</v>
      </c>
      <c r="AP2" s="2" t="s">
        <v>197</v>
      </c>
      <c r="AQ2" s="2" t="s">
        <v>198</v>
      </c>
    </row>
    <row r="3" spans="2:43" ht="15.75" customHeight="1">
      <c r="B3" s="3" t="s">
        <v>0</v>
      </c>
      <c r="C3" s="3"/>
      <c r="D3" s="3"/>
      <c r="E3" s="3"/>
      <c r="F3" s="3"/>
      <c r="G3" s="3"/>
      <c r="H3" s="3"/>
      <c r="I3" s="3"/>
      <c r="J3" s="3"/>
      <c r="K3" s="3"/>
      <c r="L3" s="3"/>
      <c r="M3" s="3"/>
      <c r="N3" s="3"/>
      <c r="O3" s="3"/>
      <c r="P3" s="3"/>
      <c r="Q3" s="3"/>
      <c r="R3" s="3"/>
      <c r="S3" s="3"/>
      <c r="T3" s="3"/>
      <c r="U3" s="33"/>
      <c r="V3" s="33"/>
      <c r="W3" s="33"/>
      <c r="X3" s="33"/>
      <c r="Y3" s="33"/>
      <c r="Z3" s="33"/>
      <c r="AA3" s="3"/>
      <c r="AB3" s="89"/>
      <c r="AC3" s="3"/>
      <c r="AD3" s="3"/>
      <c r="AE3" s="3"/>
      <c r="AG3" s="4" t="s">
        <v>1</v>
      </c>
      <c r="AH3" s="4"/>
      <c r="AI3" s="4"/>
      <c r="AJ3" s="4"/>
      <c r="AK3" s="4"/>
      <c r="AL3" s="4"/>
      <c r="AM3" s="4"/>
      <c r="AN3" s="4"/>
      <c r="AO3" s="4"/>
      <c r="AP3" s="4"/>
      <c r="AQ3" s="4"/>
    </row>
    <row r="4" spans="2:43" ht="15.75" customHeight="1">
      <c r="B4" s="2" t="s">
        <v>2</v>
      </c>
      <c r="U4" s="41"/>
      <c r="V4" s="41"/>
      <c r="W4" s="41"/>
      <c r="X4" s="41"/>
      <c r="Y4" s="41"/>
      <c r="Z4" s="41"/>
      <c r="AB4" s="89" t="s">
        <v>3</v>
      </c>
      <c r="AG4" s="2" t="s">
        <v>4</v>
      </c>
    </row>
    <row r="5" spans="2:43" ht="15">
      <c r="B5" s="5"/>
      <c r="C5" s="6"/>
      <c r="D5" s="7" t="s">
        <v>5</v>
      </c>
      <c r="E5" s="8" t="s">
        <v>6</v>
      </c>
      <c r="F5" s="9" t="s">
        <v>7</v>
      </c>
      <c r="G5" s="12" t="s">
        <v>8</v>
      </c>
      <c r="H5" s="12"/>
      <c r="I5" s="12"/>
      <c r="J5" s="12"/>
      <c r="K5" s="10" t="s">
        <v>9</v>
      </c>
      <c r="L5" s="11"/>
      <c r="M5" s="10" t="s">
        <v>10</v>
      </c>
      <c r="N5" s="11"/>
      <c r="O5" s="10" t="s">
        <v>11</v>
      </c>
      <c r="P5" s="11"/>
      <c r="Q5" s="10" t="s">
        <v>12</v>
      </c>
      <c r="R5" s="11"/>
      <c r="S5" s="10" t="s">
        <v>13</v>
      </c>
      <c r="T5" s="11"/>
      <c r="U5" s="10" t="s">
        <v>167</v>
      </c>
      <c r="V5" s="11"/>
      <c r="W5" s="10" t="s">
        <v>189</v>
      </c>
      <c r="X5" s="10"/>
      <c r="Y5" s="10"/>
      <c r="Z5" s="10"/>
      <c r="AB5" s="89" t="s">
        <v>15</v>
      </c>
      <c r="AC5" s="6"/>
      <c r="AD5" s="14"/>
      <c r="AE5" s="15"/>
      <c r="AG5" s="13" t="s">
        <v>16</v>
      </c>
      <c r="AH5" s="6"/>
      <c r="AI5" s="14"/>
      <c r="AJ5" s="14"/>
      <c r="AK5" s="15"/>
      <c r="AM5" s="13" t="s">
        <v>17</v>
      </c>
      <c r="AN5" s="6"/>
      <c r="AO5" s="14"/>
      <c r="AP5" s="14"/>
      <c r="AQ5" s="15"/>
    </row>
    <row r="6" spans="2:43" s="22" customFormat="1" ht="15.75" customHeight="1">
      <c r="B6" s="16"/>
      <c r="C6" s="17"/>
      <c r="D6" s="18" t="s">
        <v>18</v>
      </c>
      <c r="E6" s="19" t="s">
        <v>18</v>
      </c>
      <c r="F6" s="16"/>
      <c r="G6" s="21" t="s">
        <v>19</v>
      </c>
      <c r="H6" s="21" t="s">
        <v>21</v>
      </c>
      <c r="I6" s="21" t="s">
        <v>20</v>
      </c>
      <c r="J6" s="21" t="s">
        <v>21</v>
      </c>
      <c r="K6" s="21" t="s">
        <v>23</v>
      </c>
      <c r="L6" s="21" t="s">
        <v>21</v>
      </c>
      <c r="M6" s="21" t="s">
        <v>23</v>
      </c>
      <c r="N6" s="21" t="s">
        <v>21</v>
      </c>
      <c r="O6" s="21" t="s">
        <v>23</v>
      </c>
      <c r="P6" s="21" t="s">
        <v>21</v>
      </c>
      <c r="Q6" s="21" t="s">
        <v>23</v>
      </c>
      <c r="R6" s="21" t="s">
        <v>21</v>
      </c>
      <c r="S6" s="21" t="s">
        <v>23</v>
      </c>
      <c r="T6" s="21" t="s">
        <v>21</v>
      </c>
      <c r="U6" s="21" t="s">
        <v>23</v>
      </c>
      <c r="V6" s="21" t="s">
        <v>21</v>
      </c>
      <c r="W6" s="21" t="s">
        <v>218</v>
      </c>
      <c r="X6" s="21" t="s">
        <v>219</v>
      </c>
      <c r="Y6" s="21" t="s">
        <v>220</v>
      </c>
      <c r="Z6" s="21" t="s">
        <v>221</v>
      </c>
      <c r="AB6" s="89"/>
      <c r="AC6" s="23" t="s">
        <v>24</v>
      </c>
      <c r="AD6" s="21" t="s">
        <v>23</v>
      </c>
      <c r="AE6" s="21" t="s">
        <v>21</v>
      </c>
      <c r="AG6" s="20"/>
      <c r="AH6" s="23" t="s">
        <v>24</v>
      </c>
      <c r="AI6" s="20" t="s">
        <v>22</v>
      </c>
      <c r="AJ6" s="21" t="s">
        <v>23</v>
      </c>
      <c r="AK6" s="21" t="s">
        <v>21</v>
      </c>
      <c r="AM6" s="20"/>
      <c r="AN6" s="23" t="s">
        <v>24</v>
      </c>
      <c r="AO6" s="20" t="s">
        <v>22</v>
      </c>
      <c r="AP6" s="21" t="s">
        <v>23</v>
      </c>
      <c r="AQ6" s="21" t="s">
        <v>21</v>
      </c>
    </row>
    <row r="7" spans="2:43" s="22" customFormat="1" ht="15.75" customHeight="1">
      <c r="B7" s="24"/>
      <c r="C7" s="25"/>
      <c r="D7" s="24"/>
      <c r="E7" s="26"/>
      <c r="F7" s="25"/>
      <c r="G7" s="27"/>
      <c r="H7" s="27"/>
      <c r="I7" s="27"/>
      <c r="J7" s="27"/>
      <c r="K7" s="27"/>
      <c r="L7" s="27"/>
      <c r="M7" s="27"/>
      <c r="N7" s="27"/>
      <c r="O7" s="27"/>
      <c r="P7" s="27"/>
      <c r="Q7" s="27"/>
      <c r="R7" s="27"/>
      <c r="S7" s="27"/>
      <c r="T7" s="27"/>
      <c r="U7" s="27"/>
      <c r="V7" s="27"/>
      <c r="W7" s="151"/>
      <c r="X7" s="151"/>
      <c r="Y7" s="151"/>
      <c r="Z7" s="151"/>
      <c r="AB7" s="89"/>
      <c r="AC7" s="27"/>
      <c r="AD7" s="27"/>
      <c r="AE7" s="27"/>
      <c r="AG7" s="27"/>
      <c r="AH7" s="27"/>
      <c r="AI7" s="24"/>
      <c r="AJ7" s="27"/>
      <c r="AK7" s="27"/>
      <c r="AM7" s="27"/>
      <c r="AN7" s="27"/>
      <c r="AO7" s="24"/>
      <c r="AP7" s="27"/>
      <c r="AQ7" s="27"/>
    </row>
    <row r="8" spans="2:43" s="22" customFormat="1" ht="15.75" customHeight="1">
      <c r="B8" s="28"/>
      <c r="C8" s="29" t="s">
        <v>25</v>
      </c>
      <c r="D8" s="30">
        <v>0</v>
      </c>
      <c r="E8" s="31" t="s">
        <v>26</v>
      </c>
      <c r="F8" s="32" t="str">
        <f t="shared" ref="F8:F39" si="0">D8&amp;E8</f>
        <v>0A</v>
      </c>
      <c r="G8" s="33"/>
      <c r="H8" s="33"/>
      <c r="I8" s="33"/>
      <c r="J8" s="33"/>
      <c r="K8" s="33"/>
      <c r="L8" s="33"/>
      <c r="M8" s="34"/>
      <c r="N8" s="33"/>
      <c r="O8" s="34"/>
      <c r="P8" s="33"/>
      <c r="Q8" s="33"/>
      <c r="R8" s="33"/>
      <c r="S8" s="33"/>
      <c r="T8" s="33"/>
      <c r="U8" s="41"/>
      <c r="V8" s="41"/>
      <c r="W8" s="41"/>
      <c r="X8" s="41"/>
      <c r="Y8" s="41"/>
      <c r="Z8" s="41"/>
      <c r="AB8" s="89" t="s">
        <v>27</v>
      </c>
      <c r="AC8" s="35">
        <v>1</v>
      </c>
      <c r="AD8" s="35">
        <v>0</v>
      </c>
      <c r="AE8" s="35">
        <v>0</v>
      </c>
      <c r="AG8" s="35" t="s">
        <v>27</v>
      </c>
      <c r="AH8" s="35">
        <v>1</v>
      </c>
      <c r="AI8" s="35">
        <v>0</v>
      </c>
      <c r="AJ8" s="35">
        <v>0</v>
      </c>
      <c r="AK8" s="35">
        <v>0</v>
      </c>
      <c r="AM8" s="35" t="s">
        <v>27</v>
      </c>
      <c r="AN8" s="35">
        <v>0</v>
      </c>
      <c r="AO8" s="35">
        <v>0</v>
      </c>
      <c r="AP8" s="35">
        <v>0</v>
      </c>
      <c r="AQ8" s="35">
        <v>0</v>
      </c>
    </row>
    <row r="9" spans="2:43" s="22" customFormat="1" ht="15.75" customHeight="1">
      <c r="B9" s="28"/>
      <c r="C9" s="37" t="s">
        <v>28</v>
      </c>
      <c r="D9" s="38">
        <f>D8</f>
        <v>0</v>
      </c>
      <c r="E9" s="39" t="s">
        <v>29</v>
      </c>
      <c r="F9" s="40" t="str">
        <f t="shared" si="0"/>
        <v>0B</v>
      </c>
      <c r="G9" s="41"/>
      <c r="H9" s="41"/>
      <c r="I9" s="41"/>
      <c r="J9" s="41"/>
      <c r="K9" s="41"/>
      <c r="L9" s="41"/>
      <c r="M9" s="42"/>
      <c r="N9" s="41"/>
      <c r="O9" s="42"/>
      <c r="P9" s="41"/>
      <c r="Q9" s="41"/>
      <c r="R9" s="41"/>
      <c r="S9" s="41"/>
      <c r="T9" s="41"/>
      <c r="U9" s="41"/>
      <c r="V9" s="41"/>
      <c r="W9" s="41"/>
      <c r="X9" s="41"/>
      <c r="Y9" s="41"/>
      <c r="Z9" s="41"/>
      <c r="AB9" s="89" t="s">
        <v>30</v>
      </c>
      <c r="AC9" s="35">
        <v>2</v>
      </c>
      <c r="AD9" s="43">
        <v>2950</v>
      </c>
      <c r="AE9" s="44">
        <v>1.9</v>
      </c>
      <c r="AG9" s="35" t="s">
        <v>31</v>
      </c>
      <c r="AH9" s="35">
        <v>2</v>
      </c>
      <c r="AI9" s="43">
        <v>53900</v>
      </c>
      <c r="AJ9" s="43">
        <v>530</v>
      </c>
      <c r="AK9" s="44">
        <v>8.3000000000000007</v>
      </c>
      <c r="AM9" s="35" t="s">
        <v>32</v>
      </c>
      <c r="AN9" s="35">
        <v>1</v>
      </c>
      <c r="AO9" s="43">
        <v>88400</v>
      </c>
      <c r="AP9" s="43">
        <v>880</v>
      </c>
      <c r="AQ9" s="44">
        <v>7.5</v>
      </c>
    </row>
    <row r="10" spans="2:43" s="22" customFormat="1" ht="15.75" customHeight="1">
      <c r="B10" s="28"/>
      <c r="C10" s="37" t="s">
        <v>33</v>
      </c>
      <c r="D10" s="38">
        <f>D8</f>
        <v>0</v>
      </c>
      <c r="E10" s="39" t="s">
        <v>34</v>
      </c>
      <c r="F10" s="40" t="str">
        <f t="shared" si="0"/>
        <v>0C</v>
      </c>
      <c r="G10" s="41"/>
      <c r="H10" s="41"/>
      <c r="I10" s="41"/>
      <c r="J10" s="41"/>
      <c r="K10" s="41"/>
      <c r="L10" s="41"/>
      <c r="M10" s="42"/>
      <c r="N10" s="41"/>
      <c r="O10" s="42"/>
      <c r="P10" s="41"/>
      <c r="Q10" s="41"/>
      <c r="R10" s="41"/>
      <c r="S10" s="41"/>
      <c r="T10" s="41"/>
      <c r="U10" s="41"/>
      <c r="V10" s="41"/>
      <c r="W10" s="41"/>
      <c r="X10" s="41"/>
      <c r="Y10" s="41"/>
      <c r="Z10" s="41"/>
      <c r="AB10" s="89" t="s">
        <v>35</v>
      </c>
      <c r="AC10" s="35">
        <v>3</v>
      </c>
      <c r="AD10" s="43">
        <v>3160</v>
      </c>
      <c r="AE10" s="44">
        <v>1.7</v>
      </c>
      <c r="AG10" s="45" t="s">
        <v>36</v>
      </c>
      <c r="AH10" s="87">
        <v>3</v>
      </c>
      <c r="AI10" s="77">
        <v>35930</v>
      </c>
      <c r="AJ10" s="77">
        <v>350</v>
      </c>
      <c r="AK10" s="78">
        <v>9.5</v>
      </c>
      <c r="AM10" s="35" t="s">
        <v>37</v>
      </c>
      <c r="AN10" s="35">
        <v>2</v>
      </c>
      <c r="AO10" s="43">
        <v>50000</v>
      </c>
      <c r="AP10" s="43">
        <v>500</v>
      </c>
      <c r="AQ10" s="44">
        <v>0</v>
      </c>
    </row>
    <row r="11" spans="2:43" s="22" customFormat="1" ht="15.75" customHeight="1">
      <c r="B11" s="48"/>
      <c r="C11" s="49" t="s">
        <v>38</v>
      </c>
      <c r="D11" s="50">
        <f>D8</f>
        <v>0</v>
      </c>
      <c r="E11" s="51" t="s">
        <v>39</v>
      </c>
      <c r="F11" s="52" t="str">
        <f t="shared" si="0"/>
        <v>0D</v>
      </c>
      <c r="G11" s="53"/>
      <c r="H11" s="53"/>
      <c r="I11" s="53"/>
      <c r="J11" s="53"/>
      <c r="K11" s="53"/>
      <c r="L11" s="53"/>
      <c r="M11" s="54"/>
      <c r="N11" s="53"/>
      <c r="O11" s="54"/>
      <c r="P11" s="53"/>
      <c r="Q11" s="53"/>
      <c r="R11" s="53"/>
      <c r="S11" s="53"/>
      <c r="T11" s="53"/>
      <c r="U11" s="41"/>
      <c r="V11" s="41"/>
      <c r="W11" s="41"/>
      <c r="X11" s="41"/>
      <c r="Y11" s="41"/>
      <c r="Z11" s="41"/>
      <c r="AB11" s="89" t="s">
        <v>40</v>
      </c>
      <c r="AC11" s="35">
        <v>4</v>
      </c>
      <c r="AD11" s="43">
        <v>3590</v>
      </c>
      <c r="AE11" s="44">
        <v>1.8</v>
      </c>
      <c r="AM11" s="45" t="s">
        <v>41</v>
      </c>
      <c r="AN11" s="87">
        <v>3</v>
      </c>
      <c r="AO11" s="77">
        <v>10000</v>
      </c>
      <c r="AP11" s="77">
        <v>0</v>
      </c>
      <c r="AQ11" s="78">
        <v>0</v>
      </c>
    </row>
    <row r="12" spans="2:43" s="22" customFormat="1" ht="15.75" customHeight="1">
      <c r="B12" s="28" t="s">
        <v>42</v>
      </c>
      <c r="C12" s="55" t="str">
        <f>C$8</f>
        <v>４歳以上児</v>
      </c>
      <c r="D12" s="30">
        <v>1</v>
      </c>
      <c r="E12" s="34" t="str">
        <f>E$8</f>
        <v>A</v>
      </c>
      <c r="F12" s="32" t="str">
        <f t="shared" si="0"/>
        <v>1A</v>
      </c>
      <c r="G12" s="36">
        <v>1370</v>
      </c>
      <c r="H12" s="56">
        <v>2.8</v>
      </c>
      <c r="I12" s="36">
        <v>1080</v>
      </c>
      <c r="J12" s="56">
        <v>2.7</v>
      </c>
      <c r="K12" s="36">
        <v>0</v>
      </c>
      <c r="L12" s="56">
        <v>0</v>
      </c>
      <c r="M12" s="57">
        <v>30</v>
      </c>
      <c r="N12" s="56">
        <v>3.7</v>
      </c>
      <c r="O12" s="57">
        <v>0</v>
      </c>
      <c r="P12" s="56">
        <v>0</v>
      </c>
      <c r="Q12" s="36">
        <v>260</v>
      </c>
      <c r="R12" s="56">
        <v>5.7</v>
      </c>
      <c r="S12" s="36">
        <v>260</v>
      </c>
      <c r="T12" s="56">
        <v>2.8</v>
      </c>
      <c r="U12" s="36">
        <v>280</v>
      </c>
      <c r="V12" s="56">
        <v>2</v>
      </c>
      <c r="W12" s="143">
        <v>0.01</v>
      </c>
      <c r="X12" s="143">
        <v>0.03</v>
      </c>
      <c r="Y12" s="143">
        <v>0.04</v>
      </c>
      <c r="Z12" s="143">
        <v>0.05</v>
      </c>
      <c r="AB12" s="89" t="s">
        <v>43</v>
      </c>
      <c r="AC12" s="35">
        <v>5</v>
      </c>
      <c r="AD12" s="43">
        <v>4010</v>
      </c>
      <c r="AE12" s="44">
        <v>1.9</v>
      </c>
    </row>
    <row r="13" spans="2:43" s="22" customFormat="1" ht="15.75" customHeight="1">
      <c r="B13" s="28"/>
      <c r="C13" s="58" t="str">
        <f>C$9</f>
        <v>３歳児</v>
      </c>
      <c r="D13" s="38">
        <f>D12</f>
        <v>1</v>
      </c>
      <c r="E13" s="42" t="str">
        <f>E$9</f>
        <v>B</v>
      </c>
      <c r="F13" s="40" t="str">
        <f t="shared" si="0"/>
        <v>1B</v>
      </c>
      <c r="G13" s="43">
        <v>1450</v>
      </c>
      <c r="H13" s="44">
        <v>2.8</v>
      </c>
      <c r="I13" s="43">
        <v>1160</v>
      </c>
      <c r="J13" s="44">
        <v>2.7</v>
      </c>
      <c r="K13" s="43">
        <v>80</v>
      </c>
      <c r="L13" s="44">
        <v>2.8</v>
      </c>
      <c r="M13" s="59">
        <v>0</v>
      </c>
      <c r="N13" s="44">
        <v>0</v>
      </c>
      <c r="O13" s="59">
        <v>0</v>
      </c>
      <c r="P13" s="44">
        <v>0</v>
      </c>
      <c r="Q13" s="41">
        <f>Q12</f>
        <v>260</v>
      </c>
      <c r="R13" s="60">
        <f>R12</f>
        <v>5.7</v>
      </c>
      <c r="S13" s="41">
        <f t="shared" ref="S13:Z15" si="1">S$12</f>
        <v>260</v>
      </c>
      <c r="T13" s="60">
        <f t="shared" si="1"/>
        <v>2.8</v>
      </c>
      <c r="U13" s="41">
        <f t="shared" si="1"/>
        <v>280</v>
      </c>
      <c r="V13" s="60">
        <f t="shared" si="1"/>
        <v>2</v>
      </c>
      <c r="W13" s="142">
        <f t="shared" si="1"/>
        <v>0.01</v>
      </c>
      <c r="X13" s="142">
        <f t="shared" si="1"/>
        <v>0.03</v>
      </c>
      <c r="Y13" s="142">
        <f t="shared" si="1"/>
        <v>0.04</v>
      </c>
      <c r="Z13" s="142">
        <f t="shared" si="1"/>
        <v>0.05</v>
      </c>
      <c r="AB13" s="89" t="s">
        <v>44</v>
      </c>
      <c r="AC13" s="35">
        <v>6</v>
      </c>
      <c r="AD13" s="43">
        <v>4440</v>
      </c>
      <c r="AE13" s="44">
        <v>2</v>
      </c>
      <c r="AG13" s="22" t="s">
        <v>45</v>
      </c>
    </row>
    <row r="14" spans="2:43" s="22" customFormat="1" ht="15.75" customHeight="1">
      <c r="B14" s="28"/>
      <c r="C14" s="58" t="str">
        <f>C$10</f>
        <v>１、２歳児</v>
      </c>
      <c r="D14" s="38">
        <f>D12</f>
        <v>1</v>
      </c>
      <c r="E14" s="42" t="str">
        <f>E$10</f>
        <v>C</v>
      </c>
      <c r="F14" s="40" t="str">
        <f t="shared" si="0"/>
        <v>1C</v>
      </c>
      <c r="G14" s="43">
        <v>2070</v>
      </c>
      <c r="H14" s="44">
        <v>2.8</v>
      </c>
      <c r="I14" s="43">
        <v>1770</v>
      </c>
      <c r="J14" s="44">
        <v>2.7</v>
      </c>
      <c r="K14" s="43">
        <v>0</v>
      </c>
      <c r="L14" s="44">
        <v>0</v>
      </c>
      <c r="M14" s="59">
        <v>0</v>
      </c>
      <c r="N14" s="44">
        <v>0</v>
      </c>
      <c r="O14" s="59">
        <v>170</v>
      </c>
      <c r="P14" s="44">
        <v>2.6</v>
      </c>
      <c r="Q14" s="41">
        <f>Q12</f>
        <v>260</v>
      </c>
      <c r="R14" s="60">
        <f>R12</f>
        <v>5.7</v>
      </c>
      <c r="S14" s="41">
        <f t="shared" si="1"/>
        <v>260</v>
      </c>
      <c r="T14" s="60">
        <f t="shared" si="1"/>
        <v>2.8</v>
      </c>
      <c r="U14" s="41">
        <f t="shared" si="1"/>
        <v>280</v>
      </c>
      <c r="V14" s="60">
        <f t="shared" si="1"/>
        <v>2</v>
      </c>
      <c r="W14" s="142">
        <f t="shared" si="1"/>
        <v>0.01</v>
      </c>
      <c r="X14" s="142">
        <f t="shared" si="1"/>
        <v>0.03</v>
      </c>
      <c r="Y14" s="142">
        <f t="shared" si="1"/>
        <v>0.04</v>
      </c>
      <c r="Z14" s="142">
        <f t="shared" si="1"/>
        <v>0.05</v>
      </c>
      <c r="AB14" s="89" t="s">
        <v>46</v>
      </c>
      <c r="AC14" s="35">
        <v>7</v>
      </c>
      <c r="AD14" s="43">
        <v>4870</v>
      </c>
      <c r="AE14" s="44">
        <v>1.8</v>
      </c>
      <c r="AI14" s="61" t="s">
        <v>22</v>
      </c>
      <c r="AJ14" s="23" t="s">
        <v>23</v>
      </c>
      <c r="AK14" s="23" t="s">
        <v>21</v>
      </c>
    </row>
    <row r="15" spans="2:43" s="22" customFormat="1" ht="15.75" customHeight="1">
      <c r="B15" s="48"/>
      <c r="C15" s="62" t="str">
        <f>C$11</f>
        <v>乳児</v>
      </c>
      <c r="D15" s="50">
        <f>D12</f>
        <v>1</v>
      </c>
      <c r="E15" s="54" t="str">
        <f>E$11</f>
        <v>D</v>
      </c>
      <c r="F15" s="52" t="str">
        <f t="shared" si="0"/>
        <v>1D</v>
      </c>
      <c r="G15" s="46">
        <v>2960</v>
      </c>
      <c r="H15" s="47">
        <v>2.8</v>
      </c>
      <c r="I15" s="46">
        <v>2660</v>
      </c>
      <c r="J15" s="47">
        <v>2.7</v>
      </c>
      <c r="K15" s="46">
        <v>0</v>
      </c>
      <c r="L15" s="47">
        <v>0</v>
      </c>
      <c r="M15" s="63">
        <v>0</v>
      </c>
      <c r="N15" s="47">
        <v>0</v>
      </c>
      <c r="O15" s="63">
        <v>0</v>
      </c>
      <c r="P15" s="47">
        <v>0</v>
      </c>
      <c r="Q15" s="53">
        <f>Q12</f>
        <v>260</v>
      </c>
      <c r="R15" s="64">
        <f>R12</f>
        <v>5.7</v>
      </c>
      <c r="S15" s="53">
        <f t="shared" si="1"/>
        <v>260</v>
      </c>
      <c r="T15" s="64">
        <f t="shared" si="1"/>
        <v>2.8</v>
      </c>
      <c r="U15" s="53">
        <f t="shared" si="1"/>
        <v>280</v>
      </c>
      <c r="V15" s="64">
        <f t="shared" si="1"/>
        <v>2</v>
      </c>
      <c r="W15" s="142">
        <f t="shared" si="1"/>
        <v>0.01</v>
      </c>
      <c r="X15" s="142">
        <f t="shared" si="1"/>
        <v>0.03</v>
      </c>
      <c r="Y15" s="142">
        <f t="shared" si="1"/>
        <v>0.04</v>
      </c>
      <c r="Z15" s="142">
        <f t="shared" si="1"/>
        <v>0.05</v>
      </c>
      <c r="AB15" s="89" t="s">
        <v>47</v>
      </c>
      <c r="AC15" s="35">
        <v>8</v>
      </c>
      <c r="AD15" s="43">
        <v>5290</v>
      </c>
      <c r="AE15" s="44">
        <v>1.9</v>
      </c>
      <c r="AG15" s="61" t="s">
        <v>48</v>
      </c>
      <c r="AH15" s="65"/>
      <c r="AI15" s="66">
        <v>297670</v>
      </c>
      <c r="AJ15" s="66">
        <v>2970</v>
      </c>
      <c r="AK15" s="67">
        <v>4.5</v>
      </c>
    </row>
    <row r="16" spans="2:43" s="22" customFormat="1" ht="15.75" customHeight="1">
      <c r="B16" s="68" t="s">
        <v>49</v>
      </c>
      <c r="C16" s="55" t="str">
        <f>C$8</f>
        <v>４歳以上児</v>
      </c>
      <c r="D16" s="30">
        <v>2</v>
      </c>
      <c r="E16" s="34" t="str">
        <f>E$8</f>
        <v>A</v>
      </c>
      <c r="F16" s="69" t="str">
        <f t="shared" si="0"/>
        <v>2A</v>
      </c>
      <c r="G16" s="70">
        <v>1160</v>
      </c>
      <c r="H16" s="71">
        <v>2.8</v>
      </c>
      <c r="I16" s="70">
        <v>920</v>
      </c>
      <c r="J16" s="71">
        <v>2.7</v>
      </c>
      <c r="K16" s="33">
        <f t="shared" ref="K16:P16" si="2">K$12</f>
        <v>0</v>
      </c>
      <c r="L16" s="72">
        <f t="shared" si="2"/>
        <v>0</v>
      </c>
      <c r="M16" s="33">
        <f t="shared" si="2"/>
        <v>30</v>
      </c>
      <c r="N16" s="72">
        <f t="shared" si="2"/>
        <v>3.7</v>
      </c>
      <c r="O16" s="33">
        <f t="shared" si="2"/>
        <v>0</v>
      </c>
      <c r="P16" s="72">
        <f t="shared" si="2"/>
        <v>0</v>
      </c>
      <c r="Q16" s="36">
        <v>210</v>
      </c>
      <c r="R16" s="56">
        <v>5.7</v>
      </c>
      <c r="S16" s="36">
        <v>210</v>
      </c>
      <c r="T16" s="56">
        <v>2.7</v>
      </c>
      <c r="U16" s="36">
        <v>220</v>
      </c>
      <c r="V16" s="56">
        <v>2</v>
      </c>
      <c r="W16" s="143">
        <v>0.01</v>
      </c>
      <c r="X16" s="143">
        <v>0.03</v>
      </c>
      <c r="Y16" s="143">
        <v>0.04</v>
      </c>
      <c r="Z16" s="143">
        <v>0.05</v>
      </c>
      <c r="AB16" s="89" t="s">
        <v>50</v>
      </c>
      <c r="AC16" s="35">
        <v>9</v>
      </c>
      <c r="AD16" s="43">
        <v>5720</v>
      </c>
      <c r="AE16" s="44">
        <v>1.9</v>
      </c>
      <c r="AG16" s="61" t="s">
        <v>51</v>
      </c>
      <c r="AH16" s="65"/>
      <c r="AI16" s="46">
        <v>49830</v>
      </c>
      <c r="AJ16" s="46">
        <v>490</v>
      </c>
      <c r="AK16" s="47">
        <v>9</v>
      </c>
    </row>
    <row r="17" spans="2:35" s="22" customFormat="1" ht="15.75" customHeight="1">
      <c r="B17" s="28"/>
      <c r="C17" s="58" t="str">
        <f>C$9</f>
        <v>３歳児</v>
      </c>
      <c r="D17" s="38">
        <f>D16</f>
        <v>2</v>
      </c>
      <c r="E17" s="42" t="str">
        <f>E$9</f>
        <v>B</v>
      </c>
      <c r="F17" s="40" t="str">
        <f t="shared" si="0"/>
        <v>2B</v>
      </c>
      <c r="G17" s="43">
        <v>1240</v>
      </c>
      <c r="H17" s="44">
        <v>2.8</v>
      </c>
      <c r="I17" s="43">
        <v>1000</v>
      </c>
      <c r="J17" s="44">
        <v>2.7</v>
      </c>
      <c r="K17" s="41">
        <f t="shared" ref="K17:P17" si="3">K$13</f>
        <v>80</v>
      </c>
      <c r="L17" s="60">
        <f t="shared" si="3"/>
        <v>2.8</v>
      </c>
      <c r="M17" s="41">
        <f t="shared" si="3"/>
        <v>0</v>
      </c>
      <c r="N17" s="60">
        <f t="shared" si="3"/>
        <v>0</v>
      </c>
      <c r="O17" s="41">
        <f t="shared" si="3"/>
        <v>0</v>
      </c>
      <c r="P17" s="60">
        <f t="shared" si="3"/>
        <v>0</v>
      </c>
      <c r="Q17" s="41">
        <f>Q16</f>
        <v>210</v>
      </c>
      <c r="R17" s="60">
        <f>R16</f>
        <v>5.7</v>
      </c>
      <c r="S17" s="41">
        <f t="shared" ref="S17:Z19" si="4">S$16</f>
        <v>210</v>
      </c>
      <c r="T17" s="60">
        <f t="shared" si="4"/>
        <v>2.7</v>
      </c>
      <c r="U17" s="41">
        <f t="shared" si="4"/>
        <v>220</v>
      </c>
      <c r="V17" s="60">
        <f t="shared" si="4"/>
        <v>2</v>
      </c>
      <c r="W17" s="142">
        <f t="shared" si="4"/>
        <v>0.01</v>
      </c>
      <c r="X17" s="142">
        <f t="shared" si="4"/>
        <v>0.03</v>
      </c>
      <c r="Y17" s="142">
        <f t="shared" si="4"/>
        <v>0.04</v>
      </c>
      <c r="Z17" s="142">
        <f t="shared" si="4"/>
        <v>0.05</v>
      </c>
      <c r="AB17" s="89" t="s">
        <v>52</v>
      </c>
      <c r="AC17" s="35">
        <v>10</v>
      </c>
      <c r="AD17" s="43">
        <v>6140</v>
      </c>
      <c r="AE17" s="44">
        <v>2</v>
      </c>
      <c r="AG17" s="61" t="s">
        <v>53</v>
      </c>
      <c r="AH17" s="65"/>
      <c r="AI17" s="46">
        <v>49060</v>
      </c>
    </row>
    <row r="18" spans="2:35" s="22" customFormat="1" ht="15.75" customHeight="1">
      <c r="B18" s="28"/>
      <c r="C18" s="58" t="str">
        <f>C$10</f>
        <v>１、２歳児</v>
      </c>
      <c r="D18" s="38">
        <f>D16</f>
        <v>2</v>
      </c>
      <c r="E18" s="42" t="str">
        <f>E$10</f>
        <v>C</v>
      </c>
      <c r="F18" s="40" t="str">
        <f t="shared" si="0"/>
        <v>2C</v>
      </c>
      <c r="G18" s="43">
        <v>1850</v>
      </c>
      <c r="H18" s="44">
        <v>2.8</v>
      </c>
      <c r="I18" s="43">
        <v>1620</v>
      </c>
      <c r="J18" s="44">
        <v>2.7</v>
      </c>
      <c r="K18" s="41">
        <f t="shared" ref="K18:P18" si="5">K$14</f>
        <v>0</v>
      </c>
      <c r="L18" s="60">
        <f t="shared" si="5"/>
        <v>0</v>
      </c>
      <c r="M18" s="41">
        <f t="shared" si="5"/>
        <v>0</v>
      </c>
      <c r="N18" s="60">
        <f t="shared" si="5"/>
        <v>0</v>
      </c>
      <c r="O18" s="41">
        <f t="shared" si="5"/>
        <v>170</v>
      </c>
      <c r="P18" s="60">
        <f t="shared" si="5"/>
        <v>2.6</v>
      </c>
      <c r="Q18" s="41">
        <f>Q16</f>
        <v>210</v>
      </c>
      <c r="R18" s="60">
        <f>R16</f>
        <v>5.7</v>
      </c>
      <c r="S18" s="41">
        <f t="shared" si="4"/>
        <v>210</v>
      </c>
      <c r="T18" s="60">
        <f t="shared" si="4"/>
        <v>2.7</v>
      </c>
      <c r="U18" s="41">
        <f t="shared" si="4"/>
        <v>220</v>
      </c>
      <c r="V18" s="60">
        <f t="shared" si="4"/>
        <v>2</v>
      </c>
      <c r="W18" s="142">
        <f t="shared" si="4"/>
        <v>0.01</v>
      </c>
      <c r="X18" s="142">
        <f t="shared" si="4"/>
        <v>0.03</v>
      </c>
      <c r="Y18" s="142">
        <f t="shared" si="4"/>
        <v>0.04</v>
      </c>
      <c r="Z18" s="142">
        <f t="shared" si="4"/>
        <v>0.05</v>
      </c>
      <c r="AB18" s="89" t="s">
        <v>163</v>
      </c>
      <c r="AC18" s="35">
        <v>11</v>
      </c>
      <c r="AD18" s="43">
        <v>6570</v>
      </c>
      <c r="AE18" s="44">
        <v>1.8</v>
      </c>
      <c r="AG18" s="61" t="s">
        <v>54</v>
      </c>
      <c r="AH18" s="65"/>
      <c r="AI18" s="46">
        <v>6130</v>
      </c>
    </row>
    <row r="19" spans="2:35" s="22" customFormat="1" ht="15.75" customHeight="1">
      <c r="B19" s="73"/>
      <c r="C19" s="62" t="str">
        <f>C$11</f>
        <v>乳児</v>
      </c>
      <c r="D19" s="50">
        <f>D16</f>
        <v>2</v>
      </c>
      <c r="E19" s="54" t="str">
        <f>E$11</f>
        <v>D</v>
      </c>
      <c r="F19" s="52" t="str">
        <f t="shared" si="0"/>
        <v>2D</v>
      </c>
      <c r="G19" s="46">
        <v>2740</v>
      </c>
      <c r="H19" s="47">
        <v>2.7</v>
      </c>
      <c r="I19" s="46">
        <v>2510</v>
      </c>
      <c r="J19" s="47">
        <v>2.7</v>
      </c>
      <c r="K19" s="53">
        <f t="shared" ref="K19:P19" si="6">K$15</f>
        <v>0</v>
      </c>
      <c r="L19" s="64">
        <f t="shared" si="6"/>
        <v>0</v>
      </c>
      <c r="M19" s="53">
        <f t="shared" si="6"/>
        <v>0</v>
      </c>
      <c r="N19" s="64">
        <f t="shared" si="6"/>
        <v>0</v>
      </c>
      <c r="O19" s="53">
        <f t="shared" si="6"/>
        <v>0</v>
      </c>
      <c r="P19" s="64">
        <f t="shared" si="6"/>
        <v>0</v>
      </c>
      <c r="Q19" s="53">
        <f>Q16</f>
        <v>210</v>
      </c>
      <c r="R19" s="64">
        <f>R16</f>
        <v>5.7</v>
      </c>
      <c r="S19" s="53">
        <f t="shared" si="4"/>
        <v>210</v>
      </c>
      <c r="T19" s="64">
        <f t="shared" si="4"/>
        <v>2.7</v>
      </c>
      <c r="U19" s="53">
        <f t="shared" si="4"/>
        <v>220</v>
      </c>
      <c r="V19" s="64">
        <f t="shared" si="4"/>
        <v>2</v>
      </c>
      <c r="W19" s="142">
        <f t="shared" si="4"/>
        <v>0.01</v>
      </c>
      <c r="X19" s="142">
        <f t="shared" si="4"/>
        <v>0.03</v>
      </c>
      <c r="Y19" s="142">
        <f t="shared" si="4"/>
        <v>0.04</v>
      </c>
      <c r="Z19" s="142">
        <f t="shared" si="4"/>
        <v>0.05</v>
      </c>
      <c r="AB19" s="89" t="s">
        <v>55</v>
      </c>
      <c r="AC19" s="35">
        <v>12</v>
      </c>
      <c r="AD19" s="43">
        <v>7000</v>
      </c>
      <c r="AE19" s="44">
        <v>1.9</v>
      </c>
      <c r="AG19" s="61" t="s">
        <v>56</v>
      </c>
      <c r="AH19" s="65"/>
      <c r="AI19" s="46">
        <v>120</v>
      </c>
    </row>
    <row r="20" spans="2:35" s="22" customFormat="1" ht="15.75" customHeight="1">
      <c r="B20" s="68" t="s">
        <v>57</v>
      </c>
      <c r="C20" s="55" t="str">
        <f>C$8</f>
        <v>４歳以上児</v>
      </c>
      <c r="D20" s="30">
        <v>3</v>
      </c>
      <c r="E20" s="34" t="str">
        <f>E$8</f>
        <v>A</v>
      </c>
      <c r="F20" s="69" t="str">
        <f t="shared" si="0"/>
        <v>3A</v>
      </c>
      <c r="G20" s="70">
        <v>1000</v>
      </c>
      <c r="H20" s="71">
        <v>2.8</v>
      </c>
      <c r="I20" s="70">
        <v>800</v>
      </c>
      <c r="J20" s="71">
        <v>2.7</v>
      </c>
      <c r="K20" s="33">
        <f t="shared" ref="K20:P20" si="7">K$12</f>
        <v>0</v>
      </c>
      <c r="L20" s="72">
        <f t="shared" si="7"/>
        <v>0</v>
      </c>
      <c r="M20" s="33">
        <f t="shared" si="7"/>
        <v>30</v>
      </c>
      <c r="N20" s="72">
        <f t="shared" si="7"/>
        <v>3.7</v>
      </c>
      <c r="O20" s="33">
        <f t="shared" si="7"/>
        <v>0</v>
      </c>
      <c r="P20" s="72">
        <f t="shared" si="7"/>
        <v>0</v>
      </c>
      <c r="Q20" s="36">
        <v>170</v>
      </c>
      <c r="R20" s="56">
        <v>5.8</v>
      </c>
      <c r="S20" s="36">
        <v>170</v>
      </c>
      <c r="T20" s="56">
        <v>2.8</v>
      </c>
      <c r="U20" s="36">
        <v>190</v>
      </c>
      <c r="V20" s="56">
        <v>1.9</v>
      </c>
      <c r="W20" s="143">
        <v>0.01</v>
      </c>
      <c r="X20" s="143">
        <v>0.03</v>
      </c>
      <c r="Y20" s="143">
        <v>0.04</v>
      </c>
      <c r="Z20" s="143">
        <v>0.05</v>
      </c>
      <c r="AB20" s="89" t="s">
        <v>58</v>
      </c>
      <c r="AC20" s="35">
        <v>13</v>
      </c>
      <c r="AD20" s="43">
        <v>7420</v>
      </c>
      <c r="AE20" s="44">
        <v>1.9</v>
      </c>
      <c r="AG20" s="61" t="s">
        <v>59</v>
      </c>
      <c r="AH20" s="65"/>
      <c r="AI20" s="46">
        <v>200000</v>
      </c>
    </row>
    <row r="21" spans="2:35" s="22" customFormat="1" ht="15.75" customHeight="1">
      <c r="B21" s="28"/>
      <c r="C21" s="58" t="str">
        <f>C$9</f>
        <v>３歳児</v>
      </c>
      <c r="D21" s="38">
        <f>D20</f>
        <v>3</v>
      </c>
      <c r="E21" s="42" t="str">
        <f>E$9</f>
        <v>B</v>
      </c>
      <c r="F21" s="40" t="str">
        <f t="shared" si="0"/>
        <v>3B</v>
      </c>
      <c r="G21" s="43">
        <v>1080</v>
      </c>
      <c r="H21" s="44">
        <v>2.8</v>
      </c>
      <c r="I21" s="43">
        <v>880</v>
      </c>
      <c r="J21" s="44">
        <v>2.7</v>
      </c>
      <c r="K21" s="41">
        <f t="shared" ref="K21:P21" si="8">K$13</f>
        <v>80</v>
      </c>
      <c r="L21" s="60">
        <f t="shared" si="8"/>
        <v>2.8</v>
      </c>
      <c r="M21" s="41">
        <f t="shared" si="8"/>
        <v>0</v>
      </c>
      <c r="N21" s="60">
        <f t="shared" si="8"/>
        <v>0</v>
      </c>
      <c r="O21" s="41">
        <f t="shared" si="8"/>
        <v>0</v>
      </c>
      <c r="P21" s="60">
        <f t="shared" si="8"/>
        <v>0</v>
      </c>
      <c r="Q21" s="41">
        <f>Q20</f>
        <v>170</v>
      </c>
      <c r="R21" s="60">
        <f>R20</f>
        <v>5.8</v>
      </c>
      <c r="S21" s="41">
        <f t="shared" ref="S21:Z23" si="9">S$20</f>
        <v>170</v>
      </c>
      <c r="T21" s="60">
        <f t="shared" si="9"/>
        <v>2.8</v>
      </c>
      <c r="U21" s="41">
        <f t="shared" si="9"/>
        <v>190</v>
      </c>
      <c r="V21" s="60">
        <f t="shared" si="9"/>
        <v>1.9</v>
      </c>
      <c r="W21" s="142">
        <f t="shared" si="9"/>
        <v>0.01</v>
      </c>
      <c r="X21" s="142">
        <f t="shared" si="9"/>
        <v>0.03</v>
      </c>
      <c r="Y21" s="142">
        <f t="shared" si="9"/>
        <v>0.04</v>
      </c>
      <c r="Z21" s="142">
        <f t="shared" si="9"/>
        <v>0.05</v>
      </c>
      <c r="AB21" s="89" t="s">
        <v>60</v>
      </c>
      <c r="AC21" s="35">
        <v>14</v>
      </c>
      <c r="AD21" s="43">
        <v>7850</v>
      </c>
      <c r="AE21" s="44">
        <v>2</v>
      </c>
      <c r="AG21" s="61" t="s">
        <v>61</v>
      </c>
      <c r="AH21" s="65"/>
      <c r="AI21" s="46">
        <v>150000</v>
      </c>
    </row>
    <row r="22" spans="2:35" s="22" customFormat="1" ht="15.75" customHeight="1">
      <c r="B22" s="28"/>
      <c r="C22" s="58" t="str">
        <f>C$10</f>
        <v>１、２歳児</v>
      </c>
      <c r="D22" s="38">
        <f>D20</f>
        <v>3</v>
      </c>
      <c r="E22" s="42" t="str">
        <f>E$10</f>
        <v>C</v>
      </c>
      <c r="F22" s="40" t="str">
        <f t="shared" si="0"/>
        <v>3C</v>
      </c>
      <c r="G22" s="43">
        <v>1690</v>
      </c>
      <c r="H22" s="44">
        <v>2.7</v>
      </c>
      <c r="I22" s="43">
        <v>1500</v>
      </c>
      <c r="J22" s="44">
        <v>2.7</v>
      </c>
      <c r="K22" s="41">
        <f t="shared" ref="K22:P22" si="10">K$14</f>
        <v>0</v>
      </c>
      <c r="L22" s="60">
        <f t="shared" si="10"/>
        <v>0</v>
      </c>
      <c r="M22" s="41">
        <f t="shared" si="10"/>
        <v>0</v>
      </c>
      <c r="N22" s="60">
        <f t="shared" si="10"/>
        <v>0</v>
      </c>
      <c r="O22" s="41">
        <f t="shared" si="10"/>
        <v>170</v>
      </c>
      <c r="P22" s="60">
        <f t="shared" si="10"/>
        <v>2.6</v>
      </c>
      <c r="Q22" s="41">
        <f>Q20</f>
        <v>170</v>
      </c>
      <c r="R22" s="60">
        <f>R20</f>
        <v>5.8</v>
      </c>
      <c r="S22" s="41">
        <f t="shared" si="9"/>
        <v>170</v>
      </c>
      <c r="T22" s="60">
        <f t="shared" si="9"/>
        <v>2.8</v>
      </c>
      <c r="U22" s="41">
        <f t="shared" si="9"/>
        <v>190</v>
      </c>
      <c r="V22" s="60">
        <f t="shared" si="9"/>
        <v>1.9</v>
      </c>
      <c r="W22" s="142">
        <f t="shared" si="9"/>
        <v>0.01</v>
      </c>
      <c r="X22" s="142">
        <f t="shared" si="9"/>
        <v>0.03</v>
      </c>
      <c r="Y22" s="142">
        <f t="shared" si="9"/>
        <v>0.04</v>
      </c>
      <c r="Z22" s="142">
        <f t="shared" si="9"/>
        <v>0.05</v>
      </c>
      <c r="AB22" s="89" t="s">
        <v>62</v>
      </c>
      <c r="AC22" s="87">
        <v>15</v>
      </c>
      <c r="AD22" s="77">
        <v>8270</v>
      </c>
      <c r="AE22" s="78">
        <v>2</v>
      </c>
    </row>
    <row r="23" spans="2:35" s="22" customFormat="1" ht="15.75" customHeight="1">
      <c r="B23" s="73"/>
      <c r="C23" s="62" t="str">
        <f>C$11</f>
        <v>乳児</v>
      </c>
      <c r="D23" s="50">
        <f>D20</f>
        <v>3</v>
      </c>
      <c r="E23" s="54" t="str">
        <f>E$11</f>
        <v>D</v>
      </c>
      <c r="F23" s="52" t="str">
        <f t="shared" si="0"/>
        <v>3D</v>
      </c>
      <c r="G23" s="46">
        <v>2580</v>
      </c>
      <c r="H23" s="47">
        <v>2.7</v>
      </c>
      <c r="I23" s="46">
        <v>2390</v>
      </c>
      <c r="J23" s="47">
        <v>2.7</v>
      </c>
      <c r="K23" s="53">
        <f t="shared" ref="K23:P23" si="11">K$15</f>
        <v>0</v>
      </c>
      <c r="L23" s="64">
        <f t="shared" si="11"/>
        <v>0</v>
      </c>
      <c r="M23" s="53">
        <f t="shared" si="11"/>
        <v>0</v>
      </c>
      <c r="N23" s="64">
        <f t="shared" si="11"/>
        <v>0</v>
      </c>
      <c r="O23" s="53">
        <f t="shared" si="11"/>
        <v>0</v>
      </c>
      <c r="P23" s="64">
        <f t="shared" si="11"/>
        <v>0</v>
      </c>
      <c r="Q23" s="53">
        <f>Q20</f>
        <v>170</v>
      </c>
      <c r="R23" s="64">
        <f>R20</f>
        <v>5.8</v>
      </c>
      <c r="S23" s="53">
        <f t="shared" si="9"/>
        <v>170</v>
      </c>
      <c r="T23" s="64">
        <f t="shared" si="9"/>
        <v>2.8</v>
      </c>
      <c r="U23" s="53">
        <f t="shared" si="9"/>
        <v>190</v>
      </c>
      <c r="V23" s="64">
        <f t="shared" si="9"/>
        <v>1.9</v>
      </c>
      <c r="W23" s="142">
        <f t="shared" si="9"/>
        <v>0.01</v>
      </c>
      <c r="X23" s="142">
        <f t="shared" si="9"/>
        <v>0.03</v>
      </c>
      <c r="Y23" s="142">
        <f t="shared" si="9"/>
        <v>0.04</v>
      </c>
      <c r="Z23" s="142">
        <f t="shared" si="9"/>
        <v>0.05</v>
      </c>
    </row>
    <row r="24" spans="2:35" s="22" customFormat="1" ht="15.75" customHeight="1">
      <c r="B24" s="68" t="s">
        <v>63</v>
      </c>
      <c r="C24" s="55" t="str">
        <f>C$8</f>
        <v>４歳以上児</v>
      </c>
      <c r="D24" s="30">
        <v>4</v>
      </c>
      <c r="E24" s="34" t="str">
        <f>E$8</f>
        <v>A</v>
      </c>
      <c r="F24" s="69" t="str">
        <f t="shared" si="0"/>
        <v>4A</v>
      </c>
      <c r="G24" s="70">
        <v>880</v>
      </c>
      <c r="H24" s="71">
        <v>2.7</v>
      </c>
      <c r="I24" s="70">
        <v>710</v>
      </c>
      <c r="J24" s="71">
        <v>2.6</v>
      </c>
      <c r="K24" s="33">
        <f t="shared" ref="K24:P24" si="12">K$12</f>
        <v>0</v>
      </c>
      <c r="L24" s="72">
        <f t="shared" si="12"/>
        <v>0</v>
      </c>
      <c r="M24" s="33">
        <f t="shared" si="12"/>
        <v>30</v>
      </c>
      <c r="N24" s="72">
        <f t="shared" si="12"/>
        <v>3.7</v>
      </c>
      <c r="O24" s="33">
        <f t="shared" si="12"/>
        <v>0</v>
      </c>
      <c r="P24" s="72">
        <f t="shared" si="12"/>
        <v>0</v>
      </c>
      <c r="Q24" s="36">
        <v>150</v>
      </c>
      <c r="R24" s="56">
        <v>5.7</v>
      </c>
      <c r="S24" s="36">
        <v>150</v>
      </c>
      <c r="T24" s="56">
        <v>2.7</v>
      </c>
      <c r="U24" s="36">
        <v>160</v>
      </c>
      <c r="V24" s="56">
        <v>2</v>
      </c>
      <c r="W24" s="143">
        <v>0.01</v>
      </c>
      <c r="X24" s="143">
        <v>0.03</v>
      </c>
      <c r="Y24" s="143">
        <v>0.04</v>
      </c>
      <c r="Z24" s="143">
        <v>0.05</v>
      </c>
    </row>
    <row r="25" spans="2:35" s="22" customFormat="1" ht="15.75" customHeight="1">
      <c r="B25" s="28"/>
      <c r="C25" s="58" t="str">
        <f>C$9</f>
        <v>３歳児</v>
      </c>
      <c r="D25" s="38">
        <f>D24</f>
        <v>4</v>
      </c>
      <c r="E25" s="42" t="str">
        <f>E$9</f>
        <v>B</v>
      </c>
      <c r="F25" s="40" t="str">
        <f t="shared" si="0"/>
        <v>4B</v>
      </c>
      <c r="G25" s="43">
        <v>960</v>
      </c>
      <c r="H25" s="44">
        <v>2.7</v>
      </c>
      <c r="I25" s="43">
        <v>790</v>
      </c>
      <c r="J25" s="44">
        <v>2.6</v>
      </c>
      <c r="K25" s="41">
        <f t="shared" ref="K25:P25" si="13">K$13</f>
        <v>80</v>
      </c>
      <c r="L25" s="60">
        <f t="shared" si="13"/>
        <v>2.8</v>
      </c>
      <c r="M25" s="41">
        <f t="shared" si="13"/>
        <v>0</v>
      </c>
      <c r="N25" s="60">
        <f t="shared" si="13"/>
        <v>0</v>
      </c>
      <c r="O25" s="41">
        <f t="shared" si="13"/>
        <v>0</v>
      </c>
      <c r="P25" s="60">
        <f t="shared" si="13"/>
        <v>0</v>
      </c>
      <c r="Q25" s="41">
        <f>Q24</f>
        <v>150</v>
      </c>
      <c r="R25" s="60">
        <f>R24</f>
        <v>5.7</v>
      </c>
      <c r="S25" s="41">
        <f t="shared" ref="S25:Z27" si="14">S$24</f>
        <v>150</v>
      </c>
      <c r="T25" s="60">
        <f t="shared" si="14"/>
        <v>2.7</v>
      </c>
      <c r="U25" s="41">
        <f t="shared" si="14"/>
        <v>160</v>
      </c>
      <c r="V25" s="60">
        <f t="shared" si="14"/>
        <v>2</v>
      </c>
      <c r="W25" s="142">
        <f t="shared" si="14"/>
        <v>0.01</v>
      </c>
      <c r="X25" s="142">
        <f t="shared" si="14"/>
        <v>0.03</v>
      </c>
      <c r="Y25" s="142">
        <f t="shared" si="14"/>
        <v>0.04</v>
      </c>
      <c r="Z25" s="142">
        <f t="shared" si="14"/>
        <v>0.05</v>
      </c>
    </row>
    <row r="26" spans="2:35" s="22" customFormat="1" ht="15.75" customHeight="1">
      <c r="B26" s="28"/>
      <c r="C26" s="58" t="str">
        <f>C$10</f>
        <v>１、２歳児</v>
      </c>
      <c r="D26" s="38">
        <f>D24</f>
        <v>4</v>
      </c>
      <c r="E26" s="42" t="str">
        <f>E$10</f>
        <v>C</v>
      </c>
      <c r="F26" s="40" t="str">
        <f t="shared" si="0"/>
        <v>4C</v>
      </c>
      <c r="G26" s="43">
        <v>1570</v>
      </c>
      <c r="H26" s="44">
        <v>2.7</v>
      </c>
      <c r="I26" s="43">
        <v>1400</v>
      </c>
      <c r="J26" s="44">
        <v>2.7</v>
      </c>
      <c r="K26" s="41">
        <f t="shared" ref="K26:P26" si="15">K$14</f>
        <v>0</v>
      </c>
      <c r="L26" s="60">
        <f t="shared" si="15"/>
        <v>0</v>
      </c>
      <c r="M26" s="41">
        <f t="shared" si="15"/>
        <v>0</v>
      </c>
      <c r="N26" s="60">
        <f t="shared" si="15"/>
        <v>0</v>
      </c>
      <c r="O26" s="41">
        <f t="shared" si="15"/>
        <v>170</v>
      </c>
      <c r="P26" s="60">
        <f t="shared" si="15"/>
        <v>2.6</v>
      </c>
      <c r="Q26" s="41">
        <f>Q24</f>
        <v>150</v>
      </c>
      <c r="R26" s="60">
        <f>R24</f>
        <v>5.7</v>
      </c>
      <c r="S26" s="41">
        <f t="shared" si="14"/>
        <v>150</v>
      </c>
      <c r="T26" s="60">
        <f t="shared" si="14"/>
        <v>2.7</v>
      </c>
      <c r="U26" s="41">
        <f t="shared" si="14"/>
        <v>160</v>
      </c>
      <c r="V26" s="60">
        <f t="shared" si="14"/>
        <v>2</v>
      </c>
      <c r="W26" s="142">
        <f t="shared" si="14"/>
        <v>0.01</v>
      </c>
      <c r="X26" s="142">
        <f t="shared" si="14"/>
        <v>0.03</v>
      </c>
      <c r="Y26" s="142">
        <f t="shared" si="14"/>
        <v>0.04</v>
      </c>
      <c r="Z26" s="142">
        <f t="shared" si="14"/>
        <v>0.05</v>
      </c>
    </row>
    <row r="27" spans="2:35" s="22" customFormat="1" ht="15.75" customHeight="1">
      <c r="B27" s="73"/>
      <c r="C27" s="62" t="str">
        <f>C$11</f>
        <v>乳児</v>
      </c>
      <c r="D27" s="50">
        <f>D24</f>
        <v>4</v>
      </c>
      <c r="E27" s="54" t="str">
        <f>E$11</f>
        <v>D</v>
      </c>
      <c r="F27" s="52" t="str">
        <f t="shared" si="0"/>
        <v>4D</v>
      </c>
      <c r="G27" s="46">
        <v>2460</v>
      </c>
      <c r="H27" s="47">
        <v>2.7</v>
      </c>
      <c r="I27" s="46">
        <v>2290</v>
      </c>
      <c r="J27" s="47">
        <v>2.7</v>
      </c>
      <c r="K27" s="53">
        <f t="shared" ref="K27:P27" si="16">K$15</f>
        <v>0</v>
      </c>
      <c r="L27" s="64">
        <f t="shared" si="16"/>
        <v>0</v>
      </c>
      <c r="M27" s="53">
        <f t="shared" si="16"/>
        <v>0</v>
      </c>
      <c r="N27" s="64">
        <f t="shared" si="16"/>
        <v>0</v>
      </c>
      <c r="O27" s="53">
        <f t="shared" si="16"/>
        <v>0</v>
      </c>
      <c r="P27" s="64">
        <f t="shared" si="16"/>
        <v>0</v>
      </c>
      <c r="Q27" s="53">
        <f>Q24</f>
        <v>150</v>
      </c>
      <c r="R27" s="64">
        <f>R24</f>
        <v>5.7</v>
      </c>
      <c r="S27" s="53">
        <f t="shared" si="14"/>
        <v>150</v>
      </c>
      <c r="T27" s="64">
        <f t="shared" si="14"/>
        <v>2.7</v>
      </c>
      <c r="U27" s="53">
        <f t="shared" si="14"/>
        <v>160</v>
      </c>
      <c r="V27" s="64">
        <f t="shared" si="14"/>
        <v>2</v>
      </c>
      <c r="W27" s="142">
        <f t="shared" si="14"/>
        <v>0.01</v>
      </c>
      <c r="X27" s="142">
        <f t="shared" si="14"/>
        <v>0.03</v>
      </c>
      <c r="Y27" s="142">
        <f t="shared" si="14"/>
        <v>0.04</v>
      </c>
      <c r="Z27" s="142">
        <f t="shared" si="14"/>
        <v>0.05</v>
      </c>
    </row>
    <row r="28" spans="2:35" s="22" customFormat="1" ht="15.75" customHeight="1">
      <c r="B28" s="68" t="s">
        <v>64</v>
      </c>
      <c r="C28" s="55" t="str">
        <f>C$8</f>
        <v>４歳以上児</v>
      </c>
      <c r="D28" s="30">
        <v>5</v>
      </c>
      <c r="E28" s="34" t="str">
        <f>E$8</f>
        <v>A</v>
      </c>
      <c r="F28" s="69" t="str">
        <f t="shared" si="0"/>
        <v>5A</v>
      </c>
      <c r="G28" s="70">
        <v>810</v>
      </c>
      <c r="H28" s="71">
        <v>2.7</v>
      </c>
      <c r="I28" s="70">
        <v>660</v>
      </c>
      <c r="J28" s="71">
        <v>2.6</v>
      </c>
      <c r="K28" s="33">
        <f t="shared" ref="K28:P28" si="17">K$12</f>
        <v>0</v>
      </c>
      <c r="L28" s="72">
        <f t="shared" si="17"/>
        <v>0</v>
      </c>
      <c r="M28" s="33">
        <f t="shared" si="17"/>
        <v>30</v>
      </c>
      <c r="N28" s="72">
        <f t="shared" si="17"/>
        <v>3.7</v>
      </c>
      <c r="O28" s="33">
        <f t="shared" si="17"/>
        <v>0</v>
      </c>
      <c r="P28" s="72">
        <f t="shared" si="17"/>
        <v>0</v>
      </c>
      <c r="Q28" s="36">
        <v>130</v>
      </c>
      <c r="R28" s="56">
        <v>5.7</v>
      </c>
      <c r="S28" s="36">
        <v>130</v>
      </c>
      <c r="T28" s="56">
        <v>2.8</v>
      </c>
      <c r="U28" s="36">
        <v>140</v>
      </c>
      <c r="V28" s="56">
        <v>2</v>
      </c>
      <c r="W28" s="143">
        <v>0.01</v>
      </c>
      <c r="X28" s="143">
        <v>0.03</v>
      </c>
      <c r="Y28" s="143">
        <v>0.04</v>
      </c>
      <c r="Z28" s="143">
        <v>0.05</v>
      </c>
    </row>
    <row r="29" spans="2:35" s="22" customFormat="1" ht="15.75" customHeight="1">
      <c r="B29" s="28"/>
      <c r="C29" s="58" t="str">
        <f>C$9</f>
        <v>３歳児</v>
      </c>
      <c r="D29" s="38">
        <f>D28</f>
        <v>5</v>
      </c>
      <c r="E29" s="42" t="str">
        <f>E$9</f>
        <v>B</v>
      </c>
      <c r="F29" s="40" t="str">
        <f t="shared" si="0"/>
        <v>5B</v>
      </c>
      <c r="G29" s="43">
        <v>890</v>
      </c>
      <c r="H29" s="44">
        <v>2.7</v>
      </c>
      <c r="I29" s="43">
        <v>740</v>
      </c>
      <c r="J29" s="44">
        <v>2.6</v>
      </c>
      <c r="K29" s="41">
        <f t="shared" ref="K29:P29" si="18">K$13</f>
        <v>80</v>
      </c>
      <c r="L29" s="60">
        <f t="shared" si="18"/>
        <v>2.8</v>
      </c>
      <c r="M29" s="41">
        <f t="shared" si="18"/>
        <v>0</v>
      </c>
      <c r="N29" s="60">
        <f t="shared" si="18"/>
        <v>0</v>
      </c>
      <c r="O29" s="41">
        <f t="shared" si="18"/>
        <v>0</v>
      </c>
      <c r="P29" s="60">
        <f t="shared" si="18"/>
        <v>0</v>
      </c>
      <c r="Q29" s="41">
        <f>Q28</f>
        <v>130</v>
      </c>
      <c r="R29" s="60">
        <f>R28</f>
        <v>5.7</v>
      </c>
      <c r="S29" s="41">
        <f t="shared" ref="S29:Z31" si="19">S$28</f>
        <v>130</v>
      </c>
      <c r="T29" s="60">
        <f t="shared" si="19"/>
        <v>2.8</v>
      </c>
      <c r="U29" s="41">
        <f t="shared" si="19"/>
        <v>140</v>
      </c>
      <c r="V29" s="60">
        <f t="shared" si="19"/>
        <v>2</v>
      </c>
      <c r="W29" s="142">
        <f t="shared" si="19"/>
        <v>0.01</v>
      </c>
      <c r="X29" s="142">
        <f t="shared" si="19"/>
        <v>0.03</v>
      </c>
      <c r="Y29" s="142">
        <f t="shared" si="19"/>
        <v>0.04</v>
      </c>
      <c r="Z29" s="142">
        <f t="shared" si="19"/>
        <v>0.05</v>
      </c>
    </row>
    <row r="30" spans="2:35" s="22" customFormat="1" ht="15.75" customHeight="1">
      <c r="B30" s="28"/>
      <c r="C30" s="58" t="str">
        <f>C$10</f>
        <v>１、２歳児</v>
      </c>
      <c r="D30" s="38">
        <f>D28</f>
        <v>5</v>
      </c>
      <c r="E30" s="42" t="str">
        <f>E$10</f>
        <v>C</v>
      </c>
      <c r="F30" s="40" t="str">
        <f t="shared" si="0"/>
        <v>5C</v>
      </c>
      <c r="G30" s="43">
        <v>1500</v>
      </c>
      <c r="H30" s="44">
        <v>2.7</v>
      </c>
      <c r="I30" s="43">
        <v>1350</v>
      </c>
      <c r="J30" s="44">
        <v>2.6</v>
      </c>
      <c r="K30" s="41">
        <f t="shared" ref="K30:P30" si="20">K$14</f>
        <v>0</v>
      </c>
      <c r="L30" s="60">
        <f t="shared" si="20"/>
        <v>0</v>
      </c>
      <c r="M30" s="41">
        <f t="shared" si="20"/>
        <v>0</v>
      </c>
      <c r="N30" s="60">
        <f t="shared" si="20"/>
        <v>0</v>
      </c>
      <c r="O30" s="41">
        <f t="shared" si="20"/>
        <v>170</v>
      </c>
      <c r="P30" s="60">
        <f t="shared" si="20"/>
        <v>2.6</v>
      </c>
      <c r="Q30" s="41">
        <f>Q28</f>
        <v>130</v>
      </c>
      <c r="R30" s="60">
        <f>R28</f>
        <v>5.7</v>
      </c>
      <c r="S30" s="41">
        <f t="shared" si="19"/>
        <v>130</v>
      </c>
      <c r="T30" s="60">
        <f t="shared" si="19"/>
        <v>2.8</v>
      </c>
      <c r="U30" s="41">
        <f t="shared" si="19"/>
        <v>140</v>
      </c>
      <c r="V30" s="60">
        <f t="shared" si="19"/>
        <v>2</v>
      </c>
      <c r="W30" s="142">
        <f t="shared" si="19"/>
        <v>0.01</v>
      </c>
      <c r="X30" s="142">
        <f t="shared" si="19"/>
        <v>0.03</v>
      </c>
      <c r="Y30" s="142">
        <f t="shared" si="19"/>
        <v>0.04</v>
      </c>
      <c r="Z30" s="142">
        <f t="shared" si="19"/>
        <v>0.05</v>
      </c>
    </row>
    <row r="31" spans="2:35" s="22" customFormat="1" ht="15.75" customHeight="1">
      <c r="B31" s="73"/>
      <c r="C31" s="62" t="str">
        <f>C$11</f>
        <v>乳児</v>
      </c>
      <c r="D31" s="50">
        <f>D28</f>
        <v>5</v>
      </c>
      <c r="E31" s="54" t="str">
        <f>E$11</f>
        <v>D</v>
      </c>
      <c r="F31" s="52" t="str">
        <f t="shared" si="0"/>
        <v>5D</v>
      </c>
      <c r="G31" s="46">
        <v>2390</v>
      </c>
      <c r="H31" s="47">
        <v>2.7</v>
      </c>
      <c r="I31" s="46">
        <v>2240</v>
      </c>
      <c r="J31" s="47">
        <v>2.7</v>
      </c>
      <c r="K31" s="53">
        <f t="shared" ref="K31:P31" si="21">K$15</f>
        <v>0</v>
      </c>
      <c r="L31" s="64">
        <f t="shared" si="21"/>
        <v>0</v>
      </c>
      <c r="M31" s="53">
        <f t="shared" si="21"/>
        <v>0</v>
      </c>
      <c r="N31" s="64">
        <f t="shared" si="21"/>
        <v>0</v>
      </c>
      <c r="O31" s="53">
        <f t="shared" si="21"/>
        <v>0</v>
      </c>
      <c r="P31" s="64">
        <f t="shared" si="21"/>
        <v>0</v>
      </c>
      <c r="Q31" s="53">
        <f>Q28</f>
        <v>130</v>
      </c>
      <c r="R31" s="64">
        <f>R28</f>
        <v>5.7</v>
      </c>
      <c r="S31" s="53">
        <f t="shared" si="19"/>
        <v>130</v>
      </c>
      <c r="T31" s="64">
        <f t="shared" si="19"/>
        <v>2.8</v>
      </c>
      <c r="U31" s="53">
        <f t="shared" si="19"/>
        <v>140</v>
      </c>
      <c r="V31" s="64">
        <f t="shared" si="19"/>
        <v>2</v>
      </c>
      <c r="W31" s="142">
        <f t="shared" si="19"/>
        <v>0.01</v>
      </c>
      <c r="X31" s="142">
        <f t="shared" si="19"/>
        <v>0.03</v>
      </c>
      <c r="Y31" s="142">
        <f t="shared" si="19"/>
        <v>0.04</v>
      </c>
      <c r="Z31" s="142">
        <f t="shared" si="19"/>
        <v>0.05</v>
      </c>
    </row>
    <row r="32" spans="2:35" s="22" customFormat="1" ht="15.75" customHeight="1">
      <c r="B32" s="68" t="s">
        <v>65</v>
      </c>
      <c r="C32" s="55" t="str">
        <f>C$8</f>
        <v>４歳以上児</v>
      </c>
      <c r="D32" s="30">
        <v>6</v>
      </c>
      <c r="E32" s="34" t="str">
        <f>E$8</f>
        <v>A</v>
      </c>
      <c r="F32" s="69" t="str">
        <f t="shared" si="0"/>
        <v>6A</v>
      </c>
      <c r="G32" s="70">
        <v>820</v>
      </c>
      <c r="H32" s="71">
        <v>2.7</v>
      </c>
      <c r="I32" s="70">
        <v>680</v>
      </c>
      <c r="J32" s="71">
        <v>2.7</v>
      </c>
      <c r="K32" s="33">
        <f t="shared" ref="K32:P32" si="22">K$12</f>
        <v>0</v>
      </c>
      <c r="L32" s="72">
        <f t="shared" si="22"/>
        <v>0</v>
      </c>
      <c r="M32" s="33">
        <f t="shared" si="22"/>
        <v>30</v>
      </c>
      <c r="N32" s="72">
        <f t="shared" si="22"/>
        <v>3.7</v>
      </c>
      <c r="O32" s="33">
        <f t="shared" si="22"/>
        <v>0</v>
      </c>
      <c r="P32" s="72">
        <f t="shared" si="22"/>
        <v>0</v>
      </c>
      <c r="Q32" s="36">
        <v>110</v>
      </c>
      <c r="R32" s="56">
        <v>6</v>
      </c>
      <c r="S32" s="36">
        <v>110</v>
      </c>
      <c r="T32" s="56">
        <v>2.9</v>
      </c>
      <c r="U32" s="36">
        <v>120</v>
      </c>
      <c r="V32" s="56">
        <v>2</v>
      </c>
      <c r="W32" s="143">
        <v>0.01</v>
      </c>
      <c r="X32" s="143">
        <v>0.03</v>
      </c>
      <c r="Y32" s="143">
        <v>0.04</v>
      </c>
      <c r="Z32" s="143">
        <v>0.06</v>
      </c>
    </row>
    <row r="33" spans="2:26" s="22" customFormat="1" ht="15.75" customHeight="1">
      <c r="B33" s="28"/>
      <c r="C33" s="58" t="str">
        <f>C$9</f>
        <v>３歳児</v>
      </c>
      <c r="D33" s="38">
        <f>D32</f>
        <v>6</v>
      </c>
      <c r="E33" s="42" t="str">
        <f>E$9</f>
        <v>B</v>
      </c>
      <c r="F33" s="40" t="str">
        <f t="shared" si="0"/>
        <v>6B</v>
      </c>
      <c r="G33" s="43">
        <v>900</v>
      </c>
      <c r="H33" s="44">
        <v>2.7</v>
      </c>
      <c r="I33" s="43">
        <v>760</v>
      </c>
      <c r="J33" s="44">
        <v>2.7</v>
      </c>
      <c r="K33" s="41">
        <f t="shared" ref="K33:P33" si="23">K$13</f>
        <v>80</v>
      </c>
      <c r="L33" s="60">
        <f t="shared" si="23"/>
        <v>2.8</v>
      </c>
      <c r="M33" s="41">
        <f t="shared" si="23"/>
        <v>0</v>
      </c>
      <c r="N33" s="60">
        <f t="shared" si="23"/>
        <v>0</v>
      </c>
      <c r="O33" s="41">
        <f t="shared" si="23"/>
        <v>0</v>
      </c>
      <c r="P33" s="60">
        <f t="shared" si="23"/>
        <v>0</v>
      </c>
      <c r="Q33" s="41">
        <f>Q32</f>
        <v>110</v>
      </c>
      <c r="R33" s="60">
        <f>R32</f>
        <v>6</v>
      </c>
      <c r="S33" s="41">
        <f t="shared" ref="S33:Z35" si="24">S$32</f>
        <v>110</v>
      </c>
      <c r="T33" s="60">
        <f t="shared" si="24"/>
        <v>2.9</v>
      </c>
      <c r="U33" s="41">
        <f t="shared" si="24"/>
        <v>120</v>
      </c>
      <c r="V33" s="60">
        <f t="shared" si="24"/>
        <v>2</v>
      </c>
      <c r="W33" s="142">
        <f t="shared" si="24"/>
        <v>0.01</v>
      </c>
      <c r="X33" s="142">
        <f t="shared" si="24"/>
        <v>0.03</v>
      </c>
      <c r="Y33" s="142">
        <f t="shared" si="24"/>
        <v>0.04</v>
      </c>
      <c r="Z33" s="142">
        <f t="shared" si="24"/>
        <v>0.06</v>
      </c>
    </row>
    <row r="34" spans="2:26" s="22" customFormat="1" ht="15.75" customHeight="1">
      <c r="B34" s="28"/>
      <c r="C34" s="58" t="str">
        <f>C$10</f>
        <v>１、２歳児</v>
      </c>
      <c r="D34" s="38">
        <f>D32</f>
        <v>6</v>
      </c>
      <c r="E34" s="42" t="str">
        <f>E$10</f>
        <v>C</v>
      </c>
      <c r="F34" s="40" t="str">
        <f t="shared" si="0"/>
        <v>6C</v>
      </c>
      <c r="G34" s="43">
        <v>1510</v>
      </c>
      <c r="H34" s="44">
        <v>2.7</v>
      </c>
      <c r="I34" s="43">
        <v>1380</v>
      </c>
      <c r="J34" s="44">
        <v>2.7</v>
      </c>
      <c r="K34" s="41">
        <f t="shared" ref="K34:P34" si="25">K$14</f>
        <v>0</v>
      </c>
      <c r="L34" s="60">
        <f t="shared" si="25"/>
        <v>0</v>
      </c>
      <c r="M34" s="41">
        <f t="shared" si="25"/>
        <v>0</v>
      </c>
      <c r="N34" s="60">
        <f t="shared" si="25"/>
        <v>0</v>
      </c>
      <c r="O34" s="41">
        <f t="shared" si="25"/>
        <v>170</v>
      </c>
      <c r="P34" s="60">
        <f t="shared" si="25"/>
        <v>2.6</v>
      </c>
      <c r="Q34" s="41">
        <f>Q32</f>
        <v>110</v>
      </c>
      <c r="R34" s="60">
        <f>R32</f>
        <v>6</v>
      </c>
      <c r="S34" s="41">
        <f t="shared" si="24"/>
        <v>110</v>
      </c>
      <c r="T34" s="60">
        <f t="shared" si="24"/>
        <v>2.9</v>
      </c>
      <c r="U34" s="41">
        <f t="shared" si="24"/>
        <v>120</v>
      </c>
      <c r="V34" s="60">
        <f t="shared" si="24"/>
        <v>2</v>
      </c>
      <c r="W34" s="142">
        <f t="shared" si="24"/>
        <v>0.01</v>
      </c>
      <c r="X34" s="142">
        <f t="shared" si="24"/>
        <v>0.03</v>
      </c>
      <c r="Y34" s="142">
        <f t="shared" si="24"/>
        <v>0.04</v>
      </c>
      <c r="Z34" s="142">
        <f t="shared" si="24"/>
        <v>0.06</v>
      </c>
    </row>
    <row r="35" spans="2:26" s="22" customFormat="1" ht="15.75" customHeight="1">
      <c r="B35" s="73"/>
      <c r="C35" s="62" t="str">
        <f>C$11</f>
        <v>乳児</v>
      </c>
      <c r="D35" s="50">
        <f>D32</f>
        <v>6</v>
      </c>
      <c r="E35" s="54" t="str">
        <f>E$11</f>
        <v>D</v>
      </c>
      <c r="F35" s="52" t="str">
        <f t="shared" si="0"/>
        <v>6D</v>
      </c>
      <c r="G35" s="46">
        <v>2400</v>
      </c>
      <c r="H35" s="47">
        <v>2.7</v>
      </c>
      <c r="I35" s="46">
        <v>2270</v>
      </c>
      <c r="J35" s="47">
        <v>2.7</v>
      </c>
      <c r="K35" s="53">
        <f t="shared" ref="K35:P35" si="26">K$15</f>
        <v>0</v>
      </c>
      <c r="L35" s="64">
        <f t="shared" si="26"/>
        <v>0</v>
      </c>
      <c r="M35" s="53">
        <f t="shared" si="26"/>
        <v>0</v>
      </c>
      <c r="N35" s="64">
        <f t="shared" si="26"/>
        <v>0</v>
      </c>
      <c r="O35" s="53">
        <f t="shared" si="26"/>
        <v>0</v>
      </c>
      <c r="P35" s="64">
        <f t="shared" si="26"/>
        <v>0</v>
      </c>
      <c r="Q35" s="53">
        <f>Q32</f>
        <v>110</v>
      </c>
      <c r="R35" s="64">
        <f>R32</f>
        <v>6</v>
      </c>
      <c r="S35" s="53">
        <f t="shared" si="24"/>
        <v>110</v>
      </c>
      <c r="T35" s="64">
        <f t="shared" si="24"/>
        <v>2.9</v>
      </c>
      <c r="U35" s="53">
        <f t="shared" si="24"/>
        <v>120</v>
      </c>
      <c r="V35" s="64">
        <f t="shared" si="24"/>
        <v>2</v>
      </c>
      <c r="W35" s="142">
        <f t="shared" si="24"/>
        <v>0.01</v>
      </c>
      <c r="X35" s="142">
        <f t="shared" si="24"/>
        <v>0.03</v>
      </c>
      <c r="Y35" s="142">
        <f t="shared" si="24"/>
        <v>0.04</v>
      </c>
      <c r="Z35" s="142">
        <f t="shared" si="24"/>
        <v>0.06</v>
      </c>
    </row>
    <row r="36" spans="2:26" s="22" customFormat="1" ht="15.75" customHeight="1">
      <c r="B36" s="68" t="s">
        <v>66</v>
      </c>
      <c r="C36" s="55" t="str">
        <f>C$8</f>
        <v>４歳以上児</v>
      </c>
      <c r="D36" s="30">
        <v>7</v>
      </c>
      <c r="E36" s="34" t="str">
        <f>E$8</f>
        <v>A</v>
      </c>
      <c r="F36" s="69" t="str">
        <f t="shared" si="0"/>
        <v>7A</v>
      </c>
      <c r="G36" s="70">
        <v>740</v>
      </c>
      <c r="H36" s="71">
        <v>2.8</v>
      </c>
      <c r="I36" s="70">
        <v>630</v>
      </c>
      <c r="J36" s="71">
        <v>2.7</v>
      </c>
      <c r="K36" s="33">
        <f t="shared" ref="K36:P36" si="27">K$12</f>
        <v>0</v>
      </c>
      <c r="L36" s="72">
        <f t="shared" si="27"/>
        <v>0</v>
      </c>
      <c r="M36" s="33">
        <f t="shared" si="27"/>
        <v>30</v>
      </c>
      <c r="N36" s="72">
        <f t="shared" si="27"/>
        <v>3.7</v>
      </c>
      <c r="O36" s="33">
        <f t="shared" si="27"/>
        <v>0</v>
      </c>
      <c r="P36" s="72">
        <f t="shared" si="27"/>
        <v>0</v>
      </c>
      <c r="Q36" s="36">
        <v>100</v>
      </c>
      <c r="R36" s="56">
        <v>6</v>
      </c>
      <c r="S36" s="36">
        <v>100</v>
      </c>
      <c r="T36" s="56">
        <v>2.9</v>
      </c>
      <c r="U36" s="36">
        <v>110</v>
      </c>
      <c r="V36" s="56">
        <v>2</v>
      </c>
      <c r="W36" s="143">
        <v>0.01</v>
      </c>
      <c r="X36" s="143">
        <v>0.03</v>
      </c>
      <c r="Y36" s="143">
        <v>0.04</v>
      </c>
      <c r="Z36" s="143">
        <v>0.06</v>
      </c>
    </row>
    <row r="37" spans="2:26" s="22" customFormat="1" ht="15.75" customHeight="1">
      <c r="B37" s="28"/>
      <c r="C37" s="58" t="str">
        <f>C$9</f>
        <v>３歳児</v>
      </c>
      <c r="D37" s="38">
        <f>D36</f>
        <v>7</v>
      </c>
      <c r="E37" s="42" t="str">
        <f>E$9</f>
        <v>B</v>
      </c>
      <c r="F37" s="40" t="str">
        <f t="shared" si="0"/>
        <v>7B</v>
      </c>
      <c r="G37" s="43">
        <v>820</v>
      </c>
      <c r="H37" s="44">
        <v>2.8</v>
      </c>
      <c r="I37" s="43">
        <v>710</v>
      </c>
      <c r="J37" s="44">
        <v>2.7</v>
      </c>
      <c r="K37" s="41">
        <f t="shared" ref="K37:P37" si="28">K$13</f>
        <v>80</v>
      </c>
      <c r="L37" s="60">
        <f t="shared" si="28"/>
        <v>2.8</v>
      </c>
      <c r="M37" s="41">
        <f t="shared" si="28"/>
        <v>0</v>
      </c>
      <c r="N37" s="60">
        <f t="shared" si="28"/>
        <v>0</v>
      </c>
      <c r="O37" s="41">
        <f t="shared" si="28"/>
        <v>0</v>
      </c>
      <c r="P37" s="60">
        <f t="shared" si="28"/>
        <v>0</v>
      </c>
      <c r="Q37" s="41">
        <f>Q36</f>
        <v>100</v>
      </c>
      <c r="R37" s="60">
        <f>R36</f>
        <v>6</v>
      </c>
      <c r="S37" s="41">
        <f t="shared" ref="S37:Z39" si="29">S$36</f>
        <v>100</v>
      </c>
      <c r="T37" s="60">
        <f t="shared" si="29"/>
        <v>2.9</v>
      </c>
      <c r="U37" s="41">
        <f t="shared" si="29"/>
        <v>110</v>
      </c>
      <c r="V37" s="60">
        <f t="shared" si="29"/>
        <v>2</v>
      </c>
      <c r="W37" s="142">
        <f t="shared" si="29"/>
        <v>0.01</v>
      </c>
      <c r="X37" s="142">
        <f t="shared" si="29"/>
        <v>0.03</v>
      </c>
      <c r="Y37" s="142">
        <f t="shared" si="29"/>
        <v>0.04</v>
      </c>
      <c r="Z37" s="142">
        <f t="shared" si="29"/>
        <v>0.06</v>
      </c>
    </row>
    <row r="38" spans="2:26" s="22" customFormat="1" ht="15.75" customHeight="1">
      <c r="B38" s="28"/>
      <c r="C38" s="58" t="str">
        <f>C$10</f>
        <v>１、２歳児</v>
      </c>
      <c r="D38" s="38">
        <f>D36</f>
        <v>7</v>
      </c>
      <c r="E38" s="42" t="str">
        <f>E$10</f>
        <v>C</v>
      </c>
      <c r="F38" s="40" t="str">
        <f t="shared" si="0"/>
        <v>7C</v>
      </c>
      <c r="G38" s="43">
        <v>1440</v>
      </c>
      <c r="H38" s="44">
        <v>2.7</v>
      </c>
      <c r="I38" s="43">
        <v>1320</v>
      </c>
      <c r="J38" s="44">
        <v>2.7</v>
      </c>
      <c r="K38" s="41">
        <f t="shared" ref="K38:P38" si="30">K$14</f>
        <v>0</v>
      </c>
      <c r="L38" s="60">
        <f t="shared" si="30"/>
        <v>0</v>
      </c>
      <c r="M38" s="41">
        <f t="shared" si="30"/>
        <v>0</v>
      </c>
      <c r="N38" s="60">
        <f t="shared" si="30"/>
        <v>0</v>
      </c>
      <c r="O38" s="41">
        <f t="shared" si="30"/>
        <v>170</v>
      </c>
      <c r="P38" s="60">
        <f t="shared" si="30"/>
        <v>2.6</v>
      </c>
      <c r="Q38" s="41">
        <f>Q36</f>
        <v>100</v>
      </c>
      <c r="R38" s="60">
        <f>R36</f>
        <v>6</v>
      </c>
      <c r="S38" s="41">
        <f t="shared" si="29"/>
        <v>100</v>
      </c>
      <c r="T38" s="60">
        <f t="shared" si="29"/>
        <v>2.9</v>
      </c>
      <c r="U38" s="41">
        <f t="shared" si="29"/>
        <v>110</v>
      </c>
      <c r="V38" s="60">
        <f t="shared" si="29"/>
        <v>2</v>
      </c>
      <c r="W38" s="142">
        <f t="shared" si="29"/>
        <v>0.01</v>
      </c>
      <c r="X38" s="142">
        <f t="shared" si="29"/>
        <v>0.03</v>
      </c>
      <c r="Y38" s="142">
        <f t="shared" si="29"/>
        <v>0.04</v>
      </c>
      <c r="Z38" s="142">
        <f t="shared" si="29"/>
        <v>0.06</v>
      </c>
    </row>
    <row r="39" spans="2:26" s="22" customFormat="1" ht="15.75" customHeight="1">
      <c r="B39" s="73"/>
      <c r="C39" s="62" t="str">
        <f>C$11</f>
        <v>乳児</v>
      </c>
      <c r="D39" s="50">
        <f>D36</f>
        <v>7</v>
      </c>
      <c r="E39" s="54" t="str">
        <f>E$11</f>
        <v>D</v>
      </c>
      <c r="F39" s="52" t="str">
        <f t="shared" si="0"/>
        <v>7D</v>
      </c>
      <c r="G39" s="46">
        <v>2330</v>
      </c>
      <c r="H39" s="47">
        <v>2.7</v>
      </c>
      <c r="I39" s="46">
        <v>2210</v>
      </c>
      <c r="J39" s="47">
        <v>2.7</v>
      </c>
      <c r="K39" s="53">
        <f t="shared" ref="K39:P39" si="31">K$15</f>
        <v>0</v>
      </c>
      <c r="L39" s="64">
        <f t="shared" si="31"/>
        <v>0</v>
      </c>
      <c r="M39" s="53">
        <f t="shared" si="31"/>
        <v>0</v>
      </c>
      <c r="N39" s="64">
        <f t="shared" si="31"/>
        <v>0</v>
      </c>
      <c r="O39" s="53">
        <f t="shared" si="31"/>
        <v>0</v>
      </c>
      <c r="P39" s="64">
        <f t="shared" si="31"/>
        <v>0</v>
      </c>
      <c r="Q39" s="53">
        <f>Q36</f>
        <v>100</v>
      </c>
      <c r="R39" s="64">
        <f>R36</f>
        <v>6</v>
      </c>
      <c r="S39" s="53">
        <f t="shared" si="29"/>
        <v>100</v>
      </c>
      <c r="T39" s="64">
        <f t="shared" si="29"/>
        <v>2.9</v>
      </c>
      <c r="U39" s="53">
        <f t="shared" si="29"/>
        <v>110</v>
      </c>
      <c r="V39" s="64">
        <f t="shared" si="29"/>
        <v>2</v>
      </c>
      <c r="W39" s="142">
        <f t="shared" si="29"/>
        <v>0.01</v>
      </c>
      <c r="X39" s="142">
        <f t="shared" si="29"/>
        <v>0.03</v>
      </c>
      <c r="Y39" s="142">
        <f t="shared" si="29"/>
        <v>0.04</v>
      </c>
      <c r="Z39" s="142">
        <f t="shared" si="29"/>
        <v>0.06</v>
      </c>
    </row>
    <row r="40" spans="2:26" s="22" customFormat="1" ht="15.75" customHeight="1">
      <c r="B40" s="68" t="s">
        <v>67</v>
      </c>
      <c r="C40" s="55" t="str">
        <f>C$8</f>
        <v>４歳以上児</v>
      </c>
      <c r="D40" s="30">
        <v>8</v>
      </c>
      <c r="E40" s="34" t="str">
        <f>E$8</f>
        <v>A</v>
      </c>
      <c r="F40" s="69" t="str">
        <f t="shared" ref="F40:F71" si="32">D40&amp;E40</f>
        <v>8A</v>
      </c>
      <c r="G40" s="70">
        <v>690</v>
      </c>
      <c r="H40" s="71">
        <v>2.8</v>
      </c>
      <c r="I40" s="70">
        <v>580</v>
      </c>
      <c r="J40" s="71">
        <v>2.7</v>
      </c>
      <c r="K40" s="33">
        <f t="shared" ref="K40:P40" si="33">K$12</f>
        <v>0</v>
      </c>
      <c r="L40" s="72">
        <f t="shared" si="33"/>
        <v>0</v>
      </c>
      <c r="M40" s="33">
        <f t="shared" si="33"/>
        <v>30</v>
      </c>
      <c r="N40" s="72">
        <f t="shared" si="33"/>
        <v>3.7</v>
      </c>
      <c r="O40" s="33">
        <f t="shared" si="33"/>
        <v>0</v>
      </c>
      <c r="P40" s="72">
        <f t="shared" si="33"/>
        <v>0</v>
      </c>
      <c r="Q40" s="36">
        <v>90</v>
      </c>
      <c r="R40" s="56">
        <v>6</v>
      </c>
      <c r="S40" s="36">
        <v>90</v>
      </c>
      <c r="T40" s="56">
        <v>2.9</v>
      </c>
      <c r="U40" s="36">
        <v>100</v>
      </c>
      <c r="V40" s="56">
        <v>2</v>
      </c>
      <c r="W40" s="143">
        <v>0.01</v>
      </c>
      <c r="X40" s="143">
        <v>0.03</v>
      </c>
      <c r="Y40" s="143">
        <v>0.04</v>
      </c>
      <c r="Z40" s="143">
        <v>0.06</v>
      </c>
    </row>
    <row r="41" spans="2:26" s="22" customFormat="1" ht="15.75" customHeight="1">
      <c r="B41" s="28"/>
      <c r="C41" s="58" t="str">
        <f>C$9</f>
        <v>３歳児</v>
      </c>
      <c r="D41" s="38">
        <f>D40</f>
        <v>8</v>
      </c>
      <c r="E41" s="42" t="str">
        <f>E$9</f>
        <v>B</v>
      </c>
      <c r="F41" s="40" t="str">
        <f t="shared" si="32"/>
        <v>8B</v>
      </c>
      <c r="G41" s="43">
        <v>770</v>
      </c>
      <c r="H41" s="44">
        <v>2.8</v>
      </c>
      <c r="I41" s="43">
        <v>660</v>
      </c>
      <c r="J41" s="44">
        <v>2.7</v>
      </c>
      <c r="K41" s="41">
        <f t="shared" ref="K41:P41" si="34">K$13</f>
        <v>80</v>
      </c>
      <c r="L41" s="60">
        <f t="shared" si="34"/>
        <v>2.8</v>
      </c>
      <c r="M41" s="41">
        <f t="shared" si="34"/>
        <v>0</v>
      </c>
      <c r="N41" s="60">
        <f t="shared" si="34"/>
        <v>0</v>
      </c>
      <c r="O41" s="41">
        <f t="shared" si="34"/>
        <v>0</v>
      </c>
      <c r="P41" s="60">
        <f t="shared" si="34"/>
        <v>0</v>
      </c>
      <c r="Q41" s="41">
        <f>Q40</f>
        <v>90</v>
      </c>
      <c r="R41" s="60">
        <f>R40</f>
        <v>6</v>
      </c>
      <c r="S41" s="41">
        <f t="shared" ref="S41:Z43" si="35">S$40</f>
        <v>90</v>
      </c>
      <c r="T41" s="60">
        <f t="shared" si="35"/>
        <v>2.9</v>
      </c>
      <c r="U41" s="41">
        <f t="shared" si="35"/>
        <v>100</v>
      </c>
      <c r="V41" s="60">
        <f t="shared" si="35"/>
        <v>2</v>
      </c>
      <c r="W41" s="142">
        <f t="shared" si="35"/>
        <v>0.01</v>
      </c>
      <c r="X41" s="142">
        <f t="shared" si="35"/>
        <v>0.03</v>
      </c>
      <c r="Y41" s="142">
        <f t="shared" si="35"/>
        <v>0.04</v>
      </c>
      <c r="Z41" s="142">
        <f t="shared" si="35"/>
        <v>0.06</v>
      </c>
    </row>
    <row r="42" spans="2:26" s="22" customFormat="1" ht="15.75" customHeight="1">
      <c r="B42" s="28"/>
      <c r="C42" s="58" t="str">
        <f>C$10</f>
        <v>１、２歳児</v>
      </c>
      <c r="D42" s="38">
        <f>D40</f>
        <v>8</v>
      </c>
      <c r="E42" s="42" t="str">
        <f>E$10</f>
        <v>C</v>
      </c>
      <c r="F42" s="40" t="str">
        <f t="shared" si="32"/>
        <v>8C</v>
      </c>
      <c r="G42" s="43">
        <v>1380</v>
      </c>
      <c r="H42" s="44">
        <v>2.7</v>
      </c>
      <c r="I42" s="43">
        <v>1280</v>
      </c>
      <c r="J42" s="44">
        <v>2.7</v>
      </c>
      <c r="K42" s="41">
        <f t="shared" ref="K42:P42" si="36">K$14</f>
        <v>0</v>
      </c>
      <c r="L42" s="60">
        <f t="shared" si="36"/>
        <v>0</v>
      </c>
      <c r="M42" s="41">
        <f t="shared" si="36"/>
        <v>0</v>
      </c>
      <c r="N42" s="60">
        <f t="shared" si="36"/>
        <v>0</v>
      </c>
      <c r="O42" s="41">
        <f t="shared" si="36"/>
        <v>170</v>
      </c>
      <c r="P42" s="60">
        <f t="shared" si="36"/>
        <v>2.6</v>
      </c>
      <c r="Q42" s="41">
        <f>Q40</f>
        <v>90</v>
      </c>
      <c r="R42" s="60">
        <f>R40</f>
        <v>6</v>
      </c>
      <c r="S42" s="41">
        <f t="shared" si="35"/>
        <v>90</v>
      </c>
      <c r="T42" s="60">
        <f t="shared" si="35"/>
        <v>2.9</v>
      </c>
      <c r="U42" s="41">
        <f t="shared" si="35"/>
        <v>100</v>
      </c>
      <c r="V42" s="60">
        <f t="shared" si="35"/>
        <v>2</v>
      </c>
      <c r="W42" s="142">
        <f t="shared" si="35"/>
        <v>0.01</v>
      </c>
      <c r="X42" s="142">
        <f t="shared" si="35"/>
        <v>0.03</v>
      </c>
      <c r="Y42" s="142">
        <f t="shared" si="35"/>
        <v>0.04</v>
      </c>
      <c r="Z42" s="142">
        <f t="shared" si="35"/>
        <v>0.06</v>
      </c>
    </row>
    <row r="43" spans="2:26" s="22" customFormat="1" ht="15.75" customHeight="1">
      <c r="B43" s="73"/>
      <c r="C43" s="62" t="str">
        <f>C$11</f>
        <v>乳児</v>
      </c>
      <c r="D43" s="50">
        <f>D40</f>
        <v>8</v>
      </c>
      <c r="E43" s="54" t="str">
        <f>E$11</f>
        <v>D</v>
      </c>
      <c r="F43" s="52" t="str">
        <f t="shared" si="32"/>
        <v>8D</v>
      </c>
      <c r="G43" s="46">
        <v>2270</v>
      </c>
      <c r="H43" s="47">
        <v>2.7</v>
      </c>
      <c r="I43" s="46">
        <v>2170</v>
      </c>
      <c r="J43" s="47">
        <v>2.7</v>
      </c>
      <c r="K43" s="53">
        <f t="shared" ref="K43:P43" si="37">K$15</f>
        <v>0</v>
      </c>
      <c r="L43" s="64">
        <f t="shared" si="37"/>
        <v>0</v>
      </c>
      <c r="M43" s="53">
        <f t="shared" si="37"/>
        <v>0</v>
      </c>
      <c r="N43" s="64">
        <f t="shared" si="37"/>
        <v>0</v>
      </c>
      <c r="O43" s="53">
        <f t="shared" si="37"/>
        <v>0</v>
      </c>
      <c r="P43" s="64">
        <f t="shared" si="37"/>
        <v>0</v>
      </c>
      <c r="Q43" s="53">
        <f>Q40</f>
        <v>90</v>
      </c>
      <c r="R43" s="64">
        <f>R40</f>
        <v>6</v>
      </c>
      <c r="S43" s="53">
        <f t="shared" si="35"/>
        <v>90</v>
      </c>
      <c r="T43" s="64">
        <f t="shared" si="35"/>
        <v>2.9</v>
      </c>
      <c r="U43" s="53">
        <f t="shared" si="35"/>
        <v>100</v>
      </c>
      <c r="V43" s="64">
        <f t="shared" si="35"/>
        <v>2</v>
      </c>
      <c r="W43" s="142">
        <f t="shared" si="35"/>
        <v>0.01</v>
      </c>
      <c r="X43" s="142">
        <f t="shared" si="35"/>
        <v>0.03</v>
      </c>
      <c r="Y43" s="142">
        <f t="shared" si="35"/>
        <v>0.04</v>
      </c>
      <c r="Z43" s="142">
        <f t="shared" si="35"/>
        <v>0.06</v>
      </c>
    </row>
    <row r="44" spans="2:26" s="22" customFormat="1" ht="15.75" customHeight="1">
      <c r="B44" s="68" t="s">
        <v>68</v>
      </c>
      <c r="C44" s="55" t="str">
        <f>C$8</f>
        <v>４歳以上児</v>
      </c>
      <c r="D44" s="30">
        <v>9</v>
      </c>
      <c r="E44" s="34" t="str">
        <f>E$8</f>
        <v>A</v>
      </c>
      <c r="F44" s="69" t="str">
        <f t="shared" si="32"/>
        <v>9A</v>
      </c>
      <c r="G44" s="70">
        <v>650</v>
      </c>
      <c r="H44" s="71">
        <v>2.7</v>
      </c>
      <c r="I44" s="70">
        <v>550</v>
      </c>
      <c r="J44" s="71">
        <v>2.7</v>
      </c>
      <c r="K44" s="33">
        <f t="shared" ref="K44:P44" si="38">K$12</f>
        <v>0</v>
      </c>
      <c r="L44" s="72">
        <f t="shared" si="38"/>
        <v>0</v>
      </c>
      <c r="M44" s="33">
        <f t="shared" si="38"/>
        <v>30</v>
      </c>
      <c r="N44" s="72">
        <f t="shared" si="38"/>
        <v>3.7</v>
      </c>
      <c r="O44" s="33">
        <f t="shared" si="38"/>
        <v>0</v>
      </c>
      <c r="P44" s="72">
        <f t="shared" si="38"/>
        <v>0</v>
      </c>
      <c r="Q44" s="36">
        <v>80</v>
      </c>
      <c r="R44" s="56">
        <v>6.2</v>
      </c>
      <c r="S44" s="36">
        <v>80</v>
      </c>
      <c r="T44" s="56">
        <v>3</v>
      </c>
      <c r="U44" s="36">
        <v>90</v>
      </c>
      <c r="V44" s="56">
        <v>2</v>
      </c>
      <c r="W44" s="143">
        <v>0.01</v>
      </c>
      <c r="X44" s="143">
        <v>0.03</v>
      </c>
      <c r="Y44" s="143">
        <v>0.04</v>
      </c>
      <c r="Z44" s="143">
        <v>0.06</v>
      </c>
    </row>
    <row r="45" spans="2:26" s="22" customFormat="1" ht="15.75" customHeight="1">
      <c r="B45" s="28"/>
      <c r="C45" s="58" t="str">
        <f>C$9</f>
        <v>３歳児</v>
      </c>
      <c r="D45" s="38">
        <f>D44</f>
        <v>9</v>
      </c>
      <c r="E45" s="42" t="str">
        <f>E$9</f>
        <v>B</v>
      </c>
      <c r="F45" s="40" t="str">
        <f t="shared" si="32"/>
        <v>9B</v>
      </c>
      <c r="G45" s="43">
        <v>730</v>
      </c>
      <c r="H45" s="44">
        <v>2.7</v>
      </c>
      <c r="I45" s="43">
        <v>630</v>
      </c>
      <c r="J45" s="44">
        <v>2.7</v>
      </c>
      <c r="K45" s="41">
        <f t="shared" ref="K45:P45" si="39">K$13</f>
        <v>80</v>
      </c>
      <c r="L45" s="60">
        <f t="shared" si="39"/>
        <v>2.8</v>
      </c>
      <c r="M45" s="41">
        <f t="shared" si="39"/>
        <v>0</v>
      </c>
      <c r="N45" s="60">
        <f t="shared" si="39"/>
        <v>0</v>
      </c>
      <c r="O45" s="41">
        <f t="shared" si="39"/>
        <v>0</v>
      </c>
      <c r="P45" s="60">
        <f t="shared" si="39"/>
        <v>0</v>
      </c>
      <c r="Q45" s="41">
        <f>Q44</f>
        <v>80</v>
      </c>
      <c r="R45" s="60">
        <f>R44</f>
        <v>6.2</v>
      </c>
      <c r="S45" s="41">
        <f t="shared" ref="S45:Z47" si="40">S$44</f>
        <v>80</v>
      </c>
      <c r="T45" s="60">
        <f t="shared" si="40"/>
        <v>3</v>
      </c>
      <c r="U45" s="41">
        <f t="shared" si="40"/>
        <v>90</v>
      </c>
      <c r="V45" s="60">
        <f t="shared" si="40"/>
        <v>2</v>
      </c>
      <c r="W45" s="142">
        <f t="shared" si="40"/>
        <v>0.01</v>
      </c>
      <c r="X45" s="142">
        <f t="shared" si="40"/>
        <v>0.03</v>
      </c>
      <c r="Y45" s="142">
        <f t="shared" si="40"/>
        <v>0.04</v>
      </c>
      <c r="Z45" s="142">
        <f t="shared" si="40"/>
        <v>0.06</v>
      </c>
    </row>
    <row r="46" spans="2:26" s="22" customFormat="1" ht="15.75" customHeight="1">
      <c r="B46" s="28"/>
      <c r="C46" s="58" t="str">
        <f>C$10</f>
        <v>１、２歳児</v>
      </c>
      <c r="D46" s="38">
        <f>D44</f>
        <v>9</v>
      </c>
      <c r="E46" s="42" t="str">
        <f>E$10</f>
        <v>C</v>
      </c>
      <c r="F46" s="40" t="str">
        <f t="shared" si="32"/>
        <v>9C</v>
      </c>
      <c r="G46" s="43">
        <v>1340</v>
      </c>
      <c r="H46" s="44">
        <v>2.7</v>
      </c>
      <c r="I46" s="43">
        <v>1240</v>
      </c>
      <c r="J46" s="44">
        <v>2.7</v>
      </c>
      <c r="K46" s="41">
        <f t="shared" ref="K46:P46" si="41">K$14</f>
        <v>0</v>
      </c>
      <c r="L46" s="60">
        <f t="shared" si="41"/>
        <v>0</v>
      </c>
      <c r="M46" s="41">
        <f t="shared" si="41"/>
        <v>0</v>
      </c>
      <c r="N46" s="60">
        <f t="shared" si="41"/>
        <v>0</v>
      </c>
      <c r="O46" s="41">
        <f t="shared" si="41"/>
        <v>170</v>
      </c>
      <c r="P46" s="60">
        <f t="shared" si="41"/>
        <v>2.6</v>
      </c>
      <c r="Q46" s="41">
        <f>Q44</f>
        <v>80</v>
      </c>
      <c r="R46" s="60">
        <f>R44</f>
        <v>6.2</v>
      </c>
      <c r="S46" s="41">
        <f t="shared" si="40"/>
        <v>80</v>
      </c>
      <c r="T46" s="60">
        <f t="shared" si="40"/>
        <v>3</v>
      </c>
      <c r="U46" s="41">
        <f t="shared" si="40"/>
        <v>90</v>
      </c>
      <c r="V46" s="60">
        <f t="shared" si="40"/>
        <v>2</v>
      </c>
      <c r="W46" s="142">
        <f t="shared" si="40"/>
        <v>0.01</v>
      </c>
      <c r="X46" s="142">
        <f t="shared" si="40"/>
        <v>0.03</v>
      </c>
      <c r="Y46" s="142">
        <f t="shared" si="40"/>
        <v>0.04</v>
      </c>
      <c r="Z46" s="142">
        <f t="shared" si="40"/>
        <v>0.06</v>
      </c>
    </row>
    <row r="47" spans="2:26" s="22" customFormat="1" ht="15.75" customHeight="1">
      <c r="B47" s="73"/>
      <c r="C47" s="62" t="str">
        <f>C$11</f>
        <v>乳児</v>
      </c>
      <c r="D47" s="50">
        <f>D44</f>
        <v>9</v>
      </c>
      <c r="E47" s="54" t="str">
        <f>E$11</f>
        <v>D</v>
      </c>
      <c r="F47" s="52" t="str">
        <f t="shared" si="32"/>
        <v>9D</v>
      </c>
      <c r="G47" s="46">
        <v>2230</v>
      </c>
      <c r="H47" s="47">
        <v>2.7</v>
      </c>
      <c r="I47" s="46">
        <v>2130</v>
      </c>
      <c r="J47" s="47">
        <v>2.7</v>
      </c>
      <c r="K47" s="53">
        <f t="shared" ref="K47:P47" si="42">K$15</f>
        <v>0</v>
      </c>
      <c r="L47" s="64">
        <f t="shared" si="42"/>
        <v>0</v>
      </c>
      <c r="M47" s="53">
        <f t="shared" si="42"/>
        <v>0</v>
      </c>
      <c r="N47" s="64">
        <f t="shared" si="42"/>
        <v>0</v>
      </c>
      <c r="O47" s="53">
        <f t="shared" si="42"/>
        <v>0</v>
      </c>
      <c r="P47" s="64">
        <f t="shared" si="42"/>
        <v>0</v>
      </c>
      <c r="Q47" s="53">
        <f>Q44</f>
        <v>80</v>
      </c>
      <c r="R47" s="64">
        <f>R44</f>
        <v>6.2</v>
      </c>
      <c r="S47" s="53">
        <f t="shared" si="40"/>
        <v>80</v>
      </c>
      <c r="T47" s="64">
        <f t="shared" si="40"/>
        <v>3</v>
      </c>
      <c r="U47" s="53">
        <f t="shared" si="40"/>
        <v>90</v>
      </c>
      <c r="V47" s="64">
        <f t="shared" si="40"/>
        <v>2</v>
      </c>
      <c r="W47" s="142">
        <f t="shared" si="40"/>
        <v>0.01</v>
      </c>
      <c r="X47" s="142">
        <f t="shared" si="40"/>
        <v>0.03</v>
      </c>
      <c r="Y47" s="142">
        <f t="shared" si="40"/>
        <v>0.04</v>
      </c>
      <c r="Z47" s="142">
        <f t="shared" si="40"/>
        <v>0.06</v>
      </c>
    </row>
    <row r="48" spans="2:26" s="22" customFormat="1" ht="15.75" customHeight="1">
      <c r="B48" s="68" t="s">
        <v>69</v>
      </c>
      <c r="C48" s="55" t="str">
        <f>C$8</f>
        <v>４歳以上児</v>
      </c>
      <c r="D48" s="30">
        <v>10</v>
      </c>
      <c r="E48" s="34" t="str">
        <f>E$8</f>
        <v>A</v>
      </c>
      <c r="F48" s="69" t="str">
        <f t="shared" si="32"/>
        <v>10A</v>
      </c>
      <c r="G48" s="70">
        <v>580</v>
      </c>
      <c r="H48" s="71">
        <v>2.8</v>
      </c>
      <c r="I48" s="70">
        <v>500</v>
      </c>
      <c r="J48" s="71">
        <v>2.7</v>
      </c>
      <c r="K48" s="33">
        <f t="shared" ref="K48:P48" si="43">K$12</f>
        <v>0</v>
      </c>
      <c r="L48" s="72">
        <f t="shared" si="43"/>
        <v>0</v>
      </c>
      <c r="M48" s="33">
        <f t="shared" si="43"/>
        <v>30</v>
      </c>
      <c r="N48" s="72">
        <f t="shared" si="43"/>
        <v>3.7</v>
      </c>
      <c r="O48" s="33">
        <f t="shared" si="43"/>
        <v>0</v>
      </c>
      <c r="P48" s="72">
        <f t="shared" si="43"/>
        <v>0</v>
      </c>
      <c r="Q48" s="36">
        <v>70</v>
      </c>
      <c r="R48" s="56">
        <v>6.1</v>
      </c>
      <c r="S48" s="36">
        <v>70</v>
      </c>
      <c r="T48" s="56">
        <v>2.9</v>
      </c>
      <c r="U48" s="36">
        <v>80</v>
      </c>
      <c r="V48" s="56">
        <v>2</v>
      </c>
      <c r="W48" s="143">
        <v>0.01</v>
      </c>
      <c r="X48" s="143">
        <v>0.03</v>
      </c>
      <c r="Y48" s="143">
        <v>0.04</v>
      </c>
      <c r="Z48" s="143">
        <v>0.06</v>
      </c>
    </row>
    <row r="49" spans="2:26" s="22" customFormat="1" ht="15.75" customHeight="1">
      <c r="B49" s="28"/>
      <c r="C49" s="58" t="str">
        <f>C$9</f>
        <v>３歳児</v>
      </c>
      <c r="D49" s="38">
        <f>D48</f>
        <v>10</v>
      </c>
      <c r="E49" s="42" t="str">
        <f>E$9</f>
        <v>B</v>
      </c>
      <c r="F49" s="40" t="str">
        <f t="shared" si="32"/>
        <v>10B</v>
      </c>
      <c r="G49" s="43">
        <v>660</v>
      </c>
      <c r="H49" s="44">
        <v>2.8</v>
      </c>
      <c r="I49" s="43">
        <v>580</v>
      </c>
      <c r="J49" s="44">
        <v>2.7</v>
      </c>
      <c r="K49" s="41">
        <f t="shared" ref="K49:P49" si="44">K$13</f>
        <v>80</v>
      </c>
      <c r="L49" s="60">
        <f t="shared" si="44"/>
        <v>2.8</v>
      </c>
      <c r="M49" s="41">
        <f t="shared" si="44"/>
        <v>0</v>
      </c>
      <c r="N49" s="60">
        <f t="shared" si="44"/>
        <v>0</v>
      </c>
      <c r="O49" s="41">
        <f t="shared" si="44"/>
        <v>0</v>
      </c>
      <c r="P49" s="60">
        <f t="shared" si="44"/>
        <v>0</v>
      </c>
      <c r="Q49" s="41">
        <f>Q48</f>
        <v>70</v>
      </c>
      <c r="R49" s="60">
        <f>R48</f>
        <v>6.1</v>
      </c>
      <c r="S49" s="41">
        <f t="shared" ref="S49:Z51" si="45">S$48</f>
        <v>70</v>
      </c>
      <c r="T49" s="60">
        <f t="shared" si="45"/>
        <v>2.9</v>
      </c>
      <c r="U49" s="41">
        <f t="shared" si="45"/>
        <v>80</v>
      </c>
      <c r="V49" s="60">
        <f t="shared" si="45"/>
        <v>2</v>
      </c>
      <c r="W49" s="142">
        <f t="shared" si="45"/>
        <v>0.01</v>
      </c>
      <c r="X49" s="142">
        <f t="shared" si="45"/>
        <v>0.03</v>
      </c>
      <c r="Y49" s="142">
        <f t="shared" si="45"/>
        <v>0.04</v>
      </c>
      <c r="Z49" s="142">
        <f t="shared" si="45"/>
        <v>0.06</v>
      </c>
    </row>
    <row r="50" spans="2:26" s="22" customFormat="1" ht="15.75" customHeight="1">
      <c r="B50" s="28"/>
      <c r="C50" s="58" t="str">
        <f>C$10</f>
        <v>１、２歳児</v>
      </c>
      <c r="D50" s="38">
        <f>D48</f>
        <v>10</v>
      </c>
      <c r="E50" s="42" t="str">
        <f>E$10</f>
        <v>C</v>
      </c>
      <c r="F50" s="40" t="str">
        <f t="shared" si="32"/>
        <v>10C</v>
      </c>
      <c r="G50" s="43">
        <v>1280</v>
      </c>
      <c r="H50" s="44">
        <v>2.7</v>
      </c>
      <c r="I50" s="43">
        <v>1190</v>
      </c>
      <c r="J50" s="44">
        <v>2.7</v>
      </c>
      <c r="K50" s="41">
        <f t="shared" ref="K50:P50" si="46">K$14</f>
        <v>0</v>
      </c>
      <c r="L50" s="60">
        <f t="shared" si="46"/>
        <v>0</v>
      </c>
      <c r="M50" s="41">
        <f t="shared" si="46"/>
        <v>0</v>
      </c>
      <c r="N50" s="60">
        <f t="shared" si="46"/>
        <v>0</v>
      </c>
      <c r="O50" s="41">
        <f t="shared" si="46"/>
        <v>170</v>
      </c>
      <c r="P50" s="60">
        <f t="shared" si="46"/>
        <v>2.6</v>
      </c>
      <c r="Q50" s="41">
        <f>Q48</f>
        <v>70</v>
      </c>
      <c r="R50" s="60">
        <f>R48</f>
        <v>6.1</v>
      </c>
      <c r="S50" s="41">
        <f t="shared" si="45"/>
        <v>70</v>
      </c>
      <c r="T50" s="60">
        <f t="shared" si="45"/>
        <v>2.9</v>
      </c>
      <c r="U50" s="41">
        <f t="shared" si="45"/>
        <v>80</v>
      </c>
      <c r="V50" s="60">
        <f t="shared" si="45"/>
        <v>2</v>
      </c>
      <c r="W50" s="142">
        <f t="shared" si="45"/>
        <v>0.01</v>
      </c>
      <c r="X50" s="142">
        <f t="shared" si="45"/>
        <v>0.03</v>
      </c>
      <c r="Y50" s="142">
        <f t="shared" si="45"/>
        <v>0.04</v>
      </c>
      <c r="Z50" s="142">
        <f t="shared" si="45"/>
        <v>0.06</v>
      </c>
    </row>
    <row r="51" spans="2:26" s="22" customFormat="1" ht="15.75" customHeight="1">
      <c r="B51" s="73"/>
      <c r="C51" s="62" t="str">
        <f>C$11</f>
        <v>乳児</v>
      </c>
      <c r="D51" s="50">
        <f>D48</f>
        <v>10</v>
      </c>
      <c r="E51" s="54" t="str">
        <f>E$11</f>
        <v>D</v>
      </c>
      <c r="F51" s="52" t="str">
        <f t="shared" si="32"/>
        <v>10D</v>
      </c>
      <c r="G51" s="46">
        <v>2170</v>
      </c>
      <c r="H51" s="47">
        <v>2.7</v>
      </c>
      <c r="I51" s="46">
        <v>2080</v>
      </c>
      <c r="J51" s="47">
        <v>2.7</v>
      </c>
      <c r="K51" s="53">
        <f t="shared" ref="K51:P51" si="47">K$15</f>
        <v>0</v>
      </c>
      <c r="L51" s="64">
        <f t="shared" si="47"/>
        <v>0</v>
      </c>
      <c r="M51" s="53">
        <f t="shared" si="47"/>
        <v>0</v>
      </c>
      <c r="N51" s="64">
        <f t="shared" si="47"/>
        <v>0</v>
      </c>
      <c r="O51" s="53">
        <f t="shared" si="47"/>
        <v>0</v>
      </c>
      <c r="P51" s="64">
        <f t="shared" si="47"/>
        <v>0</v>
      </c>
      <c r="Q51" s="53">
        <f>Q48</f>
        <v>70</v>
      </c>
      <c r="R51" s="64">
        <f>R48</f>
        <v>6.1</v>
      </c>
      <c r="S51" s="53">
        <f t="shared" si="45"/>
        <v>70</v>
      </c>
      <c r="T51" s="64">
        <f t="shared" si="45"/>
        <v>2.9</v>
      </c>
      <c r="U51" s="53">
        <f t="shared" si="45"/>
        <v>80</v>
      </c>
      <c r="V51" s="64">
        <f t="shared" si="45"/>
        <v>2</v>
      </c>
      <c r="W51" s="142">
        <f t="shared" si="45"/>
        <v>0.01</v>
      </c>
      <c r="X51" s="142">
        <f t="shared" si="45"/>
        <v>0.03</v>
      </c>
      <c r="Y51" s="142">
        <f t="shared" si="45"/>
        <v>0.04</v>
      </c>
      <c r="Z51" s="142">
        <f t="shared" si="45"/>
        <v>0.06</v>
      </c>
    </row>
    <row r="52" spans="2:26" s="22" customFormat="1" ht="15.75" customHeight="1">
      <c r="B52" s="68" t="s">
        <v>70</v>
      </c>
      <c r="C52" s="55" t="str">
        <f>C$8</f>
        <v>４歳以上児</v>
      </c>
      <c r="D52" s="30">
        <v>11</v>
      </c>
      <c r="E52" s="34" t="str">
        <f>E$8</f>
        <v>A</v>
      </c>
      <c r="F52" s="69" t="str">
        <f t="shared" si="32"/>
        <v>11A</v>
      </c>
      <c r="G52" s="70">
        <v>530</v>
      </c>
      <c r="H52" s="71">
        <v>2.8</v>
      </c>
      <c r="I52" s="70">
        <v>460</v>
      </c>
      <c r="J52" s="71">
        <v>2.7</v>
      </c>
      <c r="K52" s="33">
        <f t="shared" ref="K52:P52" si="48">K$12</f>
        <v>0</v>
      </c>
      <c r="L52" s="72">
        <f t="shared" si="48"/>
        <v>0</v>
      </c>
      <c r="M52" s="33">
        <f t="shared" si="48"/>
        <v>30</v>
      </c>
      <c r="N52" s="72">
        <f t="shared" si="48"/>
        <v>3.7</v>
      </c>
      <c r="O52" s="33">
        <f t="shared" si="48"/>
        <v>0</v>
      </c>
      <c r="P52" s="72">
        <f t="shared" si="48"/>
        <v>0</v>
      </c>
      <c r="Q52" s="36">
        <v>60</v>
      </c>
      <c r="R52" s="56">
        <v>6.2</v>
      </c>
      <c r="S52" s="36">
        <v>60</v>
      </c>
      <c r="T52" s="56">
        <v>3</v>
      </c>
      <c r="U52" s="36">
        <v>70</v>
      </c>
      <c r="V52" s="56">
        <v>2</v>
      </c>
      <c r="W52" s="143">
        <v>0.01</v>
      </c>
      <c r="X52" s="143">
        <v>0.03</v>
      </c>
      <c r="Y52" s="143">
        <v>0.04</v>
      </c>
      <c r="Z52" s="143">
        <v>0.06</v>
      </c>
    </row>
    <row r="53" spans="2:26" s="22" customFormat="1" ht="15.75" customHeight="1">
      <c r="B53" s="28"/>
      <c r="C53" s="58" t="str">
        <f>C$9</f>
        <v>３歳児</v>
      </c>
      <c r="D53" s="38">
        <f>D52</f>
        <v>11</v>
      </c>
      <c r="E53" s="42" t="str">
        <f>E$9</f>
        <v>B</v>
      </c>
      <c r="F53" s="40" t="str">
        <f t="shared" si="32"/>
        <v>11B</v>
      </c>
      <c r="G53" s="43">
        <v>610</v>
      </c>
      <c r="H53" s="44">
        <v>2.8</v>
      </c>
      <c r="I53" s="43">
        <v>540</v>
      </c>
      <c r="J53" s="44">
        <v>2.7</v>
      </c>
      <c r="K53" s="41">
        <f t="shared" ref="K53:P53" si="49">K$13</f>
        <v>80</v>
      </c>
      <c r="L53" s="60">
        <f t="shared" si="49"/>
        <v>2.8</v>
      </c>
      <c r="M53" s="41">
        <f t="shared" si="49"/>
        <v>0</v>
      </c>
      <c r="N53" s="60">
        <f t="shared" si="49"/>
        <v>0</v>
      </c>
      <c r="O53" s="41">
        <f t="shared" si="49"/>
        <v>0</v>
      </c>
      <c r="P53" s="60">
        <f t="shared" si="49"/>
        <v>0</v>
      </c>
      <c r="Q53" s="41">
        <f>Q52</f>
        <v>60</v>
      </c>
      <c r="R53" s="60">
        <f>R52</f>
        <v>6.2</v>
      </c>
      <c r="S53" s="41">
        <f t="shared" ref="S53:Z55" si="50">S$52</f>
        <v>60</v>
      </c>
      <c r="T53" s="60">
        <f t="shared" si="50"/>
        <v>3</v>
      </c>
      <c r="U53" s="41">
        <f t="shared" si="50"/>
        <v>70</v>
      </c>
      <c r="V53" s="60">
        <f t="shared" si="50"/>
        <v>2</v>
      </c>
      <c r="W53" s="142">
        <f t="shared" si="50"/>
        <v>0.01</v>
      </c>
      <c r="X53" s="142">
        <f t="shared" si="50"/>
        <v>0.03</v>
      </c>
      <c r="Y53" s="142">
        <f t="shared" si="50"/>
        <v>0.04</v>
      </c>
      <c r="Z53" s="142">
        <f t="shared" si="50"/>
        <v>0.06</v>
      </c>
    </row>
    <row r="54" spans="2:26" s="22" customFormat="1" ht="15.75" customHeight="1">
      <c r="B54" s="28"/>
      <c r="C54" s="58" t="str">
        <f>C$10</f>
        <v>１、２歳児</v>
      </c>
      <c r="D54" s="38">
        <f>D52</f>
        <v>11</v>
      </c>
      <c r="E54" s="42" t="str">
        <f>E$10</f>
        <v>C</v>
      </c>
      <c r="F54" s="40" t="str">
        <f t="shared" si="32"/>
        <v>11C</v>
      </c>
      <c r="G54" s="43">
        <v>1230</v>
      </c>
      <c r="H54" s="44">
        <v>2.7</v>
      </c>
      <c r="I54" s="43">
        <v>1150</v>
      </c>
      <c r="J54" s="44">
        <v>2.7</v>
      </c>
      <c r="K54" s="41">
        <f t="shared" ref="K54:P54" si="51">K$14</f>
        <v>0</v>
      </c>
      <c r="L54" s="60">
        <f t="shared" si="51"/>
        <v>0</v>
      </c>
      <c r="M54" s="41">
        <f t="shared" si="51"/>
        <v>0</v>
      </c>
      <c r="N54" s="60">
        <f t="shared" si="51"/>
        <v>0</v>
      </c>
      <c r="O54" s="41">
        <f t="shared" si="51"/>
        <v>170</v>
      </c>
      <c r="P54" s="60">
        <f t="shared" si="51"/>
        <v>2.6</v>
      </c>
      <c r="Q54" s="41">
        <f>Q52</f>
        <v>60</v>
      </c>
      <c r="R54" s="60">
        <f>R52</f>
        <v>6.2</v>
      </c>
      <c r="S54" s="41">
        <f t="shared" si="50"/>
        <v>60</v>
      </c>
      <c r="T54" s="60">
        <f t="shared" si="50"/>
        <v>3</v>
      </c>
      <c r="U54" s="41">
        <f t="shared" si="50"/>
        <v>70</v>
      </c>
      <c r="V54" s="60">
        <f t="shared" si="50"/>
        <v>2</v>
      </c>
      <c r="W54" s="142">
        <f t="shared" si="50"/>
        <v>0.01</v>
      </c>
      <c r="X54" s="142">
        <f t="shared" si="50"/>
        <v>0.03</v>
      </c>
      <c r="Y54" s="142">
        <f t="shared" si="50"/>
        <v>0.04</v>
      </c>
      <c r="Z54" s="142">
        <f t="shared" si="50"/>
        <v>0.06</v>
      </c>
    </row>
    <row r="55" spans="2:26" s="22" customFormat="1" ht="15.75" customHeight="1">
      <c r="B55" s="73"/>
      <c r="C55" s="62" t="str">
        <f>C$11</f>
        <v>乳児</v>
      </c>
      <c r="D55" s="50">
        <f>D52</f>
        <v>11</v>
      </c>
      <c r="E55" s="54" t="str">
        <f>E$11</f>
        <v>D</v>
      </c>
      <c r="F55" s="52" t="str">
        <f t="shared" si="32"/>
        <v>11D</v>
      </c>
      <c r="G55" s="46">
        <v>2120</v>
      </c>
      <c r="H55" s="47">
        <v>2.7</v>
      </c>
      <c r="I55" s="46">
        <v>2040</v>
      </c>
      <c r="J55" s="47">
        <v>2.7</v>
      </c>
      <c r="K55" s="53">
        <f t="shared" ref="K55:P55" si="52">K$15</f>
        <v>0</v>
      </c>
      <c r="L55" s="64">
        <f t="shared" si="52"/>
        <v>0</v>
      </c>
      <c r="M55" s="53">
        <f t="shared" si="52"/>
        <v>0</v>
      </c>
      <c r="N55" s="64">
        <f t="shared" si="52"/>
        <v>0</v>
      </c>
      <c r="O55" s="53">
        <f t="shared" si="52"/>
        <v>0</v>
      </c>
      <c r="P55" s="64">
        <f t="shared" si="52"/>
        <v>0</v>
      </c>
      <c r="Q55" s="53">
        <f>Q52</f>
        <v>60</v>
      </c>
      <c r="R55" s="64">
        <f>R52</f>
        <v>6.2</v>
      </c>
      <c r="S55" s="53">
        <f t="shared" si="50"/>
        <v>60</v>
      </c>
      <c r="T55" s="64">
        <f t="shared" si="50"/>
        <v>3</v>
      </c>
      <c r="U55" s="53">
        <f t="shared" si="50"/>
        <v>70</v>
      </c>
      <c r="V55" s="64">
        <f t="shared" si="50"/>
        <v>2</v>
      </c>
      <c r="W55" s="142">
        <f t="shared" si="50"/>
        <v>0.01</v>
      </c>
      <c r="X55" s="142">
        <f t="shared" si="50"/>
        <v>0.03</v>
      </c>
      <c r="Y55" s="142">
        <f t="shared" si="50"/>
        <v>0.04</v>
      </c>
      <c r="Z55" s="142">
        <f t="shared" si="50"/>
        <v>0.06</v>
      </c>
    </row>
    <row r="56" spans="2:26" s="22" customFormat="1" ht="15.75" customHeight="1">
      <c r="B56" s="68" t="s">
        <v>71</v>
      </c>
      <c r="C56" s="55" t="str">
        <f>C$8</f>
        <v>４歳以上児</v>
      </c>
      <c r="D56" s="30">
        <v>12</v>
      </c>
      <c r="E56" s="34" t="str">
        <f>E$8</f>
        <v>A</v>
      </c>
      <c r="F56" s="69" t="str">
        <f t="shared" si="32"/>
        <v>12A</v>
      </c>
      <c r="G56" s="70">
        <v>490</v>
      </c>
      <c r="H56" s="71">
        <v>2.8</v>
      </c>
      <c r="I56" s="70">
        <v>430</v>
      </c>
      <c r="J56" s="71">
        <v>2.7</v>
      </c>
      <c r="K56" s="33">
        <f t="shared" ref="K56:P56" si="53">K$12</f>
        <v>0</v>
      </c>
      <c r="L56" s="72">
        <f t="shared" si="53"/>
        <v>0</v>
      </c>
      <c r="M56" s="33">
        <f t="shared" si="53"/>
        <v>30</v>
      </c>
      <c r="N56" s="72">
        <f t="shared" si="53"/>
        <v>3.7</v>
      </c>
      <c r="O56" s="33">
        <f t="shared" si="53"/>
        <v>0</v>
      </c>
      <c r="P56" s="72">
        <f t="shared" si="53"/>
        <v>0</v>
      </c>
      <c r="Q56" s="36">
        <v>50</v>
      </c>
      <c r="R56" s="56">
        <v>6.6</v>
      </c>
      <c r="S56" s="36">
        <v>50</v>
      </c>
      <c r="T56" s="56">
        <v>3.2</v>
      </c>
      <c r="U56" s="36">
        <v>60</v>
      </c>
      <c r="V56" s="56">
        <v>2</v>
      </c>
      <c r="W56" s="143">
        <v>0.01</v>
      </c>
      <c r="X56" s="143">
        <v>0.03</v>
      </c>
      <c r="Y56" s="143">
        <v>0.04</v>
      </c>
      <c r="Z56" s="143">
        <v>0.06</v>
      </c>
    </row>
    <row r="57" spans="2:26" s="22" customFormat="1" ht="15.75" customHeight="1">
      <c r="B57" s="28"/>
      <c r="C57" s="58" t="str">
        <f>C$9</f>
        <v>３歳児</v>
      </c>
      <c r="D57" s="38">
        <f>D56</f>
        <v>12</v>
      </c>
      <c r="E57" s="42" t="str">
        <f>E$9</f>
        <v>B</v>
      </c>
      <c r="F57" s="40" t="str">
        <f t="shared" si="32"/>
        <v>12B</v>
      </c>
      <c r="G57" s="43">
        <v>570</v>
      </c>
      <c r="H57" s="44">
        <v>2.8</v>
      </c>
      <c r="I57" s="43">
        <v>510</v>
      </c>
      <c r="J57" s="44">
        <v>2.7</v>
      </c>
      <c r="K57" s="41">
        <f t="shared" ref="K57:P57" si="54">K$13</f>
        <v>80</v>
      </c>
      <c r="L57" s="60">
        <f t="shared" si="54"/>
        <v>2.8</v>
      </c>
      <c r="M57" s="41">
        <f t="shared" si="54"/>
        <v>0</v>
      </c>
      <c r="N57" s="60">
        <f t="shared" si="54"/>
        <v>0</v>
      </c>
      <c r="O57" s="41">
        <f t="shared" si="54"/>
        <v>0</v>
      </c>
      <c r="P57" s="60">
        <f t="shared" si="54"/>
        <v>0</v>
      </c>
      <c r="Q57" s="41">
        <f>Q56</f>
        <v>50</v>
      </c>
      <c r="R57" s="60">
        <f>R56</f>
        <v>6.6</v>
      </c>
      <c r="S57" s="41">
        <f t="shared" ref="S57:Z59" si="55">S$56</f>
        <v>50</v>
      </c>
      <c r="T57" s="60">
        <f t="shared" si="55"/>
        <v>3.2</v>
      </c>
      <c r="U57" s="41">
        <f t="shared" si="55"/>
        <v>60</v>
      </c>
      <c r="V57" s="60">
        <f t="shared" si="55"/>
        <v>2</v>
      </c>
      <c r="W57" s="142">
        <f t="shared" si="55"/>
        <v>0.01</v>
      </c>
      <c r="X57" s="142">
        <f t="shared" si="55"/>
        <v>0.03</v>
      </c>
      <c r="Y57" s="142">
        <f t="shared" si="55"/>
        <v>0.04</v>
      </c>
      <c r="Z57" s="142">
        <f t="shared" si="55"/>
        <v>0.06</v>
      </c>
    </row>
    <row r="58" spans="2:26" s="22" customFormat="1" ht="15.75" customHeight="1">
      <c r="B58" s="28"/>
      <c r="C58" s="58" t="str">
        <f>C$10</f>
        <v>１、２歳児</v>
      </c>
      <c r="D58" s="38">
        <f>D56</f>
        <v>12</v>
      </c>
      <c r="E58" s="42" t="str">
        <f>E$10</f>
        <v>C</v>
      </c>
      <c r="F58" s="40" t="str">
        <f t="shared" si="32"/>
        <v>12C</v>
      </c>
      <c r="G58" s="43">
        <v>1190</v>
      </c>
      <c r="H58" s="44">
        <v>2.7</v>
      </c>
      <c r="I58" s="43">
        <v>1120</v>
      </c>
      <c r="J58" s="44">
        <v>2.7</v>
      </c>
      <c r="K58" s="41">
        <f t="shared" ref="K58:P58" si="56">K$14</f>
        <v>0</v>
      </c>
      <c r="L58" s="60">
        <f t="shared" si="56"/>
        <v>0</v>
      </c>
      <c r="M58" s="41">
        <f t="shared" si="56"/>
        <v>0</v>
      </c>
      <c r="N58" s="60">
        <f t="shared" si="56"/>
        <v>0</v>
      </c>
      <c r="O58" s="41">
        <f t="shared" si="56"/>
        <v>170</v>
      </c>
      <c r="P58" s="60">
        <f t="shared" si="56"/>
        <v>2.6</v>
      </c>
      <c r="Q58" s="41">
        <f>Q56</f>
        <v>50</v>
      </c>
      <c r="R58" s="60">
        <f>R56</f>
        <v>6.6</v>
      </c>
      <c r="S58" s="41">
        <f t="shared" si="55"/>
        <v>50</v>
      </c>
      <c r="T58" s="60">
        <f t="shared" si="55"/>
        <v>3.2</v>
      </c>
      <c r="U58" s="41">
        <f t="shared" si="55"/>
        <v>60</v>
      </c>
      <c r="V58" s="60">
        <f t="shared" si="55"/>
        <v>2</v>
      </c>
      <c r="W58" s="142">
        <f t="shared" si="55"/>
        <v>0.01</v>
      </c>
      <c r="X58" s="142">
        <f t="shared" si="55"/>
        <v>0.03</v>
      </c>
      <c r="Y58" s="142">
        <f t="shared" si="55"/>
        <v>0.04</v>
      </c>
      <c r="Z58" s="142">
        <f t="shared" si="55"/>
        <v>0.06</v>
      </c>
    </row>
    <row r="59" spans="2:26" s="22" customFormat="1" ht="15.75" customHeight="1">
      <c r="B59" s="73"/>
      <c r="C59" s="62" t="str">
        <f>C$11</f>
        <v>乳児</v>
      </c>
      <c r="D59" s="50">
        <f>D56</f>
        <v>12</v>
      </c>
      <c r="E59" s="54" t="str">
        <f>E$11</f>
        <v>D</v>
      </c>
      <c r="F59" s="52" t="str">
        <f t="shared" si="32"/>
        <v>12D</v>
      </c>
      <c r="G59" s="46">
        <v>2080</v>
      </c>
      <c r="H59" s="47">
        <v>2.7</v>
      </c>
      <c r="I59" s="46">
        <v>2010</v>
      </c>
      <c r="J59" s="47">
        <v>2.7</v>
      </c>
      <c r="K59" s="53">
        <f t="shared" ref="K59:P59" si="57">K$15</f>
        <v>0</v>
      </c>
      <c r="L59" s="64">
        <f t="shared" si="57"/>
        <v>0</v>
      </c>
      <c r="M59" s="53">
        <f t="shared" si="57"/>
        <v>0</v>
      </c>
      <c r="N59" s="64">
        <f t="shared" si="57"/>
        <v>0</v>
      </c>
      <c r="O59" s="53">
        <f t="shared" si="57"/>
        <v>0</v>
      </c>
      <c r="P59" s="64">
        <f t="shared" si="57"/>
        <v>0</v>
      </c>
      <c r="Q59" s="53">
        <f>Q56</f>
        <v>50</v>
      </c>
      <c r="R59" s="64">
        <f>R56</f>
        <v>6.6</v>
      </c>
      <c r="S59" s="53">
        <f t="shared" si="55"/>
        <v>50</v>
      </c>
      <c r="T59" s="64">
        <f t="shared" si="55"/>
        <v>3.2</v>
      </c>
      <c r="U59" s="53">
        <f t="shared" si="55"/>
        <v>60</v>
      </c>
      <c r="V59" s="64">
        <f t="shared" si="55"/>
        <v>2</v>
      </c>
      <c r="W59" s="142">
        <f t="shared" si="55"/>
        <v>0.01</v>
      </c>
      <c r="X59" s="142">
        <f t="shared" si="55"/>
        <v>0.03</v>
      </c>
      <c r="Y59" s="142">
        <f t="shared" si="55"/>
        <v>0.04</v>
      </c>
      <c r="Z59" s="142">
        <f t="shared" si="55"/>
        <v>0.06</v>
      </c>
    </row>
    <row r="60" spans="2:26" s="22" customFormat="1" ht="15.75" customHeight="1">
      <c r="B60" s="68" t="s">
        <v>72</v>
      </c>
      <c r="C60" s="55" t="str">
        <f>C$8</f>
        <v>４歳以上児</v>
      </c>
      <c r="D60" s="30">
        <v>13</v>
      </c>
      <c r="E60" s="34" t="str">
        <f>E$8</f>
        <v>A</v>
      </c>
      <c r="F60" s="69" t="str">
        <f t="shared" si="32"/>
        <v>13A</v>
      </c>
      <c r="G60" s="70">
        <v>420</v>
      </c>
      <c r="H60" s="71">
        <v>2.9</v>
      </c>
      <c r="I60" s="70">
        <v>360</v>
      </c>
      <c r="J60" s="71">
        <v>2.9</v>
      </c>
      <c r="K60" s="33">
        <f t="shared" ref="K60:P60" si="58">K$12</f>
        <v>0</v>
      </c>
      <c r="L60" s="72">
        <f t="shared" si="58"/>
        <v>0</v>
      </c>
      <c r="M60" s="33">
        <f t="shared" si="58"/>
        <v>30</v>
      </c>
      <c r="N60" s="72">
        <f t="shared" si="58"/>
        <v>3.7</v>
      </c>
      <c r="O60" s="33">
        <f t="shared" si="58"/>
        <v>0</v>
      </c>
      <c r="P60" s="72">
        <f t="shared" si="58"/>
        <v>0</v>
      </c>
      <c r="Q60" s="35"/>
      <c r="R60" s="35"/>
      <c r="S60" s="36">
        <v>50</v>
      </c>
      <c r="T60" s="56">
        <v>2.9</v>
      </c>
      <c r="U60" s="36">
        <v>50</v>
      </c>
      <c r="V60" s="56">
        <v>2.2000000000000002</v>
      </c>
      <c r="W60" s="143">
        <v>0.01</v>
      </c>
      <c r="X60" s="143">
        <v>0.03</v>
      </c>
      <c r="Y60" s="143">
        <v>0.04</v>
      </c>
      <c r="Z60" s="143">
        <v>0.06</v>
      </c>
    </row>
    <row r="61" spans="2:26" s="22" customFormat="1" ht="15.75" customHeight="1">
      <c r="B61" s="28"/>
      <c r="C61" s="58" t="str">
        <f>C$9</f>
        <v>３歳児</v>
      </c>
      <c r="D61" s="38">
        <f>D60</f>
        <v>13</v>
      </c>
      <c r="E61" s="42" t="str">
        <f>E$9</f>
        <v>B</v>
      </c>
      <c r="F61" s="40" t="str">
        <f t="shared" si="32"/>
        <v>13B</v>
      </c>
      <c r="G61" s="43">
        <v>500</v>
      </c>
      <c r="H61" s="44">
        <v>2.9</v>
      </c>
      <c r="I61" s="43">
        <v>440</v>
      </c>
      <c r="J61" s="44">
        <v>2.9</v>
      </c>
      <c r="K61" s="41">
        <f t="shared" ref="K61:P61" si="59">K$13</f>
        <v>80</v>
      </c>
      <c r="L61" s="60">
        <f t="shared" si="59"/>
        <v>2.8</v>
      </c>
      <c r="M61" s="41">
        <f t="shared" si="59"/>
        <v>0</v>
      </c>
      <c r="N61" s="60">
        <f t="shared" si="59"/>
        <v>0</v>
      </c>
      <c r="O61" s="41">
        <f t="shared" si="59"/>
        <v>0</v>
      </c>
      <c r="P61" s="60">
        <f t="shared" si="59"/>
        <v>0</v>
      </c>
      <c r="Q61" s="74"/>
      <c r="R61" s="74"/>
      <c r="S61" s="41">
        <f t="shared" ref="S61:Z63" si="60">S$60</f>
        <v>50</v>
      </c>
      <c r="T61" s="60">
        <f t="shared" si="60"/>
        <v>2.9</v>
      </c>
      <c r="U61" s="41">
        <f t="shared" si="60"/>
        <v>50</v>
      </c>
      <c r="V61" s="60">
        <f t="shared" si="60"/>
        <v>2.2000000000000002</v>
      </c>
      <c r="W61" s="142">
        <f t="shared" si="60"/>
        <v>0.01</v>
      </c>
      <c r="X61" s="142">
        <f t="shared" si="60"/>
        <v>0.03</v>
      </c>
      <c r="Y61" s="142">
        <f t="shared" si="60"/>
        <v>0.04</v>
      </c>
      <c r="Z61" s="142">
        <f t="shared" si="60"/>
        <v>0.06</v>
      </c>
    </row>
    <row r="62" spans="2:26" s="22" customFormat="1" ht="15.75" customHeight="1">
      <c r="B62" s="28"/>
      <c r="C62" s="58" t="str">
        <f>C$10</f>
        <v>１、２歳児</v>
      </c>
      <c r="D62" s="38">
        <f>D60</f>
        <v>13</v>
      </c>
      <c r="E62" s="42" t="str">
        <f>E$10</f>
        <v>C</v>
      </c>
      <c r="F62" s="40" t="str">
        <f t="shared" si="32"/>
        <v>13C</v>
      </c>
      <c r="G62" s="43">
        <v>1120</v>
      </c>
      <c r="H62" s="44">
        <v>2.8</v>
      </c>
      <c r="I62" s="43">
        <v>1060</v>
      </c>
      <c r="J62" s="44">
        <v>2.8</v>
      </c>
      <c r="K62" s="41">
        <f t="shared" ref="K62:P62" si="61">K$14</f>
        <v>0</v>
      </c>
      <c r="L62" s="60">
        <f t="shared" si="61"/>
        <v>0</v>
      </c>
      <c r="M62" s="41">
        <f t="shared" si="61"/>
        <v>0</v>
      </c>
      <c r="N62" s="60">
        <f t="shared" si="61"/>
        <v>0</v>
      </c>
      <c r="O62" s="41">
        <f t="shared" si="61"/>
        <v>170</v>
      </c>
      <c r="P62" s="60">
        <f t="shared" si="61"/>
        <v>2.6</v>
      </c>
      <c r="Q62" s="74"/>
      <c r="R62" s="74"/>
      <c r="S62" s="41">
        <f t="shared" si="60"/>
        <v>50</v>
      </c>
      <c r="T62" s="60">
        <f t="shared" si="60"/>
        <v>2.9</v>
      </c>
      <c r="U62" s="41">
        <f t="shared" si="60"/>
        <v>50</v>
      </c>
      <c r="V62" s="60">
        <f t="shared" si="60"/>
        <v>2.2000000000000002</v>
      </c>
      <c r="W62" s="142">
        <f t="shared" si="60"/>
        <v>0.01</v>
      </c>
      <c r="X62" s="142">
        <f t="shared" si="60"/>
        <v>0.03</v>
      </c>
      <c r="Y62" s="142">
        <f t="shared" si="60"/>
        <v>0.04</v>
      </c>
      <c r="Z62" s="142">
        <f t="shared" si="60"/>
        <v>0.06</v>
      </c>
    </row>
    <row r="63" spans="2:26" s="22" customFormat="1" ht="15.75" customHeight="1">
      <c r="B63" s="73"/>
      <c r="C63" s="62" t="str">
        <f>C$11</f>
        <v>乳児</v>
      </c>
      <c r="D63" s="50">
        <f>D60</f>
        <v>13</v>
      </c>
      <c r="E63" s="54" t="str">
        <f>E$11</f>
        <v>D</v>
      </c>
      <c r="F63" s="52" t="str">
        <f t="shared" si="32"/>
        <v>13D</v>
      </c>
      <c r="G63" s="46">
        <v>2010</v>
      </c>
      <c r="H63" s="47">
        <v>2.8</v>
      </c>
      <c r="I63" s="46">
        <v>1950</v>
      </c>
      <c r="J63" s="47">
        <v>2.7</v>
      </c>
      <c r="K63" s="53">
        <f t="shared" ref="K63:P63" si="62">K$15</f>
        <v>0</v>
      </c>
      <c r="L63" s="64">
        <f t="shared" si="62"/>
        <v>0</v>
      </c>
      <c r="M63" s="53">
        <f t="shared" si="62"/>
        <v>0</v>
      </c>
      <c r="N63" s="64">
        <f t="shared" si="62"/>
        <v>0</v>
      </c>
      <c r="O63" s="53">
        <f t="shared" si="62"/>
        <v>0</v>
      </c>
      <c r="P63" s="64">
        <f t="shared" si="62"/>
        <v>0</v>
      </c>
      <c r="Q63" s="75"/>
      <c r="R63" s="75"/>
      <c r="S63" s="53">
        <f t="shared" si="60"/>
        <v>50</v>
      </c>
      <c r="T63" s="64">
        <f t="shared" si="60"/>
        <v>2.9</v>
      </c>
      <c r="U63" s="53">
        <f t="shared" si="60"/>
        <v>50</v>
      </c>
      <c r="V63" s="64">
        <f t="shared" si="60"/>
        <v>2.2000000000000002</v>
      </c>
      <c r="W63" s="142">
        <f t="shared" si="60"/>
        <v>0.01</v>
      </c>
      <c r="X63" s="142">
        <f t="shared" si="60"/>
        <v>0.03</v>
      </c>
      <c r="Y63" s="142">
        <f t="shared" si="60"/>
        <v>0.04</v>
      </c>
      <c r="Z63" s="142">
        <f t="shared" si="60"/>
        <v>0.06</v>
      </c>
    </row>
    <row r="64" spans="2:26" s="22" customFormat="1" ht="15.75" customHeight="1">
      <c r="B64" s="68" t="s">
        <v>73</v>
      </c>
      <c r="C64" s="55" t="str">
        <f>C$8</f>
        <v>４歳以上児</v>
      </c>
      <c r="D64" s="30">
        <v>14</v>
      </c>
      <c r="E64" s="34" t="str">
        <f>E$8</f>
        <v>A</v>
      </c>
      <c r="F64" s="69" t="str">
        <f t="shared" si="32"/>
        <v>14A</v>
      </c>
      <c r="G64" s="70">
        <v>400</v>
      </c>
      <c r="H64" s="71">
        <v>2.9</v>
      </c>
      <c r="I64" s="70">
        <v>350</v>
      </c>
      <c r="J64" s="71">
        <v>2.8</v>
      </c>
      <c r="K64" s="33">
        <f t="shared" ref="K64:P64" si="63">K$12</f>
        <v>0</v>
      </c>
      <c r="L64" s="72">
        <f t="shared" si="63"/>
        <v>0</v>
      </c>
      <c r="M64" s="33">
        <f t="shared" si="63"/>
        <v>30</v>
      </c>
      <c r="N64" s="72">
        <f t="shared" si="63"/>
        <v>3.7</v>
      </c>
      <c r="O64" s="33">
        <f t="shared" si="63"/>
        <v>0</v>
      </c>
      <c r="P64" s="72">
        <f t="shared" si="63"/>
        <v>0</v>
      </c>
      <c r="Q64" s="35"/>
      <c r="R64" s="35"/>
      <c r="S64" s="36">
        <v>40</v>
      </c>
      <c r="T64" s="56">
        <v>3.3</v>
      </c>
      <c r="U64" s="36">
        <v>50</v>
      </c>
      <c r="V64" s="56">
        <v>2</v>
      </c>
      <c r="W64" s="143">
        <v>0.01</v>
      </c>
      <c r="X64" s="143">
        <v>0.03</v>
      </c>
      <c r="Y64" s="143">
        <v>0.04</v>
      </c>
      <c r="Z64" s="143">
        <v>0.06</v>
      </c>
    </row>
    <row r="65" spans="2:35" s="22" customFormat="1" ht="15.75" customHeight="1">
      <c r="B65" s="28"/>
      <c r="C65" s="58" t="str">
        <f>C$9</f>
        <v>３歳児</v>
      </c>
      <c r="D65" s="38">
        <f>D64</f>
        <v>14</v>
      </c>
      <c r="E65" s="42" t="str">
        <f>E$9</f>
        <v>B</v>
      </c>
      <c r="F65" s="40" t="str">
        <f t="shared" si="32"/>
        <v>14B</v>
      </c>
      <c r="G65" s="43">
        <v>480</v>
      </c>
      <c r="H65" s="44">
        <v>2.9</v>
      </c>
      <c r="I65" s="43">
        <v>430</v>
      </c>
      <c r="J65" s="44">
        <v>2.8</v>
      </c>
      <c r="K65" s="41">
        <f t="shared" ref="K65:P65" si="64">K$13</f>
        <v>80</v>
      </c>
      <c r="L65" s="60">
        <f t="shared" si="64"/>
        <v>2.8</v>
      </c>
      <c r="M65" s="41">
        <f t="shared" si="64"/>
        <v>0</v>
      </c>
      <c r="N65" s="60">
        <f t="shared" si="64"/>
        <v>0</v>
      </c>
      <c r="O65" s="41">
        <f t="shared" si="64"/>
        <v>0</v>
      </c>
      <c r="P65" s="60">
        <f t="shared" si="64"/>
        <v>0</v>
      </c>
      <c r="Q65" s="74"/>
      <c r="R65" s="74"/>
      <c r="S65" s="41">
        <f t="shared" ref="S65:Z67" si="65">S$64</f>
        <v>40</v>
      </c>
      <c r="T65" s="60">
        <f t="shared" si="65"/>
        <v>3.3</v>
      </c>
      <c r="U65" s="41">
        <f t="shared" si="65"/>
        <v>50</v>
      </c>
      <c r="V65" s="60">
        <f t="shared" si="65"/>
        <v>2</v>
      </c>
      <c r="W65" s="142">
        <f t="shared" si="65"/>
        <v>0.01</v>
      </c>
      <c r="X65" s="142">
        <f t="shared" si="65"/>
        <v>0.03</v>
      </c>
      <c r="Y65" s="142">
        <f t="shared" si="65"/>
        <v>0.04</v>
      </c>
      <c r="Z65" s="142">
        <f t="shared" si="65"/>
        <v>0.06</v>
      </c>
    </row>
    <row r="66" spans="2:35" s="22" customFormat="1" ht="15.75" customHeight="1">
      <c r="B66" s="28"/>
      <c r="C66" s="58" t="str">
        <f>C$10</f>
        <v>１、２歳児</v>
      </c>
      <c r="D66" s="38">
        <f>D64</f>
        <v>14</v>
      </c>
      <c r="E66" s="42" t="str">
        <f>E$10</f>
        <v>C</v>
      </c>
      <c r="F66" s="40" t="str">
        <f t="shared" si="32"/>
        <v>14C</v>
      </c>
      <c r="G66" s="43">
        <v>1090</v>
      </c>
      <c r="H66" s="44">
        <v>2.8</v>
      </c>
      <c r="I66" s="43">
        <v>1040</v>
      </c>
      <c r="J66" s="44">
        <v>2.8</v>
      </c>
      <c r="K66" s="41">
        <f t="shared" ref="K66:P66" si="66">K$14</f>
        <v>0</v>
      </c>
      <c r="L66" s="60">
        <f t="shared" si="66"/>
        <v>0</v>
      </c>
      <c r="M66" s="41">
        <f t="shared" si="66"/>
        <v>0</v>
      </c>
      <c r="N66" s="60">
        <f t="shared" si="66"/>
        <v>0</v>
      </c>
      <c r="O66" s="41">
        <f t="shared" si="66"/>
        <v>170</v>
      </c>
      <c r="P66" s="60">
        <f t="shared" si="66"/>
        <v>2.6</v>
      </c>
      <c r="Q66" s="74"/>
      <c r="R66" s="74"/>
      <c r="S66" s="41">
        <f t="shared" si="65"/>
        <v>40</v>
      </c>
      <c r="T66" s="60">
        <f t="shared" si="65"/>
        <v>3.3</v>
      </c>
      <c r="U66" s="41">
        <f t="shared" si="65"/>
        <v>50</v>
      </c>
      <c r="V66" s="60">
        <f t="shared" si="65"/>
        <v>2</v>
      </c>
      <c r="W66" s="142">
        <f t="shared" si="65"/>
        <v>0.01</v>
      </c>
      <c r="X66" s="142">
        <f t="shared" si="65"/>
        <v>0.03</v>
      </c>
      <c r="Y66" s="142">
        <f t="shared" si="65"/>
        <v>0.04</v>
      </c>
      <c r="Z66" s="142">
        <f t="shared" si="65"/>
        <v>0.06</v>
      </c>
    </row>
    <row r="67" spans="2:35" s="22" customFormat="1" ht="15.75" customHeight="1">
      <c r="B67" s="73"/>
      <c r="C67" s="62" t="str">
        <f>C$11</f>
        <v>乳児</v>
      </c>
      <c r="D67" s="50">
        <f>D64</f>
        <v>14</v>
      </c>
      <c r="E67" s="54" t="str">
        <f>E$11</f>
        <v>D</v>
      </c>
      <c r="F67" s="52" t="str">
        <f t="shared" si="32"/>
        <v>14D</v>
      </c>
      <c r="G67" s="46">
        <v>1980</v>
      </c>
      <c r="H67" s="47">
        <v>2.8</v>
      </c>
      <c r="I67" s="46">
        <v>1930</v>
      </c>
      <c r="J67" s="47">
        <v>2.7</v>
      </c>
      <c r="K67" s="53">
        <f t="shared" ref="K67:P67" si="67">K$15</f>
        <v>0</v>
      </c>
      <c r="L67" s="64">
        <f t="shared" si="67"/>
        <v>0</v>
      </c>
      <c r="M67" s="53">
        <f t="shared" si="67"/>
        <v>0</v>
      </c>
      <c r="N67" s="64">
        <f t="shared" si="67"/>
        <v>0</v>
      </c>
      <c r="O67" s="53">
        <f t="shared" si="67"/>
        <v>0</v>
      </c>
      <c r="P67" s="64">
        <f t="shared" si="67"/>
        <v>0</v>
      </c>
      <c r="Q67" s="75"/>
      <c r="R67" s="75"/>
      <c r="S67" s="53">
        <f t="shared" si="65"/>
        <v>40</v>
      </c>
      <c r="T67" s="64">
        <f t="shared" si="65"/>
        <v>3.3</v>
      </c>
      <c r="U67" s="53">
        <f t="shared" si="65"/>
        <v>50</v>
      </c>
      <c r="V67" s="64">
        <f t="shared" si="65"/>
        <v>2</v>
      </c>
      <c r="W67" s="142">
        <f t="shared" si="65"/>
        <v>0.01</v>
      </c>
      <c r="X67" s="142">
        <f t="shared" si="65"/>
        <v>0.03</v>
      </c>
      <c r="Y67" s="142">
        <f t="shared" si="65"/>
        <v>0.04</v>
      </c>
      <c r="Z67" s="142">
        <f t="shared" si="65"/>
        <v>0.06</v>
      </c>
    </row>
    <row r="68" spans="2:35" s="22" customFormat="1" ht="15.75" customHeight="1">
      <c r="B68" s="68" t="s">
        <v>74</v>
      </c>
      <c r="C68" s="55" t="str">
        <f>C$8</f>
        <v>４歳以上児</v>
      </c>
      <c r="D68" s="30">
        <v>15</v>
      </c>
      <c r="E68" s="34" t="str">
        <f>E$8</f>
        <v>A</v>
      </c>
      <c r="F68" s="69" t="str">
        <f t="shared" si="32"/>
        <v>15A</v>
      </c>
      <c r="G68" s="70">
        <v>380</v>
      </c>
      <c r="H68" s="71">
        <v>2.9</v>
      </c>
      <c r="I68" s="70">
        <v>330</v>
      </c>
      <c r="J68" s="71">
        <v>2.9</v>
      </c>
      <c r="K68" s="33">
        <f t="shared" ref="K68:P68" si="68">K$12</f>
        <v>0</v>
      </c>
      <c r="L68" s="72">
        <f t="shared" si="68"/>
        <v>0</v>
      </c>
      <c r="M68" s="33">
        <f t="shared" si="68"/>
        <v>30</v>
      </c>
      <c r="N68" s="72">
        <f t="shared" si="68"/>
        <v>3.7</v>
      </c>
      <c r="O68" s="33">
        <f t="shared" si="68"/>
        <v>0</v>
      </c>
      <c r="P68" s="72">
        <f t="shared" si="68"/>
        <v>0</v>
      </c>
      <c r="Q68" s="35"/>
      <c r="R68" s="35"/>
      <c r="S68" s="36">
        <v>40</v>
      </c>
      <c r="T68" s="56">
        <v>3</v>
      </c>
      <c r="U68" s="36">
        <v>40</v>
      </c>
      <c r="V68" s="56">
        <v>2.2999999999999998</v>
      </c>
      <c r="W68" s="143">
        <v>0.01</v>
      </c>
      <c r="X68" s="143">
        <v>0.03</v>
      </c>
      <c r="Y68" s="143">
        <v>0.04</v>
      </c>
      <c r="Z68" s="143">
        <v>0.06</v>
      </c>
    </row>
    <row r="69" spans="2:35" s="22" customFormat="1" ht="15.75" customHeight="1">
      <c r="B69" s="28"/>
      <c r="C69" s="58" t="str">
        <f>C$9</f>
        <v>３歳児</v>
      </c>
      <c r="D69" s="38">
        <f>D68</f>
        <v>15</v>
      </c>
      <c r="E69" s="42" t="str">
        <f>E$9</f>
        <v>B</v>
      </c>
      <c r="F69" s="40" t="str">
        <f t="shared" si="32"/>
        <v>15B</v>
      </c>
      <c r="G69" s="43">
        <v>460</v>
      </c>
      <c r="H69" s="44">
        <v>2.9</v>
      </c>
      <c r="I69" s="43">
        <v>410</v>
      </c>
      <c r="J69" s="44">
        <v>2.8</v>
      </c>
      <c r="K69" s="41">
        <f t="shared" ref="K69:P69" si="69">K$13</f>
        <v>80</v>
      </c>
      <c r="L69" s="60">
        <f t="shared" si="69"/>
        <v>2.8</v>
      </c>
      <c r="M69" s="41">
        <f t="shared" si="69"/>
        <v>0</v>
      </c>
      <c r="N69" s="60">
        <f t="shared" si="69"/>
        <v>0</v>
      </c>
      <c r="O69" s="41">
        <f t="shared" si="69"/>
        <v>0</v>
      </c>
      <c r="P69" s="60">
        <f t="shared" si="69"/>
        <v>0</v>
      </c>
      <c r="Q69" s="74"/>
      <c r="R69" s="74"/>
      <c r="S69" s="41">
        <f t="shared" ref="S69:Z71" si="70">S$68</f>
        <v>40</v>
      </c>
      <c r="T69" s="60">
        <f t="shared" si="70"/>
        <v>3</v>
      </c>
      <c r="U69" s="41">
        <f t="shared" si="70"/>
        <v>40</v>
      </c>
      <c r="V69" s="60">
        <f t="shared" si="70"/>
        <v>2.2999999999999998</v>
      </c>
      <c r="W69" s="142">
        <f t="shared" si="70"/>
        <v>0.01</v>
      </c>
      <c r="X69" s="142">
        <f t="shared" si="70"/>
        <v>0.03</v>
      </c>
      <c r="Y69" s="142">
        <f t="shared" si="70"/>
        <v>0.04</v>
      </c>
      <c r="Z69" s="142">
        <f t="shared" si="70"/>
        <v>0.06</v>
      </c>
    </row>
    <row r="70" spans="2:35" s="22" customFormat="1" ht="15.75" customHeight="1">
      <c r="B70" s="28"/>
      <c r="C70" s="58" t="str">
        <f>C$10</f>
        <v>１、２歳児</v>
      </c>
      <c r="D70" s="38">
        <f>D68</f>
        <v>15</v>
      </c>
      <c r="E70" s="42" t="str">
        <f>E$10</f>
        <v>C</v>
      </c>
      <c r="F70" s="40" t="str">
        <f t="shared" si="32"/>
        <v>15C</v>
      </c>
      <c r="G70" s="43">
        <v>1080</v>
      </c>
      <c r="H70" s="44">
        <v>2.8</v>
      </c>
      <c r="I70" s="43">
        <v>1030</v>
      </c>
      <c r="J70" s="44">
        <v>2.7</v>
      </c>
      <c r="K70" s="41">
        <f t="shared" ref="K70:P70" si="71">K$14</f>
        <v>0</v>
      </c>
      <c r="L70" s="60">
        <f t="shared" si="71"/>
        <v>0</v>
      </c>
      <c r="M70" s="41">
        <f t="shared" si="71"/>
        <v>0</v>
      </c>
      <c r="N70" s="60">
        <f t="shared" si="71"/>
        <v>0</v>
      </c>
      <c r="O70" s="41">
        <f t="shared" si="71"/>
        <v>170</v>
      </c>
      <c r="P70" s="60">
        <f t="shared" si="71"/>
        <v>2.6</v>
      </c>
      <c r="Q70" s="74"/>
      <c r="R70" s="74"/>
      <c r="S70" s="41">
        <f t="shared" si="70"/>
        <v>40</v>
      </c>
      <c r="T70" s="60">
        <f t="shared" si="70"/>
        <v>3</v>
      </c>
      <c r="U70" s="41">
        <f t="shared" si="70"/>
        <v>40</v>
      </c>
      <c r="V70" s="60">
        <f t="shared" si="70"/>
        <v>2.2999999999999998</v>
      </c>
      <c r="W70" s="142">
        <f t="shared" si="70"/>
        <v>0.01</v>
      </c>
      <c r="X70" s="142">
        <f t="shared" si="70"/>
        <v>0.03</v>
      </c>
      <c r="Y70" s="142">
        <f t="shared" si="70"/>
        <v>0.04</v>
      </c>
      <c r="Z70" s="142">
        <f t="shared" si="70"/>
        <v>0.06</v>
      </c>
    </row>
    <row r="71" spans="2:35" s="22" customFormat="1" ht="15.75" customHeight="1">
      <c r="B71" s="73"/>
      <c r="C71" s="62" t="str">
        <f>C$11</f>
        <v>乳児</v>
      </c>
      <c r="D71" s="50">
        <f>D68</f>
        <v>15</v>
      </c>
      <c r="E71" s="54" t="str">
        <f>E$11</f>
        <v>D</v>
      </c>
      <c r="F71" s="52" t="str">
        <f t="shared" si="32"/>
        <v>15D</v>
      </c>
      <c r="G71" s="46">
        <v>1970</v>
      </c>
      <c r="H71" s="47">
        <v>2.7</v>
      </c>
      <c r="I71" s="46">
        <v>1920</v>
      </c>
      <c r="J71" s="47">
        <v>2.7</v>
      </c>
      <c r="K71" s="53">
        <f t="shared" ref="K71:P71" si="72">K$15</f>
        <v>0</v>
      </c>
      <c r="L71" s="64">
        <f t="shared" si="72"/>
        <v>0</v>
      </c>
      <c r="M71" s="53">
        <f t="shared" si="72"/>
        <v>0</v>
      </c>
      <c r="N71" s="64">
        <f t="shared" si="72"/>
        <v>0</v>
      </c>
      <c r="O71" s="53">
        <f t="shared" si="72"/>
        <v>0</v>
      </c>
      <c r="P71" s="64">
        <f t="shared" si="72"/>
        <v>0</v>
      </c>
      <c r="Q71" s="75"/>
      <c r="R71" s="75"/>
      <c r="S71" s="53">
        <f t="shared" si="70"/>
        <v>40</v>
      </c>
      <c r="T71" s="64">
        <f t="shared" si="70"/>
        <v>3</v>
      </c>
      <c r="U71" s="53">
        <f t="shared" si="70"/>
        <v>40</v>
      </c>
      <c r="V71" s="64">
        <f t="shared" si="70"/>
        <v>2.2999999999999998</v>
      </c>
      <c r="W71" s="142">
        <f t="shared" si="70"/>
        <v>0.01</v>
      </c>
      <c r="X71" s="142">
        <f t="shared" si="70"/>
        <v>0.03</v>
      </c>
      <c r="Y71" s="142">
        <f t="shared" si="70"/>
        <v>0.04</v>
      </c>
      <c r="Z71" s="142">
        <f t="shared" si="70"/>
        <v>0.06</v>
      </c>
    </row>
    <row r="72" spans="2:35" s="22" customFormat="1" ht="15.75" customHeight="1">
      <c r="B72" s="68" t="s">
        <v>75</v>
      </c>
      <c r="C72" s="55" t="str">
        <f>C$8</f>
        <v>４歳以上児</v>
      </c>
      <c r="D72" s="30">
        <v>16</v>
      </c>
      <c r="E72" s="34" t="str">
        <f>E$8</f>
        <v>A</v>
      </c>
      <c r="F72" s="69" t="str">
        <f t="shared" ref="F72:F95" si="73">D72&amp;E72</f>
        <v>16A</v>
      </c>
      <c r="G72" s="70">
        <v>370</v>
      </c>
      <c r="H72" s="71">
        <v>2.9</v>
      </c>
      <c r="I72" s="70">
        <v>320</v>
      </c>
      <c r="J72" s="71">
        <v>2.8</v>
      </c>
      <c r="K72" s="33">
        <f t="shared" ref="K72:P72" si="74">K$12</f>
        <v>0</v>
      </c>
      <c r="L72" s="72">
        <f t="shared" si="74"/>
        <v>0</v>
      </c>
      <c r="M72" s="33">
        <f t="shared" si="74"/>
        <v>30</v>
      </c>
      <c r="N72" s="72">
        <f t="shared" si="74"/>
        <v>3.7</v>
      </c>
      <c r="O72" s="33">
        <f t="shared" si="74"/>
        <v>0</v>
      </c>
      <c r="P72" s="72">
        <f t="shared" si="74"/>
        <v>0</v>
      </c>
      <c r="Q72" s="35"/>
      <c r="R72" s="35"/>
      <c r="S72" s="36">
        <v>40</v>
      </c>
      <c r="T72" s="56">
        <v>2.8</v>
      </c>
      <c r="U72" s="36">
        <v>40</v>
      </c>
      <c r="V72" s="56">
        <v>2.1</v>
      </c>
      <c r="W72" s="143">
        <v>0.01</v>
      </c>
      <c r="X72" s="143">
        <v>0.03</v>
      </c>
      <c r="Y72" s="143">
        <v>0.04</v>
      </c>
      <c r="Z72" s="143">
        <v>0.06</v>
      </c>
    </row>
    <row r="73" spans="2:35" s="22" customFormat="1" ht="15.75" customHeight="1">
      <c r="B73" s="28"/>
      <c r="C73" s="58" t="str">
        <f>C$9</f>
        <v>３歳児</v>
      </c>
      <c r="D73" s="38">
        <f>D72</f>
        <v>16</v>
      </c>
      <c r="E73" s="42" t="str">
        <f>E$9</f>
        <v>B</v>
      </c>
      <c r="F73" s="40" t="str">
        <f t="shared" si="73"/>
        <v>16B</v>
      </c>
      <c r="G73" s="43">
        <v>450</v>
      </c>
      <c r="H73" s="44">
        <v>2.8</v>
      </c>
      <c r="I73" s="43">
        <v>400</v>
      </c>
      <c r="J73" s="44">
        <v>2.8</v>
      </c>
      <c r="K73" s="41">
        <f t="shared" ref="K73:P73" si="75">K$13</f>
        <v>80</v>
      </c>
      <c r="L73" s="60">
        <f t="shared" si="75"/>
        <v>2.8</v>
      </c>
      <c r="M73" s="41">
        <f t="shared" si="75"/>
        <v>0</v>
      </c>
      <c r="N73" s="60">
        <f t="shared" si="75"/>
        <v>0</v>
      </c>
      <c r="O73" s="41">
        <f t="shared" si="75"/>
        <v>0</v>
      </c>
      <c r="P73" s="60">
        <f t="shared" si="75"/>
        <v>0</v>
      </c>
      <c r="Q73" s="74"/>
      <c r="R73" s="74"/>
      <c r="S73" s="41">
        <f t="shared" ref="S73:Z75" si="76">S$72</f>
        <v>40</v>
      </c>
      <c r="T73" s="60">
        <f t="shared" si="76"/>
        <v>2.8</v>
      </c>
      <c r="U73" s="41">
        <f t="shared" si="76"/>
        <v>40</v>
      </c>
      <c r="V73" s="60">
        <f t="shared" si="76"/>
        <v>2.1</v>
      </c>
      <c r="W73" s="142">
        <f t="shared" si="76"/>
        <v>0.01</v>
      </c>
      <c r="X73" s="142">
        <f t="shared" si="76"/>
        <v>0.03</v>
      </c>
      <c r="Y73" s="142">
        <f t="shared" si="76"/>
        <v>0.04</v>
      </c>
      <c r="Z73" s="142">
        <f t="shared" si="76"/>
        <v>0.06</v>
      </c>
    </row>
    <row r="74" spans="2:35" s="22" customFormat="1" ht="15.75" customHeight="1">
      <c r="B74" s="28"/>
      <c r="C74" s="58" t="str">
        <f>C$10</f>
        <v>１、２歳児</v>
      </c>
      <c r="D74" s="38">
        <f>D72</f>
        <v>16</v>
      </c>
      <c r="E74" s="42" t="str">
        <f>E$10</f>
        <v>C</v>
      </c>
      <c r="F74" s="40" t="str">
        <f t="shared" si="73"/>
        <v>16C</v>
      </c>
      <c r="G74" s="43">
        <v>1060</v>
      </c>
      <c r="H74" s="44">
        <v>2.8</v>
      </c>
      <c r="I74" s="43">
        <v>1010</v>
      </c>
      <c r="J74" s="44">
        <v>2.8</v>
      </c>
      <c r="K74" s="41">
        <f t="shared" ref="K74:P74" si="77">K$14</f>
        <v>0</v>
      </c>
      <c r="L74" s="60">
        <f t="shared" si="77"/>
        <v>0</v>
      </c>
      <c r="M74" s="41">
        <f t="shared" si="77"/>
        <v>0</v>
      </c>
      <c r="N74" s="60">
        <f t="shared" si="77"/>
        <v>0</v>
      </c>
      <c r="O74" s="41">
        <f t="shared" si="77"/>
        <v>170</v>
      </c>
      <c r="P74" s="60">
        <f t="shared" si="77"/>
        <v>2.6</v>
      </c>
      <c r="Q74" s="74"/>
      <c r="R74" s="74"/>
      <c r="S74" s="41">
        <f t="shared" si="76"/>
        <v>40</v>
      </c>
      <c r="T74" s="60">
        <f t="shared" si="76"/>
        <v>2.8</v>
      </c>
      <c r="U74" s="41">
        <f t="shared" si="76"/>
        <v>40</v>
      </c>
      <c r="V74" s="60">
        <f t="shared" si="76"/>
        <v>2.1</v>
      </c>
      <c r="W74" s="142">
        <f t="shared" si="76"/>
        <v>0.01</v>
      </c>
      <c r="X74" s="142">
        <f t="shared" si="76"/>
        <v>0.03</v>
      </c>
      <c r="Y74" s="142">
        <f t="shared" si="76"/>
        <v>0.04</v>
      </c>
      <c r="Z74" s="142">
        <f t="shared" si="76"/>
        <v>0.06</v>
      </c>
    </row>
    <row r="75" spans="2:35" s="22" customFormat="1" ht="15.75" customHeight="1">
      <c r="B75" s="73"/>
      <c r="C75" s="62" t="str">
        <f>C$11</f>
        <v>乳児</v>
      </c>
      <c r="D75" s="50">
        <f>D72</f>
        <v>16</v>
      </c>
      <c r="E75" s="54" t="str">
        <f>E$11</f>
        <v>D</v>
      </c>
      <c r="F75" s="52" t="str">
        <f t="shared" si="73"/>
        <v>16D</v>
      </c>
      <c r="G75" s="46">
        <v>1950</v>
      </c>
      <c r="H75" s="47">
        <v>2.7</v>
      </c>
      <c r="I75" s="46">
        <v>1900</v>
      </c>
      <c r="J75" s="47">
        <v>2.7</v>
      </c>
      <c r="K75" s="53">
        <f t="shared" ref="K75:P75" si="78">K$15</f>
        <v>0</v>
      </c>
      <c r="L75" s="64">
        <f t="shared" si="78"/>
        <v>0</v>
      </c>
      <c r="M75" s="53">
        <f t="shared" si="78"/>
        <v>0</v>
      </c>
      <c r="N75" s="64">
        <f t="shared" si="78"/>
        <v>0</v>
      </c>
      <c r="O75" s="53">
        <f t="shared" si="78"/>
        <v>0</v>
      </c>
      <c r="P75" s="64">
        <f t="shared" si="78"/>
        <v>0</v>
      </c>
      <c r="Q75" s="75"/>
      <c r="R75" s="75"/>
      <c r="S75" s="53">
        <f t="shared" si="76"/>
        <v>40</v>
      </c>
      <c r="T75" s="64">
        <f t="shared" si="76"/>
        <v>2.8</v>
      </c>
      <c r="U75" s="53">
        <f t="shared" si="76"/>
        <v>40</v>
      </c>
      <c r="V75" s="64">
        <f t="shared" si="76"/>
        <v>2.1</v>
      </c>
      <c r="W75" s="142">
        <f t="shared" si="76"/>
        <v>0.01</v>
      </c>
      <c r="X75" s="142">
        <f t="shared" si="76"/>
        <v>0.03</v>
      </c>
      <c r="Y75" s="142">
        <f t="shared" si="76"/>
        <v>0.04</v>
      </c>
      <c r="Z75" s="142">
        <f t="shared" si="76"/>
        <v>0.06</v>
      </c>
    </row>
    <row r="76" spans="2:35" s="22" customFormat="1" ht="15.75" customHeight="1">
      <c r="B76" s="68" t="s">
        <v>76</v>
      </c>
      <c r="C76" s="55" t="str">
        <f>C$8</f>
        <v>４歳以上児</v>
      </c>
      <c r="D76" s="30">
        <v>17</v>
      </c>
      <c r="E76" s="34" t="str">
        <f>E$8</f>
        <v>A</v>
      </c>
      <c r="F76" s="69" t="str">
        <f t="shared" si="73"/>
        <v>17A</v>
      </c>
      <c r="G76" s="70">
        <v>350</v>
      </c>
      <c r="H76" s="71">
        <v>2.9</v>
      </c>
      <c r="I76" s="70">
        <v>310</v>
      </c>
      <c r="J76" s="71">
        <v>2.8</v>
      </c>
      <c r="K76" s="33">
        <f t="shared" ref="K76:P76" si="79">K$12</f>
        <v>0</v>
      </c>
      <c r="L76" s="72">
        <f t="shared" si="79"/>
        <v>0</v>
      </c>
      <c r="M76" s="33">
        <f t="shared" si="79"/>
        <v>30</v>
      </c>
      <c r="N76" s="72">
        <f t="shared" si="79"/>
        <v>3.7</v>
      </c>
      <c r="O76" s="33">
        <f t="shared" si="79"/>
        <v>0</v>
      </c>
      <c r="P76" s="72">
        <f t="shared" si="79"/>
        <v>0</v>
      </c>
      <c r="Q76" s="35"/>
      <c r="R76" s="35"/>
      <c r="S76" s="36">
        <v>30</v>
      </c>
      <c r="T76" s="56">
        <v>3.4</v>
      </c>
      <c r="U76" s="36">
        <v>40</v>
      </c>
      <c r="V76" s="56">
        <v>2</v>
      </c>
      <c r="W76" s="143">
        <v>0.01</v>
      </c>
      <c r="X76" s="143">
        <v>0.03</v>
      </c>
      <c r="Y76" s="143">
        <v>0.04</v>
      </c>
      <c r="Z76" s="143">
        <v>0.06</v>
      </c>
    </row>
    <row r="77" spans="2:35" s="22" customFormat="1" ht="15.75" customHeight="1">
      <c r="B77" s="28"/>
      <c r="C77" s="58" t="str">
        <f>C$9</f>
        <v>３歳児</v>
      </c>
      <c r="D77" s="38">
        <f>D76</f>
        <v>17</v>
      </c>
      <c r="E77" s="42" t="str">
        <f>E$9</f>
        <v>B</v>
      </c>
      <c r="F77" s="40" t="str">
        <f t="shared" si="73"/>
        <v>17B</v>
      </c>
      <c r="G77" s="43">
        <v>430</v>
      </c>
      <c r="H77" s="44">
        <v>2.9</v>
      </c>
      <c r="I77" s="43">
        <v>390</v>
      </c>
      <c r="J77" s="44">
        <v>2.8</v>
      </c>
      <c r="K77" s="41">
        <f t="shared" ref="K77:P77" si="80">K$13</f>
        <v>80</v>
      </c>
      <c r="L77" s="60">
        <f t="shared" si="80"/>
        <v>2.8</v>
      </c>
      <c r="M77" s="41">
        <f t="shared" si="80"/>
        <v>0</v>
      </c>
      <c r="N77" s="60">
        <f t="shared" si="80"/>
        <v>0</v>
      </c>
      <c r="O77" s="41">
        <f t="shared" si="80"/>
        <v>0</v>
      </c>
      <c r="P77" s="60">
        <f t="shared" si="80"/>
        <v>0</v>
      </c>
      <c r="Q77" s="74"/>
      <c r="R77" s="74"/>
      <c r="S77" s="41">
        <f t="shared" ref="S77:Z79" si="81">S$76</f>
        <v>30</v>
      </c>
      <c r="T77" s="60">
        <f t="shared" si="81"/>
        <v>3.4</v>
      </c>
      <c r="U77" s="41">
        <f t="shared" si="81"/>
        <v>40</v>
      </c>
      <c r="V77" s="60">
        <f t="shared" si="81"/>
        <v>2</v>
      </c>
      <c r="W77" s="142">
        <f t="shared" si="81"/>
        <v>0.01</v>
      </c>
      <c r="X77" s="142">
        <f t="shared" si="81"/>
        <v>0.03</v>
      </c>
      <c r="Y77" s="142">
        <f t="shared" si="81"/>
        <v>0.04</v>
      </c>
      <c r="Z77" s="142">
        <f t="shared" si="81"/>
        <v>0.06</v>
      </c>
    </row>
    <row r="78" spans="2:35" s="22" customFormat="1" ht="15.75" customHeight="1">
      <c r="B78" s="28"/>
      <c r="C78" s="58" t="str">
        <f>C$10</f>
        <v>１、２歳児</v>
      </c>
      <c r="D78" s="38">
        <f>D76</f>
        <v>17</v>
      </c>
      <c r="E78" s="42" t="str">
        <f>E$10</f>
        <v>C</v>
      </c>
      <c r="F78" s="40" t="str">
        <f t="shared" si="73"/>
        <v>17C</v>
      </c>
      <c r="G78" s="43">
        <v>1050</v>
      </c>
      <c r="H78" s="44">
        <v>2.8</v>
      </c>
      <c r="I78" s="43">
        <v>1000</v>
      </c>
      <c r="J78" s="44">
        <v>2.8</v>
      </c>
      <c r="K78" s="41">
        <f t="shared" ref="K78:P78" si="82">K$14</f>
        <v>0</v>
      </c>
      <c r="L78" s="60">
        <f t="shared" si="82"/>
        <v>0</v>
      </c>
      <c r="M78" s="41">
        <f t="shared" si="82"/>
        <v>0</v>
      </c>
      <c r="N78" s="60">
        <f t="shared" si="82"/>
        <v>0</v>
      </c>
      <c r="O78" s="41">
        <f t="shared" si="82"/>
        <v>170</v>
      </c>
      <c r="P78" s="60">
        <f t="shared" si="82"/>
        <v>2.6</v>
      </c>
      <c r="Q78" s="74"/>
      <c r="R78" s="74"/>
      <c r="S78" s="41">
        <f t="shared" si="81"/>
        <v>30</v>
      </c>
      <c r="T78" s="60">
        <f t="shared" si="81"/>
        <v>3.4</v>
      </c>
      <c r="U78" s="41">
        <f t="shared" si="81"/>
        <v>40</v>
      </c>
      <c r="V78" s="60">
        <f t="shared" si="81"/>
        <v>2</v>
      </c>
      <c r="W78" s="142">
        <f t="shared" si="81"/>
        <v>0.01</v>
      </c>
      <c r="X78" s="142">
        <f t="shared" si="81"/>
        <v>0.03</v>
      </c>
      <c r="Y78" s="142">
        <f t="shared" si="81"/>
        <v>0.04</v>
      </c>
      <c r="Z78" s="142">
        <f t="shared" si="81"/>
        <v>0.06</v>
      </c>
    </row>
    <row r="79" spans="2:35" s="22" customFormat="1" ht="15.75" customHeight="1">
      <c r="B79" s="73"/>
      <c r="C79" s="62" t="str">
        <f>C$11</f>
        <v>乳児</v>
      </c>
      <c r="D79" s="50">
        <f>D76</f>
        <v>17</v>
      </c>
      <c r="E79" s="54" t="str">
        <f>E$11</f>
        <v>D</v>
      </c>
      <c r="F79" s="52" t="str">
        <f t="shared" si="73"/>
        <v>17D</v>
      </c>
      <c r="G79" s="46">
        <v>1940</v>
      </c>
      <c r="H79" s="47">
        <v>2.7</v>
      </c>
      <c r="I79" s="46">
        <v>1890</v>
      </c>
      <c r="J79" s="47">
        <v>2.7</v>
      </c>
      <c r="K79" s="53">
        <f t="shared" ref="K79:P79" si="83">K$15</f>
        <v>0</v>
      </c>
      <c r="L79" s="64">
        <f t="shared" si="83"/>
        <v>0</v>
      </c>
      <c r="M79" s="53">
        <f t="shared" si="83"/>
        <v>0</v>
      </c>
      <c r="N79" s="64">
        <f t="shared" si="83"/>
        <v>0</v>
      </c>
      <c r="O79" s="53">
        <f t="shared" si="83"/>
        <v>0</v>
      </c>
      <c r="P79" s="64">
        <f t="shared" si="83"/>
        <v>0</v>
      </c>
      <c r="Q79" s="75"/>
      <c r="R79" s="75"/>
      <c r="S79" s="53">
        <f t="shared" si="81"/>
        <v>30</v>
      </c>
      <c r="T79" s="64">
        <f t="shared" si="81"/>
        <v>3.4</v>
      </c>
      <c r="U79" s="53">
        <f t="shared" si="81"/>
        <v>40</v>
      </c>
      <c r="V79" s="64">
        <f t="shared" si="81"/>
        <v>2</v>
      </c>
      <c r="W79" s="142">
        <f t="shared" si="81"/>
        <v>0.01</v>
      </c>
      <c r="X79" s="142">
        <f t="shared" si="81"/>
        <v>0.03</v>
      </c>
      <c r="Y79" s="142">
        <f t="shared" si="81"/>
        <v>0.04</v>
      </c>
      <c r="Z79" s="142">
        <f t="shared" si="81"/>
        <v>0.06</v>
      </c>
      <c r="AG79" s="2"/>
      <c r="AH79" s="2"/>
      <c r="AI79" s="2"/>
    </row>
    <row r="80" spans="2:35" ht="15.75" customHeight="1">
      <c r="B80" s="68" t="s">
        <v>77</v>
      </c>
      <c r="C80" s="55" t="str">
        <f>C$8</f>
        <v>４歳以上児</v>
      </c>
      <c r="D80" s="30">
        <v>18</v>
      </c>
      <c r="E80" s="34" t="str">
        <f>E$8</f>
        <v>A</v>
      </c>
      <c r="F80" s="69" t="str">
        <f t="shared" si="73"/>
        <v>18A</v>
      </c>
      <c r="G80" s="70">
        <v>340</v>
      </c>
      <c r="H80" s="71">
        <v>2.9</v>
      </c>
      <c r="I80" s="70">
        <v>300</v>
      </c>
      <c r="J80" s="71">
        <v>2.8</v>
      </c>
      <c r="K80" s="33">
        <f t="shared" ref="K80:P80" si="84">K$12</f>
        <v>0</v>
      </c>
      <c r="L80" s="72">
        <f t="shared" si="84"/>
        <v>0</v>
      </c>
      <c r="M80" s="33">
        <f t="shared" si="84"/>
        <v>30</v>
      </c>
      <c r="N80" s="72">
        <f t="shared" si="84"/>
        <v>3.7</v>
      </c>
      <c r="O80" s="33">
        <f t="shared" si="84"/>
        <v>0</v>
      </c>
      <c r="P80" s="72">
        <f t="shared" si="84"/>
        <v>0</v>
      </c>
      <c r="Q80" s="35"/>
      <c r="R80" s="35"/>
      <c r="S80" s="36">
        <v>30</v>
      </c>
      <c r="T80" s="56">
        <v>3.2</v>
      </c>
      <c r="U80" s="36">
        <v>30</v>
      </c>
      <c r="V80" s="56">
        <v>2.5</v>
      </c>
      <c r="W80" s="143">
        <v>0.01</v>
      </c>
      <c r="X80" s="143">
        <v>0.03</v>
      </c>
      <c r="Y80" s="143">
        <v>0.04</v>
      </c>
      <c r="Z80" s="143">
        <v>0.06</v>
      </c>
    </row>
    <row r="81" spans="2:26" ht="15.75" customHeight="1">
      <c r="B81" s="28"/>
      <c r="C81" s="58" t="str">
        <f>C$9</f>
        <v>３歳児</v>
      </c>
      <c r="D81" s="38">
        <f>D80</f>
        <v>18</v>
      </c>
      <c r="E81" s="42" t="str">
        <f>E$9</f>
        <v>B</v>
      </c>
      <c r="F81" s="40" t="str">
        <f t="shared" si="73"/>
        <v>18B</v>
      </c>
      <c r="G81" s="43">
        <v>420</v>
      </c>
      <c r="H81" s="44">
        <v>2.9</v>
      </c>
      <c r="I81" s="43">
        <v>380</v>
      </c>
      <c r="J81" s="44">
        <v>2.8</v>
      </c>
      <c r="K81" s="41">
        <f t="shared" ref="K81:P81" si="85">K$13</f>
        <v>80</v>
      </c>
      <c r="L81" s="60">
        <f t="shared" si="85"/>
        <v>2.8</v>
      </c>
      <c r="M81" s="41">
        <f t="shared" si="85"/>
        <v>0</v>
      </c>
      <c r="N81" s="60">
        <f t="shared" si="85"/>
        <v>0</v>
      </c>
      <c r="O81" s="41">
        <f t="shared" si="85"/>
        <v>0</v>
      </c>
      <c r="P81" s="60">
        <f t="shared" si="85"/>
        <v>0</v>
      </c>
      <c r="Q81" s="74"/>
      <c r="R81" s="74"/>
      <c r="S81" s="41">
        <f t="shared" ref="S81:Z83" si="86">S$80</f>
        <v>30</v>
      </c>
      <c r="T81" s="60">
        <f t="shared" si="86"/>
        <v>3.2</v>
      </c>
      <c r="U81" s="41">
        <f t="shared" si="86"/>
        <v>30</v>
      </c>
      <c r="V81" s="60">
        <f t="shared" si="86"/>
        <v>2.5</v>
      </c>
      <c r="W81" s="142">
        <f t="shared" si="86"/>
        <v>0.01</v>
      </c>
      <c r="X81" s="142">
        <f t="shared" si="86"/>
        <v>0.03</v>
      </c>
      <c r="Y81" s="142">
        <f t="shared" si="86"/>
        <v>0.04</v>
      </c>
      <c r="Z81" s="142">
        <f t="shared" si="86"/>
        <v>0.06</v>
      </c>
    </row>
    <row r="82" spans="2:26" ht="15.75" customHeight="1">
      <c r="B82" s="28"/>
      <c r="C82" s="58" t="str">
        <f>C$10</f>
        <v>１、２歳児</v>
      </c>
      <c r="D82" s="38">
        <f>D80</f>
        <v>18</v>
      </c>
      <c r="E82" s="42" t="str">
        <f>E$10</f>
        <v>C</v>
      </c>
      <c r="F82" s="40" t="str">
        <f t="shared" si="73"/>
        <v>18C</v>
      </c>
      <c r="G82" s="43">
        <v>1040</v>
      </c>
      <c r="H82" s="44">
        <v>2.7</v>
      </c>
      <c r="I82" s="43">
        <v>1000</v>
      </c>
      <c r="J82" s="44">
        <v>2.7</v>
      </c>
      <c r="K82" s="41">
        <f t="shared" ref="K82:P82" si="87">K$14</f>
        <v>0</v>
      </c>
      <c r="L82" s="60">
        <f t="shared" si="87"/>
        <v>0</v>
      </c>
      <c r="M82" s="41">
        <f t="shared" si="87"/>
        <v>0</v>
      </c>
      <c r="N82" s="60">
        <f t="shared" si="87"/>
        <v>0</v>
      </c>
      <c r="O82" s="41">
        <f t="shared" si="87"/>
        <v>170</v>
      </c>
      <c r="P82" s="60">
        <f t="shared" si="87"/>
        <v>2.6</v>
      </c>
      <c r="Q82" s="74"/>
      <c r="R82" s="74"/>
      <c r="S82" s="41">
        <f t="shared" si="86"/>
        <v>30</v>
      </c>
      <c r="T82" s="60">
        <f t="shared" si="86"/>
        <v>3.2</v>
      </c>
      <c r="U82" s="41">
        <f t="shared" si="86"/>
        <v>30</v>
      </c>
      <c r="V82" s="60">
        <f t="shared" si="86"/>
        <v>2.5</v>
      </c>
      <c r="W82" s="142">
        <f t="shared" si="86"/>
        <v>0.01</v>
      </c>
      <c r="X82" s="142">
        <f t="shared" si="86"/>
        <v>0.03</v>
      </c>
      <c r="Y82" s="142">
        <f t="shared" si="86"/>
        <v>0.04</v>
      </c>
      <c r="Z82" s="142">
        <f t="shared" si="86"/>
        <v>0.06</v>
      </c>
    </row>
    <row r="83" spans="2:26" ht="15.75" customHeight="1">
      <c r="B83" s="73"/>
      <c r="C83" s="62" t="str">
        <f>C$11</f>
        <v>乳児</v>
      </c>
      <c r="D83" s="50">
        <f>D80</f>
        <v>18</v>
      </c>
      <c r="E83" s="54" t="str">
        <f>E$11</f>
        <v>D</v>
      </c>
      <c r="F83" s="52" t="str">
        <f t="shared" si="73"/>
        <v>18D</v>
      </c>
      <c r="G83" s="46">
        <v>1930</v>
      </c>
      <c r="H83" s="47">
        <v>2.7</v>
      </c>
      <c r="I83" s="46">
        <v>1890</v>
      </c>
      <c r="J83" s="47">
        <v>2.7</v>
      </c>
      <c r="K83" s="53">
        <f t="shared" ref="K83:P83" si="88">K$15</f>
        <v>0</v>
      </c>
      <c r="L83" s="64">
        <f t="shared" si="88"/>
        <v>0</v>
      </c>
      <c r="M83" s="53">
        <f t="shared" si="88"/>
        <v>0</v>
      </c>
      <c r="N83" s="64">
        <f t="shared" si="88"/>
        <v>0</v>
      </c>
      <c r="O83" s="53">
        <f t="shared" si="88"/>
        <v>0</v>
      </c>
      <c r="P83" s="64">
        <f t="shared" si="88"/>
        <v>0</v>
      </c>
      <c r="Q83" s="75"/>
      <c r="R83" s="75"/>
      <c r="S83" s="53">
        <f t="shared" si="86"/>
        <v>30</v>
      </c>
      <c r="T83" s="64">
        <f t="shared" si="86"/>
        <v>3.2</v>
      </c>
      <c r="U83" s="53">
        <f t="shared" si="86"/>
        <v>30</v>
      </c>
      <c r="V83" s="64">
        <f t="shared" si="86"/>
        <v>2.5</v>
      </c>
      <c r="W83" s="142">
        <f t="shared" si="86"/>
        <v>0.01</v>
      </c>
      <c r="X83" s="142">
        <f t="shared" si="86"/>
        <v>0.03</v>
      </c>
      <c r="Y83" s="142">
        <f t="shared" si="86"/>
        <v>0.04</v>
      </c>
      <c r="Z83" s="142">
        <f t="shared" si="86"/>
        <v>0.06</v>
      </c>
    </row>
    <row r="84" spans="2:26" ht="15.75" customHeight="1">
      <c r="B84" s="68" t="s">
        <v>78</v>
      </c>
      <c r="C84" s="55" t="str">
        <f>C$8</f>
        <v>４歳以上児</v>
      </c>
      <c r="D84" s="30">
        <v>19</v>
      </c>
      <c r="E84" s="34" t="str">
        <f>E$8</f>
        <v>A</v>
      </c>
      <c r="F84" s="69" t="str">
        <f t="shared" si="73"/>
        <v>19A</v>
      </c>
      <c r="G84" s="70">
        <v>340</v>
      </c>
      <c r="H84" s="71">
        <v>3</v>
      </c>
      <c r="I84" s="70">
        <v>300</v>
      </c>
      <c r="J84" s="71">
        <v>3</v>
      </c>
      <c r="K84" s="33">
        <f t="shared" ref="K84:P84" si="89">K$12</f>
        <v>0</v>
      </c>
      <c r="L84" s="72">
        <f t="shared" si="89"/>
        <v>0</v>
      </c>
      <c r="M84" s="33">
        <f t="shared" si="89"/>
        <v>30</v>
      </c>
      <c r="N84" s="72">
        <f t="shared" si="89"/>
        <v>3.7</v>
      </c>
      <c r="O84" s="33">
        <f t="shared" si="89"/>
        <v>0</v>
      </c>
      <c r="P84" s="72">
        <f t="shared" si="89"/>
        <v>0</v>
      </c>
      <c r="Q84" s="35"/>
      <c r="R84" s="35"/>
      <c r="S84" s="36">
        <v>30</v>
      </c>
      <c r="T84" s="56">
        <v>3</v>
      </c>
      <c r="U84" s="36">
        <v>30</v>
      </c>
      <c r="V84" s="56">
        <v>2.2999999999999998</v>
      </c>
      <c r="W84" s="143">
        <v>0.01</v>
      </c>
      <c r="X84" s="143">
        <v>0.03</v>
      </c>
      <c r="Y84" s="143">
        <v>0.04</v>
      </c>
      <c r="Z84" s="143">
        <v>0.06</v>
      </c>
    </row>
    <row r="85" spans="2:26" ht="15.75" customHeight="1">
      <c r="B85" s="28"/>
      <c r="C85" s="58" t="str">
        <f>C$9</f>
        <v>３歳児</v>
      </c>
      <c r="D85" s="38">
        <f>D84</f>
        <v>19</v>
      </c>
      <c r="E85" s="42" t="str">
        <f>E$9</f>
        <v>B</v>
      </c>
      <c r="F85" s="40" t="str">
        <f t="shared" si="73"/>
        <v>19B</v>
      </c>
      <c r="G85" s="43">
        <v>420</v>
      </c>
      <c r="H85" s="44">
        <v>3</v>
      </c>
      <c r="I85" s="43">
        <v>380</v>
      </c>
      <c r="J85" s="44">
        <v>3</v>
      </c>
      <c r="K85" s="41">
        <f t="shared" ref="K85:P85" si="90">K$13</f>
        <v>80</v>
      </c>
      <c r="L85" s="60">
        <f t="shared" si="90"/>
        <v>2.8</v>
      </c>
      <c r="M85" s="41">
        <f t="shared" si="90"/>
        <v>0</v>
      </c>
      <c r="N85" s="60">
        <f t="shared" si="90"/>
        <v>0</v>
      </c>
      <c r="O85" s="41">
        <f t="shared" si="90"/>
        <v>0</v>
      </c>
      <c r="P85" s="60">
        <f t="shared" si="90"/>
        <v>0</v>
      </c>
      <c r="Q85" s="74"/>
      <c r="R85" s="74"/>
      <c r="S85" s="41">
        <f t="shared" ref="S85:Z87" si="91">S$84</f>
        <v>30</v>
      </c>
      <c r="T85" s="60">
        <f t="shared" si="91"/>
        <v>3</v>
      </c>
      <c r="U85" s="41">
        <f t="shared" si="91"/>
        <v>30</v>
      </c>
      <c r="V85" s="60">
        <f t="shared" si="91"/>
        <v>2.2999999999999998</v>
      </c>
      <c r="W85" s="142">
        <f t="shared" si="91"/>
        <v>0.01</v>
      </c>
      <c r="X85" s="142">
        <f t="shared" si="91"/>
        <v>0.03</v>
      </c>
      <c r="Y85" s="142">
        <f t="shared" si="91"/>
        <v>0.04</v>
      </c>
      <c r="Z85" s="142">
        <f t="shared" si="91"/>
        <v>0.06</v>
      </c>
    </row>
    <row r="86" spans="2:26" ht="15.75" customHeight="1">
      <c r="B86" s="28"/>
      <c r="C86" s="58" t="str">
        <f>C$10</f>
        <v>１、２歳児</v>
      </c>
      <c r="D86" s="38">
        <f>D84</f>
        <v>19</v>
      </c>
      <c r="E86" s="42" t="str">
        <f>E$10</f>
        <v>C</v>
      </c>
      <c r="F86" s="40" t="str">
        <f t="shared" si="73"/>
        <v>19C</v>
      </c>
      <c r="G86" s="43">
        <v>1030</v>
      </c>
      <c r="H86" s="44">
        <v>2.8</v>
      </c>
      <c r="I86" s="43">
        <v>1000</v>
      </c>
      <c r="J86" s="44">
        <v>2.8</v>
      </c>
      <c r="K86" s="41">
        <f t="shared" ref="K86:P86" si="92">K$14</f>
        <v>0</v>
      </c>
      <c r="L86" s="60">
        <f t="shared" si="92"/>
        <v>0</v>
      </c>
      <c r="M86" s="41">
        <f t="shared" si="92"/>
        <v>0</v>
      </c>
      <c r="N86" s="60">
        <f t="shared" si="92"/>
        <v>0</v>
      </c>
      <c r="O86" s="41">
        <f t="shared" si="92"/>
        <v>170</v>
      </c>
      <c r="P86" s="60">
        <f t="shared" si="92"/>
        <v>2.6</v>
      </c>
      <c r="Q86" s="74"/>
      <c r="R86" s="74"/>
      <c r="S86" s="41">
        <f t="shared" si="91"/>
        <v>30</v>
      </c>
      <c r="T86" s="60">
        <f t="shared" si="91"/>
        <v>3</v>
      </c>
      <c r="U86" s="41">
        <f t="shared" si="91"/>
        <v>30</v>
      </c>
      <c r="V86" s="60">
        <f t="shared" si="91"/>
        <v>2.2999999999999998</v>
      </c>
      <c r="W86" s="142">
        <f t="shared" si="91"/>
        <v>0.01</v>
      </c>
      <c r="X86" s="142">
        <f t="shared" si="91"/>
        <v>0.03</v>
      </c>
      <c r="Y86" s="142">
        <f t="shared" si="91"/>
        <v>0.04</v>
      </c>
      <c r="Z86" s="142">
        <f t="shared" si="91"/>
        <v>0.06</v>
      </c>
    </row>
    <row r="87" spans="2:26" ht="15.75" customHeight="1">
      <c r="B87" s="73"/>
      <c r="C87" s="62" t="str">
        <f>C$11</f>
        <v>乳児</v>
      </c>
      <c r="D87" s="50">
        <f>D84</f>
        <v>19</v>
      </c>
      <c r="E87" s="54" t="str">
        <f>E$11</f>
        <v>D</v>
      </c>
      <c r="F87" s="52" t="str">
        <f t="shared" si="73"/>
        <v>19D</v>
      </c>
      <c r="G87" s="46">
        <v>1920</v>
      </c>
      <c r="H87" s="47">
        <v>2.8</v>
      </c>
      <c r="I87" s="46">
        <v>1890</v>
      </c>
      <c r="J87" s="47">
        <v>2.8</v>
      </c>
      <c r="K87" s="53">
        <f t="shared" ref="K87:P87" si="93">K$15</f>
        <v>0</v>
      </c>
      <c r="L87" s="64">
        <f t="shared" si="93"/>
        <v>0</v>
      </c>
      <c r="M87" s="53">
        <f t="shared" si="93"/>
        <v>0</v>
      </c>
      <c r="N87" s="64">
        <f t="shared" si="93"/>
        <v>0</v>
      </c>
      <c r="O87" s="53">
        <f t="shared" si="93"/>
        <v>0</v>
      </c>
      <c r="P87" s="64">
        <f t="shared" si="93"/>
        <v>0</v>
      </c>
      <c r="Q87" s="75"/>
      <c r="R87" s="75"/>
      <c r="S87" s="53">
        <f t="shared" si="91"/>
        <v>30</v>
      </c>
      <c r="T87" s="64">
        <f t="shared" si="91"/>
        <v>3</v>
      </c>
      <c r="U87" s="53">
        <f t="shared" si="91"/>
        <v>30</v>
      </c>
      <c r="V87" s="64">
        <f t="shared" si="91"/>
        <v>2.2999999999999998</v>
      </c>
      <c r="W87" s="142">
        <f t="shared" si="91"/>
        <v>0.01</v>
      </c>
      <c r="X87" s="142">
        <f t="shared" si="91"/>
        <v>0.03</v>
      </c>
      <c r="Y87" s="142">
        <f t="shared" si="91"/>
        <v>0.04</v>
      </c>
      <c r="Z87" s="142">
        <f t="shared" si="91"/>
        <v>0.06</v>
      </c>
    </row>
    <row r="88" spans="2:26" ht="15.75" customHeight="1">
      <c r="B88" s="68" t="s">
        <v>79</v>
      </c>
      <c r="C88" s="55" t="str">
        <f>C$8</f>
        <v>４歳以上児</v>
      </c>
      <c r="D88" s="30">
        <v>20</v>
      </c>
      <c r="E88" s="34" t="str">
        <f>E$8</f>
        <v>A</v>
      </c>
      <c r="F88" s="69" t="str">
        <f t="shared" si="73"/>
        <v>20A</v>
      </c>
      <c r="G88" s="70">
        <v>330</v>
      </c>
      <c r="H88" s="71">
        <v>3</v>
      </c>
      <c r="I88" s="70">
        <v>300</v>
      </c>
      <c r="J88" s="71">
        <v>3</v>
      </c>
      <c r="K88" s="33">
        <f t="shared" ref="K88:P88" si="94">K$12</f>
        <v>0</v>
      </c>
      <c r="L88" s="72">
        <f t="shared" si="94"/>
        <v>0</v>
      </c>
      <c r="M88" s="33">
        <f t="shared" si="94"/>
        <v>30</v>
      </c>
      <c r="N88" s="72">
        <f t="shared" si="94"/>
        <v>3.7</v>
      </c>
      <c r="O88" s="33">
        <f t="shared" si="94"/>
        <v>0</v>
      </c>
      <c r="P88" s="72">
        <f t="shared" si="94"/>
        <v>0</v>
      </c>
      <c r="Q88" s="35"/>
      <c r="R88" s="35"/>
      <c r="S88" s="36">
        <v>30</v>
      </c>
      <c r="T88" s="56">
        <v>2.8</v>
      </c>
      <c r="U88" s="36">
        <v>30</v>
      </c>
      <c r="V88" s="56">
        <v>2.2000000000000002</v>
      </c>
      <c r="W88" s="143">
        <v>0.01</v>
      </c>
      <c r="X88" s="143">
        <v>0.03</v>
      </c>
      <c r="Y88" s="143">
        <v>0.04</v>
      </c>
      <c r="Z88" s="143">
        <v>0.06</v>
      </c>
    </row>
    <row r="89" spans="2:26" ht="15.75" customHeight="1">
      <c r="B89" s="28"/>
      <c r="C89" s="58" t="str">
        <f>C$9</f>
        <v>３歳児</v>
      </c>
      <c r="D89" s="38">
        <f>D88</f>
        <v>20</v>
      </c>
      <c r="E89" s="42" t="str">
        <f>E$9</f>
        <v>B</v>
      </c>
      <c r="F89" s="40" t="str">
        <f t="shared" si="73"/>
        <v>20B</v>
      </c>
      <c r="G89" s="43">
        <v>410</v>
      </c>
      <c r="H89" s="44">
        <v>3</v>
      </c>
      <c r="I89" s="43">
        <v>380</v>
      </c>
      <c r="J89" s="44">
        <v>2.9</v>
      </c>
      <c r="K89" s="41">
        <f t="shared" ref="K89:P89" si="95">K$13</f>
        <v>80</v>
      </c>
      <c r="L89" s="60">
        <f t="shared" si="95"/>
        <v>2.8</v>
      </c>
      <c r="M89" s="41">
        <f t="shared" si="95"/>
        <v>0</v>
      </c>
      <c r="N89" s="60">
        <f t="shared" si="95"/>
        <v>0</v>
      </c>
      <c r="O89" s="41">
        <f t="shared" si="95"/>
        <v>0</v>
      </c>
      <c r="P89" s="60">
        <f t="shared" si="95"/>
        <v>0</v>
      </c>
      <c r="Q89" s="74"/>
      <c r="R89" s="74"/>
      <c r="S89" s="41">
        <f t="shared" ref="S89:Z91" si="96">S$88</f>
        <v>30</v>
      </c>
      <c r="T89" s="60">
        <f t="shared" si="96"/>
        <v>2.8</v>
      </c>
      <c r="U89" s="41">
        <f t="shared" si="96"/>
        <v>30</v>
      </c>
      <c r="V89" s="60">
        <f t="shared" si="96"/>
        <v>2.2000000000000002</v>
      </c>
      <c r="W89" s="142">
        <f t="shared" si="96"/>
        <v>0.01</v>
      </c>
      <c r="X89" s="142">
        <f t="shared" si="96"/>
        <v>0.03</v>
      </c>
      <c r="Y89" s="142">
        <f t="shared" si="96"/>
        <v>0.04</v>
      </c>
      <c r="Z89" s="142">
        <f t="shared" si="96"/>
        <v>0.06</v>
      </c>
    </row>
    <row r="90" spans="2:26" ht="15.75" customHeight="1">
      <c r="B90" s="28"/>
      <c r="C90" s="58" t="str">
        <f>C$10</f>
        <v>１、２歳児</v>
      </c>
      <c r="D90" s="38">
        <f>D88</f>
        <v>20</v>
      </c>
      <c r="E90" s="42" t="str">
        <f>E$10</f>
        <v>C</v>
      </c>
      <c r="F90" s="40" t="str">
        <f t="shared" si="73"/>
        <v>20C</v>
      </c>
      <c r="G90" s="43">
        <v>1030</v>
      </c>
      <c r="H90" s="44">
        <v>2.8</v>
      </c>
      <c r="I90" s="43">
        <v>990</v>
      </c>
      <c r="J90" s="44">
        <v>2.8</v>
      </c>
      <c r="K90" s="41">
        <f t="shared" ref="K90:P90" si="97">K$14</f>
        <v>0</v>
      </c>
      <c r="L90" s="60">
        <f t="shared" si="97"/>
        <v>0</v>
      </c>
      <c r="M90" s="41">
        <f t="shared" si="97"/>
        <v>0</v>
      </c>
      <c r="N90" s="60">
        <f t="shared" si="97"/>
        <v>0</v>
      </c>
      <c r="O90" s="41">
        <f t="shared" si="97"/>
        <v>170</v>
      </c>
      <c r="P90" s="60">
        <f t="shared" si="97"/>
        <v>2.6</v>
      </c>
      <c r="Q90" s="74"/>
      <c r="R90" s="74"/>
      <c r="S90" s="41">
        <f t="shared" si="96"/>
        <v>30</v>
      </c>
      <c r="T90" s="60">
        <f t="shared" si="96"/>
        <v>2.8</v>
      </c>
      <c r="U90" s="41">
        <f t="shared" si="96"/>
        <v>30</v>
      </c>
      <c r="V90" s="60">
        <f t="shared" si="96"/>
        <v>2.2000000000000002</v>
      </c>
      <c r="W90" s="142">
        <f t="shared" si="96"/>
        <v>0.01</v>
      </c>
      <c r="X90" s="142">
        <f t="shared" si="96"/>
        <v>0.03</v>
      </c>
      <c r="Y90" s="142">
        <f t="shared" si="96"/>
        <v>0.04</v>
      </c>
      <c r="Z90" s="142">
        <f t="shared" si="96"/>
        <v>0.06</v>
      </c>
    </row>
    <row r="91" spans="2:26" ht="15.75" customHeight="1">
      <c r="B91" s="73"/>
      <c r="C91" s="62" t="str">
        <f>C$11</f>
        <v>乳児</v>
      </c>
      <c r="D91" s="50">
        <f>D88</f>
        <v>20</v>
      </c>
      <c r="E91" s="54" t="str">
        <f>E$11</f>
        <v>D</v>
      </c>
      <c r="F91" s="52" t="str">
        <f t="shared" si="73"/>
        <v>20D</v>
      </c>
      <c r="G91" s="46">
        <v>1920</v>
      </c>
      <c r="H91" s="47">
        <v>2.8</v>
      </c>
      <c r="I91" s="46">
        <v>1880</v>
      </c>
      <c r="J91" s="47">
        <v>2.8</v>
      </c>
      <c r="K91" s="53">
        <f t="shared" ref="K91:P91" si="98">K$15</f>
        <v>0</v>
      </c>
      <c r="L91" s="64">
        <f t="shared" si="98"/>
        <v>0</v>
      </c>
      <c r="M91" s="53">
        <f t="shared" si="98"/>
        <v>0</v>
      </c>
      <c r="N91" s="64">
        <f t="shared" si="98"/>
        <v>0</v>
      </c>
      <c r="O91" s="53">
        <f t="shared" si="98"/>
        <v>0</v>
      </c>
      <c r="P91" s="64">
        <f t="shared" si="98"/>
        <v>0</v>
      </c>
      <c r="Q91" s="75"/>
      <c r="R91" s="75"/>
      <c r="S91" s="53">
        <f t="shared" si="96"/>
        <v>30</v>
      </c>
      <c r="T91" s="64">
        <f t="shared" si="96"/>
        <v>2.8</v>
      </c>
      <c r="U91" s="53">
        <f t="shared" si="96"/>
        <v>30</v>
      </c>
      <c r="V91" s="64">
        <f t="shared" si="96"/>
        <v>2.2000000000000002</v>
      </c>
      <c r="W91" s="142">
        <f t="shared" si="96"/>
        <v>0.01</v>
      </c>
      <c r="X91" s="142">
        <f t="shared" si="96"/>
        <v>0.03</v>
      </c>
      <c r="Y91" s="142">
        <f t="shared" si="96"/>
        <v>0.04</v>
      </c>
      <c r="Z91" s="142">
        <f t="shared" si="96"/>
        <v>0.06</v>
      </c>
    </row>
    <row r="92" spans="2:26" ht="15.75" customHeight="1">
      <c r="B92" s="68" t="s">
        <v>80</v>
      </c>
      <c r="C92" s="55" t="str">
        <f>C$8</f>
        <v>４歳以上児</v>
      </c>
      <c r="D92" s="30">
        <v>21</v>
      </c>
      <c r="E92" s="34" t="str">
        <f>E$8</f>
        <v>A</v>
      </c>
      <c r="F92" s="69" t="str">
        <f t="shared" si="73"/>
        <v>21A</v>
      </c>
      <c r="G92" s="70">
        <v>320</v>
      </c>
      <c r="H92" s="71">
        <v>3</v>
      </c>
      <c r="I92" s="70">
        <v>290</v>
      </c>
      <c r="J92" s="71">
        <v>3</v>
      </c>
      <c r="K92" s="33">
        <f t="shared" ref="K92:P92" si="99">K$12</f>
        <v>0</v>
      </c>
      <c r="L92" s="72">
        <f t="shared" si="99"/>
        <v>0</v>
      </c>
      <c r="M92" s="33">
        <f t="shared" si="99"/>
        <v>30</v>
      </c>
      <c r="N92" s="72">
        <f t="shared" si="99"/>
        <v>3.7</v>
      </c>
      <c r="O92" s="33">
        <f t="shared" si="99"/>
        <v>0</v>
      </c>
      <c r="P92" s="72">
        <f t="shared" si="99"/>
        <v>0</v>
      </c>
      <c r="Q92" s="35"/>
      <c r="R92" s="35"/>
      <c r="S92" s="36">
        <v>20</v>
      </c>
      <c r="T92" s="56">
        <v>4</v>
      </c>
      <c r="U92" s="36">
        <v>30</v>
      </c>
      <c r="V92" s="56">
        <v>2</v>
      </c>
      <c r="W92" s="143">
        <v>0.01</v>
      </c>
      <c r="X92" s="143">
        <v>0.03</v>
      </c>
      <c r="Y92" s="143">
        <v>0.04</v>
      </c>
      <c r="Z92" s="143">
        <v>0.06</v>
      </c>
    </row>
    <row r="93" spans="2:26" ht="15.75" customHeight="1">
      <c r="B93" s="28"/>
      <c r="C93" s="58" t="str">
        <f>C$9</f>
        <v>３歳児</v>
      </c>
      <c r="D93" s="38">
        <f>D92</f>
        <v>21</v>
      </c>
      <c r="E93" s="42" t="str">
        <f>E$9</f>
        <v>B</v>
      </c>
      <c r="F93" s="40" t="str">
        <f t="shared" si="73"/>
        <v>21B</v>
      </c>
      <c r="G93" s="43">
        <v>400</v>
      </c>
      <c r="H93" s="44">
        <v>3</v>
      </c>
      <c r="I93" s="43">
        <v>370</v>
      </c>
      <c r="J93" s="44">
        <v>2.9</v>
      </c>
      <c r="K93" s="41">
        <f t="shared" ref="K93:P93" si="100">K$13</f>
        <v>80</v>
      </c>
      <c r="L93" s="60">
        <f t="shared" si="100"/>
        <v>2.8</v>
      </c>
      <c r="M93" s="41">
        <f t="shared" si="100"/>
        <v>0</v>
      </c>
      <c r="N93" s="60">
        <f t="shared" si="100"/>
        <v>0</v>
      </c>
      <c r="O93" s="41">
        <f t="shared" si="100"/>
        <v>0</v>
      </c>
      <c r="P93" s="60">
        <f t="shared" si="100"/>
        <v>0</v>
      </c>
      <c r="Q93" s="74"/>
      <c r="R93" s="74"/>
      <c r="S93" s="41">
        <f t="shared" ref="S93:Z95" si="101">S$92</f>
        <v>20</v>
      </c>
      <c r="T93" s="60">
        <f t="shared" si="101"/>
        <v>4</v>
      </c>
      <c r="U93" s="41">
        <f t="shared" si="101"/>
        <v>30</v>
      </c>
      <c r="V93" s="60">
        <f t="shared" si="101"/>
        <v>2</v>
      </c>
      <c r="W93" s="142">
        <f t="shared" si="101"/>
        <v>0.01</v>
      </c>
      <c r="X93" s="142">
        <f t="shared" si="101"/>
        <v>0.03</v>
      </c>
      <c r="Y93" s="142">
        <f t="shared" si="101"/>
        <v>0.04</v>
      </c>
      <c r="Z93" s="142">
        <f t="shared" si="101"/>
        <v>0.06</v>
      </c>
    </row>
    <row r="94" spans="2:26" ht="15.75" customHeight="1">
      <c r="B94" s="28"/>
      <c r="C94" s="58" t="str">
        <f>C$10</f>
        <v>１、２歳児</v>
      </c>
      <c r="D94" s="38">
        <f>D92</f>
        <v>21</v>
      </c>
      <c r="E94" s="42" t="str">
        <f>E$10</f>
        <v>C</v>
      </c>
      <c r="F94" s="40" t="str">
        <f t="shared" si="73"/>
        <v>21C</v>
      </c>
      <c r="G94" s="43">
        <v>1020</v>
      </c>
      <c r="H94" s="44">
        <v>2.8</v>
      </c>
      <c r="I94" s="43">
        <v>980</v>
      </c>
      <c r="J94" s="44">
        <v>2.8</v>
      </c>
      <c r="K94" s="41">
        <f t="shared" ref="K94:P94" si="102">K$14</f>
        <v>0</v>
      </c>
      <c r="L94" s="60">
        <f t="shared" si="102"/>
        <v>0</v>
      </c>
      <c r="M94" s="41">
        <f t="shared" si="102"/>
        <v>0</v>
      </c>
      <c r="N94" s="60">
        <f t="shared" si="102"/>
        <v>0</v>
      </c>
      <c r="O94" s="41">
        <f t="shared" si="102"/>
        <v>170</v>
      </c>
      <c r="P94" s="60">
        <f t="shared" si="102"/>
        <v>2.6</v>
      </c>
      <c r="Q94" s="74"/>
      <c r="R94" s="74"/>
      <c r="S94" s="41">
        <f t="shared" si="101"/>
        <v>20</v>
      </c>
      <c r="T94" s="60">
        <f t="shared" si="101"/>
        <v>4</v>
      </c>
      <c r="U94" s="41">
        <f t="shared" si="101"/>
        <v>30</v>
      </c>
      <c r="V94" s="60">
        <f t="shared" si="101"/>
        <v>2</v>
      </c>
      <c r="W94" s="142">
        <f t="shared" si="101"/>
        <v>0.01</v>
      </c>
      <c r="X94" s="142">
        <f t="shared" si="101"/>
        <v>0.03</v>
      </c>
      <c r="Y94" s="142">
        <f t="shared" si="101"/>
        <v>0.04</v>
      </c>
      <c r="Z94" s="142">
        <f t="shared" si="101"/>
        <v>0.06</v>
      </c>
    </row>
    <row r="95" spans="2:26" ht="15.75" customHeight="1">
      <c r="B95" s="73"/>
      <c r="C95" s="62" t="str">
        <f>C$11</f>
        <v>乳児</v>
      </c>
      <c r="D95" s="50">
        <f>D92</f>
        <v>21</v>
      </c>
      <c r="E95" s="54" t="str">
        <f>E$11</f>
        <v>D</v>
      </c>
      <c r="F95" s="76" t="str">
        <f t="shared" si="73"/>
        <v>21D</v>
      </c>
      <c r="G95" s="77">
        <v>1910</v>
      </c>
      <c r="H95" s="78">
        <v>2.8</v>
      </c>
      <c r="I95" s="77">
        <v>1870</v>
      </c>
      <c r="J95" s="78">
        <v>2.8</v>
      </c>
      <c r="K95" s="79">
        <f t="shared" ref="K95:P95" si="103">K$15</f>
        <v>0</v>
      </c>
      <c r="L95" s="80">
        <f t="shared" si="103"/>
        <v>0</v>
      </c>
      <c r="M95" s="79">
        <f t="shared" si="103"/>
        <v>0</v>
      </c>
      <c r="N95" s="80">
        <f t="shared" si="103"/>
        <v>0</v>
      </c>
      <c r="O95" s="79">
        <f t="shared" si="103"/>
        <v>0</v>
      </c>
      <c r="P95" s="80">
        <f t="shared" si="103"/>
        <v>0</v>
      </c>
      <c r="Q95" s="81"/>
      <c r="R95" s="81"/>
      <c r="S95" s="79">
        <f t="shared" si="101"/>
        <v>20</v>
      </c>
      <c r="T95" s="80">
        <f t="shared" si="101"/>
        <v>4</v>
      </c>
      <c r="U95" s="79">
        <f t="shared" si="101"/>
        <v>30</v>
      </c>
      <c r="V95" s="80">
        <f t="shared" si="101"/>
        <v>2</v>
      </c>
      <c r="W95" s="142">
        <f t="shared" si="101"/>
        <v>0.01</v>
      </c>
      <c r="X95" s="142">
        <f t="shared" si="101"/>
        <v>0.03</v>
      </c>
      <c r="Y95" s="142">
        <f t="shared" si="101"/>
        <v>0.04</v>
      </c>
      <c r="Z95" s="142">
        <f t="shared" si="101"/>
        <v>0.06</v>
      </c>
    </row>
  </sheetData>
  <sheetProtection algorithmName="SHA-512" hashValue="dbu2wgQ1dPbI77Da46/D1+tx/wkgMGOTgm6c2y0v0qpy/1AMXdGqICHXA9gyFzPYnkzGVywf3p2bz6Mtwa1+2w==" saltValue="r/qL2yLucsBy+dYcC6fD0A==" spinCount="100000" sheet="1" objects="1" scenarios="1"/>
  <phoneticPr fontId="6"/>
  <pageMargins left="0.70866141732283472" right="0.70866141732283472" top="0.74803149606299213" bottom="0.74803149606299213" header="0.31496062992125984" footer="0.31496062992125984"/>
  <pageSetup paperSize="9" scale="32" orientation="landscape" r:id="rId1"/>
  <tableParts count="4">
    <tablePart r:id="rId2"/>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50BB-E61C-4E85-AC30-0DACA483535F}">
  <sheetPr>
    <tabColor theme="2" tint="-9.9978637043366805E-2"/>
  </sheetPr>
  <dimension ref="A1:F11"/>
  <sheetViews>
    <sheetView workbookViewId="0">
      <selection activeCell="A3" sqref="A3"/>
    </sheetView>
  </sheetViews>
  <sheetFormatPr defaultRowHeight="12.75"/>
  <cols>
    <col min="1" max="1" width="18.875" style="419" bestFit="1" customWidth="1"/>
    <col min="2" max="5" width="9" style="419"/>
    <col min="6" max="6" width="61.625" style="419" bestFit="1" customWidth="1"/>
    <col min="7" max="16384" width="9" style="419"/>
  </cols>
  <sheetData>
    <row r="1" spans="1:6" s="83" customFormat="1">
      <c r="A1" s="83" t="s">
        <v>347</v>
      </c>
      <c r="B1" s="83" t="s">
        <v>346</v>
      </c>
      <c r="C1" s="83" t="s">
        <v>345</v>
      </c>
      <c r="D1" s="83" t="s">
        <v>344</v>
      </c>
      <c r="E1" s="83" t="s">
        <v>343</v>
      </c>
      <c r="F1" s="83" t="s">
        <v>342</v>
      </c>
    </row>
    <row r="2" spans="1:6">
      <c r="A2" s="419" t="s">
        <v>341</v>
      </c>
      <c r="B2" s="419" t="s">
        <v>340</v>
      </c>
      <c r="C2" s="419" t="s">
        <v>316</v>
      </c>
      <c r="D2" s="419" t="s">
        <v>314</v>
      </c>
      <c r="E2" s="419" t="s">
        <v>312</v>
      </c>
      <c r="F2" s="419" t="s">
        <v>348</v>
      </c>
    </row>
    <row r="3" spans="1:6">
      <c r="A3" s="419" t="s">
        <v>339</v>
      </c>
      <c r="B3" s="419" t="s">
        <v>338</v>
      </c>
      <c r="C3" s="419" t="s">
        <v>337</v>
      </c>
      <c r="D3" s="419" t="s">
        <v>336</v>
      </c>
      <c r="E3" s="419" t="s">
        <v>335</v>
      </c>
      <c r="F3" s="419" t="s">
        <v>334</v>
      </c>
    </row>
    <row r="4" spans="1:6">
      <c r="A4" s="419" t="s">
        <v>321</v>
      </c>
    </row>
    <row r="5" spans="1:6">
      <c r="A5" s="419" t="s">
        <v>333</v>
      </c>
    </row>
    <row r="6" spans="1:6">
      <c r="A6" s="419" t="s">
        <v>332</v>
      </c>
    </row>
    <row r="7" spans="1:6">
      <c r="A7" s="419" t="s">
        <v>331</v>
      </c>
    </row>
    <row r="8" spans="1:6">
      <c r="A8" s="419" t="s">
        <v>330</v>
      </c>
    </row>
    <row r="9" spans="1:6">
      <c r="A9" s="419" t="s">
        <v>329</v>
      </c>
    </row>
    <row r="10" spans="1:6">
      <c r="A10" s="419" t="s">
        <v>328</v>
      </c>
    </row>
    <row r="11" spans="1:6">
      <c r="A11" s="419" t="s">
        <v>327</v>
      </c>
    </row>
  </sheetData>
  <sheetProtection algorithmName="SHA-512" hashValue="pgMcaOZcjtHZnJUUclV7/f3o4cP4RIF6YqwRXkZFGJ/Maw3qKc+a6lTzUmFANQfMixGLenEPfvdmDlqUhVODiQ==" saltValue="cWAH79QECfT+V0L08FiFQQ==" spinCount="100000" sheet="1" objects="1" scenarios="1"/>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L23"/>
  <sheetViews>
    <sheetView zoomScaleNormal="100" workbookViewId="0">
      <selection activeCell="F6" sqref="F6"/>
    </sheetView>
  </sheetViews>
  <sheetFormatPr defaultRowHeight="12.75"/>
  <cols>
    <col min="1" max="1" width="13" style="84" bestFit="1" customWidth="1"/>
    <col min="2" max="3" width="7" style="84" bestFit="1" customWidth="1"/>
    <col min="4" max="4" width="28" style="84" bestFit="1" customWidth="1"/>
    <col min="5" max="5" width="7" style="84" bestFit="1" customWidth="1"/>
    <col min="6" max="6" width="11" style="84" bestFit="1" customWidth="1"/>
    <col min="7" max="7" width="8.25" style="84" bestFit="1" customWidth="1"/>
    <col min="8" max="8" width="11" style="84" customWidth="1"/>
    <col min="9" max="10" width="7.125" style="84" bestFit="1" customWidth="1"/>
    <col min="11" max="16384" width="9" style="84"/>
  </cols>
  <sheetData>
    <row r="1" spans="1:12" s="83" customFormat="1">
      <c r="A1" s="83" t="s">
        <v>81</v>
      </c>
      <c r="B1" s="83" t="s">
        <v>82</v>
      </c>
      <c r="C1" s="83" t="s">
        <v>118</v>
      </c>
      <c r="D1" s="83" t="s">
        <v>119</v>
      </c>
      <c r="E1" s="83" t="s">
        <v>120</v>
      </c>
      <c r="F1" s="83" t="s">
        <v>147</v>
      </c>
      <c r="G1" s="83" t="s">
        <v>183</v>
      </c>
      <c r="H1" s="83" t="s">
        <v>184</v>
      </c>
      <c r="I1" s="83" t="s">
        <v>136</v>
      </c>
      <c r="J1" s="83" t="s">
        <v>137</v>
      </c>
      <c r="K1" s="83" t="s">
        <v>216</v>
      </c>
      <c r="L1" s="83" t="s">
        <v>217</v>
      </c>
    </row>
    <row r="2" spans="1:12">
      <c r="A2" s="84" t="s">
        <v>85</v>
      </c>
      <c r="B2" s="84" t="s">
        <v>83</v>
      </c>
      <c r="C2" s="84" t="s">
        <v>115</v>
      </c>
      <c r="D2" s="84" t="s">
        <v>121</v>
      </c>
      <c r="E2" s="84" t="s">
        <v>123</v>
      </c>
      <c r="F2" s="84" t="s">
        <v>148</v>
      </c>
      <c r="G2" s="84">
        <v>1</v>
      </c>
      <c r="H2" s="84" t="s">
        <v>185</v>
      </c>
      <c r="I2" s="84">
        <v>1</v>
      </c>
      <c r="J2" s="84">
        <v>1</v>
      </c>
      <c r="K2" s="84">
        <v>12</v>
      </c>
      <c r="L2" s="84">
        <v>7</v>
      </c>
    </row>
    <row r="3" spans="1:12">
      <c r="A3" s="84" t="s">
        <v>86</v>
      </c>
      <c r="B3" s="84" t="s">
        <v>84</v>
      </c>
      <c r="D3" s="84" t="s">
        <v>122</v>
      </c>
      <c r="E3" s="84" t="s">
        <v>124</v>
      </c>
      <c r="F3" s="84" t="s">
        <v>149</v>
      </c>
      <c r="G3" s="84">
        <v>2</v>
      </c>
      <c r="H3" s="84" t="s">
        <v>186</v>
      </c>
      <c r="I3" s="84">
        <v>21</v>
      </c>
      <c r="J3" s="84">
        <v>2</v>
      </c>
      <c r="K3" s="84">
        <v>12</v>
      </c>
      <c r="L3" s="84">
        <v>6</v>
      </c>
    </row>
    <row r="4" spans="1:12">
      <c r="A4" s="84" t="s">
        <v>87</v>
      </c>
      <c r="E4" s="84" t="s">
        <v>125</v>
      </c>
      <c r="F4" s="84" t="s">
        <v>150</v>
      </c>
      <c r="H4" s="84" t="s">
        <v>187</v>
      </c>
      <c r="I4" s="84">
        <f t="shared" ref="I4:I11" si="0">I3+5</f>
        <v>26</v>
      </c>
      <c r="J4" s="84">
        <v>3</v>
      </c>
      <c r="K4" s="84">
        <v>11</v>
      </c>
      <c r="L4" s="84">
        <v>6</v>
      </c>
    </row>
    <row r="5" spans="1:12">
      <c r="A5" s="84" t="s">
        <v>88</v>
      </c>
      <c r="F5" s="84" t="s">
        <v>151</v>
      </c>
      <c r="H5" s="84" t="s">
        <v>188</v>
      </c>
      <c r="I5" s="84">
        <f t="shared" si="0"/>
        <v>31</v>
      </c>
      <c r="J5" s="84">
        <v>4</v>
      </c>
      <c r="K5" s="84">
        <v>10</v>
      </c>
      <c r="L5" s="84">
        <v>6</v>
      </c>
    </row>
    <row r="6" spans="1:12">
      <c r="A6" s="84" t="s">
        <v>89</v>
      </c>
      <c r="F6" s="84" t="s">
        <v>152</v>
      </c>
      <c r="I6" s="84">
        <f t="shared" si="0"/>
        <v>36</v>
      </c>
      <c r="J6" s="84">
        <v>5</v>
      </c>
      <c r="K6" s="84">
        <v>9</v>
      </c>
      <c r="L6" s="84">
        <v>6</v>
      </c>
    </row>
    <row r="7" spans="1:12">
      <c r="A7" s="84" t="s">
        <v>90</v>
      </c>
      <c r="F7" s="84" t="s">
        <v>153</v>
      </c>
      <c r="I7" s="84">
        <f t="shared" si="0"/>
        <v>41</v>
      </c>
      <c r="J7" s="84">
        <v>6</v>
      </c>
      <c r="K7" s="84">
        <v>8</v>
      </c>
      <c r="L7" s="84">
        <v>6</v>
      </c>
    </row>
    <row r="8" spans="1:12">
      <c r="A8" s="84" t="s">
        <v>91</v>
      </c>
      <c r="F8" s="84" t="s">
        <v>154</v>
      </c>
      <c r="I8" s="84">
        <f t="shared" si="0"/>
        <v>46</v>
      </c>
      <c r="J8" s="84">
        <v>7</v>
      </c>
      <c r="K8" s="84">
        <v>7</v>
      </c>
      <c r="L8" s="84">
        <v>6</v>
      </c>
    </row>
    <row r="9" spans="1:12">
      <c r="A9" s="84" t="s">
        <v>92</v>
      </c>
      <c r="F9" s="84" t="s">
        <v>155</v>
      </c>
      <c r="I9" s="84">
        <f t="shared" si="0"/>
        <v>51</v>
      </c>
      <c r="J9" s="84">
        <v>8</v>
      </c>
      <c r="K9" s="84">
        <v>6</v>
      </c>
      <c r="L9" s="84">
        <v>6</v>
      </c>
    </row>
    <row r="10" spans="1:12">
      <c r="A10" s="84" t="s">
        <v>93</v>
      </c>
      <c r="F10" s="84" t="s">
        <v>156</v>
      </c>
      <c r="I10" s="84">
        <f t="shared" si="0"/>
        <v>56</v>
      </c>
      <c r="J10" s="84">
        <v>9</v>
      </c>
      <c r="K10" s="84">
        <v>5</v>
      </c>
      <c r="L10" s="84">
        <v>6</v>
      </c>
    </row>
    <row r="11" spans="1:12">
      <c r="A11" s="84" t="s">
        <v>94</v>
      </c>
      <c r="F11" s="84" t="s">
        <v>157</v>
      </c>
      <c r="I11" s="84">
        <f t="shared" si="0"/>
        <v>61</v>
      </c>
      <c r="J11" s="84">
        <v>10</v>
      </c>
      <c r="K11" s="84">
        <v>4</v>
      </c>
      <c r="L11" s="84">
        <v>6</v>
      </c>
    </row>
    <row r="12" spans="1:12">
      <c r="A12" s="84" t="s">
        <v>95</v>
      </c>
      <c r="F12" s="84" t="s">
        <v>158</v>
      </c>
      <c r="I12" s="84">
        <f t="shared" ref="I12:I23" si="1">I11+10</f>
        <v>71</v>
      </c>
      <c r="J12" s="84">
        <v>11</v>
      </c>
      <c r="K12" s="84">
        <v>3</v>
      </c>
      <c r="L12" s="84">
        <v>6</v>
      </c>
    </row>
    <row r="13" spans="1:12">
      <c r="A13" s="84" t="s">
        <v>96</v>
      </c>
      <c r="F13" s="84" t="s">
        <v>159</v>
      </c>
      <c r="I13" s="84">
        <f t="shared" si="1"/>
        <v>81</v>
      </c>
      <c r="J13" s="84">
        <v>12</v>
      </c>
      <c r="K13" s="84">
        <v>2</v>
      </c>
      <c r="L13" s="84">
        <v>6</v>
      </c>
    </row>
    <row r="14" spans="1:12">
      <c r="F14" s="84" t="s">
        <v>160</v>
      </c>
      <c r="I14" s="84">
        <f t="shared" si="1"/>
        <v>91</v>
      </c>
      <c r="J14" s="84">
        <v>13</v>
      </c>
    </row>
    <row r="15" spans="1:12">
      <c r="F15" s="84" t="s">
        <v>161</v>
      </c>
      <c r="I15" s="84">
        <f t="shared" si="1"/>
        <v>101</v>
      </c>
      <c r="J15" s="84">
        <v>14</v>
      </c>
    </row>
    <row r="16" spans="1:12">
      <c r="I16" s="84">
        <f t="shared" si="1"/>
        <v>111</v>
      </c>
      <c r="J16" s="84">
        <v>15</v>
      </c>
    </row>
    <row r="17" spans="9:10">
      <c r="I17" s="84">
        <f t="shared" si="1"/>
        <v>121</v>
      </c>
      <c r="J17" s="84">
        <v>16</v>
      </c>
    </row>
    <row r="18" spans="9:10">
      <c r="I18" s="84">
        <f t="shared" si="1"/>
        <v>131</v>
      </c>
      <c r="J18" s="84">
        <v>17</v>
      </c>
    </row>
    <row r="19" spans="9:10">
      <c r="I19" s="84">
        <f t="shared" si="1"/>
        <v>141</v>
      </c>
      <c r="J19" s="84">
        <v>18</v>
      </c>
    </row>
    <row r="20" spans="9:10">
      <c r="I20" s="84">
        <f t="shared" si="1"/>
        <v>151</v>
      </c>
      <c r="J20" s="84">
        <v>19</v>
      </c>
    </row>
    <row r="21" spans="9:10">
      <c r="I21" s="84">
        <f t="shared" si="1"/>
        <v>161</v>
      </c>
      <c r="J21" s="84">
        <v>20</v>
      </c>
    </row>
    <row r="22" spans="9:10">
      <c r="I22" s="84">
        <f t="shared" si="1"/>
        <v>171</v>
      </c>
      <c r="J22" s="84">
        <v>21</v>
      </c>
    </row>
    <row r="23" spans="9:10">
      <c r="I23" s="84">
        <f t="shared" si="1"/>
        <v>181</v>
      </c>
      <c r="J23" s="84">
        <v>21</v>
      </c>
    </row>
  </sheetData>
  <sheetProtection algorithmName="SHA-512" hashValue="x3p6KDAhylI1F7XPaCYwMomoRZ3BOrOrRTatUfIqhlbkOmlDpIGrgdFB5xiodD3djTgE54YpYrkS6euMvD2h4g==" saltValue="GjiIL6de2VWzPswIkXp9OA==" spinCount="100000" sheet="1" objects="1" scenarios="1"/>
  <phoneticPr fontId="4"/>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0B50-BD7C-4039-8F94-73A6FF752FA7}">
  <dimension ref="A1:BE2"/>
  <sheetViews>
    <sheetView topLeftCell="K1" zoomScale="85" zoomScaleNormal="85" workbookViewId="0">
      <selection activeCell="AC2" sqref="AC2"/>
    </sheetView>
  </sheetViews>
  <sheetFormatPr defaultRowHeight="18.75"/>
  <cols>
    <col min="1" max="57" width="5.25" customWidth="1"/>
  </cols>
  <sheetData>
    <row r="1" spans="1:57" ht="163.5" customHeight="1">
      <c r="A1" s="716" t="s">
        <v>642</v>
      </c>
      <c r="B1" s="716" t="s">
        <v>643</v>
      </c>
      <c r="C1" s="716" t="s">
        <v>644</v>
      </c>
      <c r="D1" s="716" t="s">
        <v>645</v>
      </c>
      <c r="E1" s="716" t="s">
        <v>646</v>
      </c>
      <c r="F1" s="716" t="s">
        <v>647</v>
      </c>
      <c r="G1" s="716" t="s">
        <v>648</v>
      </c>
      <c r="H1" s="716" t="s">
        <v>649</v>
      </c>
      <c r="I1" s="716" t="s">
        <v>650</v>
      </c>
      <c r="J1" s="716" t="s">
        <v>651</v>
      </c>
      <c r="K1" s="716" t="s">
        <v>652</v>
      </c>
      <c r="L1" s="716" t="s">
        <v>653</v>
      </c>
      <c r="M1" s="716" t="s">
        <v>654</v>
      </c>
      <c r="N1" s="716" t="s">
        <v>655</v>
      </c>
      <c r="O1" s="716" t="s">
        <v>656</v>
      </c>
      <c r="P1" s="716" t="s">
        <v>657</v>
      </c>
      <c r="Q1" s="716" t="s">
        <v>658</v>
      </c>
      <c r="R1" s="716" t="s">
        <v>659</v>
      </c>
      <c r="S1" s="716" t="s">
        <v>660</v>
      </c>
      <c r="T1" s="716" t="s">
        <v>661</v>
      </c>
      <c r="U1" s="716" t="s">
        <v>662</v>
      </c>
      <c r="V1" s="716" t="s">
        <v>663</v>
      </c>
      <c r="W1" s="716" t="s">
        <v>664</v>
      </c>
      <c r="X1" s="716" t="s">
        <v>665</v>
      </c>
      <c r="Y1" s="716" t="s">
        <v>666</v>
      </c>
      <c r="Z1" s="716" t="s">
        <v>667</v>
      </c>
      <c r="AA1" s="716" t="s">
        <v>668</v>
      </c>
      <c r="AB1" s="716" t="s">
        <v>669</v>
      </c>
      <c r="AC1" s="716" t="s">
        <v>670</v>
      </c>
      <c r="AD1" s="716" t="s">
        <v>671</v>
      </c>
      <c r="AE1" s="716" t="s">
        <v>672</v>
      </c>
      <c r="AF1" s="716" t="s">
        <v>673</v>
      </c>
      <c r="AG1" s="716" t="s">
        <v>674</v>
      </c>
      <c r="AH1" s="716" t="s">
        <v>675</v>
      </c>
      <c r="AI1" s="716" t="s">
        <v>676</v>
      </c>
      <c r="AJ1" s="716" t="s">
        <v>677</v>
      </c>
      <c r="AK1" s="716" t="s">
        <v>678</v>
      </c>
      <c r="AL1" s="716" t="s">
        <v>679</v>
      </c>
      <c r="AM1" s="716" t="s">
        <v>680</v>
      </c>
      <c r="AN1" s="716" t="s">
        <v>681</v>
      </c>
      <c r="AO1" s="716" t="s">
        <v>682</v>
      </c>
      <c r="AP1" s="716" t="s">
        <v>683</v>
      </c>
      <c r="AQ1" s="716" t="s">
        <v>684</v>
      </c>
      <c r="AR1" s="716" t="s">
        <v>685</v>
      </c>
      <c r="AS1" s="716" t="s">
        <v>686</v>
      </c>
      <c r="AT1" s="716" t="s">
        <v>687</v>
      </c>
      <c r="AU1" s="729" t="s">
        <v>725</v>
      </c>
      <c r="AV1" s="729" t="s">
        <v>726</v>
      </c>
      <c r="AW1" s="729" t="s">
        <v>727</v>
      </c>
      <c r="AX1" s="729" t="s">
        <v>728</v>
      </c>
      <c r="AY1" s="729" t="s">
        <v>729</v>
      </c>
      <c r="AZ1" s="716" t="s">
        <v>688</v>
      </c>
      <c r="BA1" s="716" t="s">
        <v>689</v>
      </c>
      <c r="BB1" s="716" t="s">
        <v>690</v>
      </c>
      <c r="BC1" s="716" t="s">
        <v>691</v>
      </c>
      <c r="BD1" s="716" t="s">
        <v>692</v>
      </c>
      <c r="BE1" s="716" t="s">
        <v>693</v>
      </c>
    </row>
    <row r="2" spans="1:57">
      <c r="A2" s="717">
        <f>'0_基本情報'!$D$3</f>
        <v>0</v>
      </c>
      <c r="B2" s="717">
        <f>'0_基本情報'!$D$4</f>
        <v>0</v>
      </c>
      <c r="C2" s="717">
        <f>'0_基本情報'!$D$5</f>
        <v>0</v>
      </c>
      <c r="D2" s="717" t="str">
        <f>IF('0_基本情報'!$D$9='【リスト】 (2)'!$B$2,"○","")</f>
        <v/>
      </c>
      <c r="E2" s="717" t="str">
        <f>IF('0_基本情報'!$D$13='【リスト】 (2)'!$B$2,"○","")</f>
        <v/>
      </c>
      <c r="F2" s="717" t="str">
        <f>IF('0_基本情報'!$D$17='【リスト】 (2)'!$B$2,"○","")</f>
        <v/>
      </c>
      <c r="G2" s="717" t="str">
        <f>IF('0_基本情報'!$D$22='【リスト】 (2)'!$C$2,"○","")</f>
        <v/>
      </c>
      <c r="H2" s="717" t="str">
        <f>IF('0_基本情報'!$D$23='【リスト】 (2)'!$C$2,"○","")</f>
        <v/>
      </c>
      <c r="I2" s="717" t="str">
        <f>IF('0_基本情報'!$D$24='【リスト】 (2)'!$C$2,"○","")</f>
        <v/>
      </c>
      <c r="J2" s="717" t="str">
        <f>IF('0_基本情報'!$B$33='【リスト】 (2)'!$F$2,"○","")</f>
        <v/>
      </c>
      <c r="K2" s="717" t="str">
        <f>'0_基本情報'!$H$34</f>
        <v>-</v>
      </c>
      <c r="L2" s="717" t="str">
        <f>'0_基本情報'!$H$35</f>
        <v>-</v>
      </c>
      <c r="M2" s="717" t="str">
        <f>'0_基本情報'!$H$36</f>
        <v>-</v>
      </c>
      <c r="N2" s="717" t="str">
        <f>'0_基本情報'!$H$37</f>
        <v>-</v>
      </c>
      <c r="O2" s="717" t="str">
        <f>'0_基本情報'!$H$38</f>
        <v>-</v>
      </c>
      <c r="P2" s="717" t="str">
        <f>'0_基本情報'!$H$39</f>
        <v>-</v>
      </c>
      <c r="Q2" s="717" t="str">
        <f>'0_基本情報'!$H$40</f>
        <v>-</v>
      </c>
      <c r="R2" s="717" t="str">
        <f>'0_基本情報'!$H$41</f>
        <v>-</v>
      </c>
      <c r="S2" s="717" t="str">
        <f>'0_基本情報'!$H$44</f>
        <v>-</v>
      </c>
      <c r="T2" s="717" t="str">
        <f>'0_基本情報'!$H$45</f>
        <v>-</v>
      </c>
      <c r="U2" s="717" t="e">
        <f>【参考】計算結果!$D$5</f>
        <v>#N/A</v>
      </c>
      <c r="V2" s="717" t="e">
        <f>【参考】計算結果!$D$6</f>
        <v>#N/A</v>
      </c>
      <c r="W2" s="717" t="e">
        <f>【参考】計算結果!$D$9</f>
        <v>#N/A</v>
      </c>
      <c r="X2" s="717" t="e">
        <f>【参考】計算結果!$D$10</f>
        <v>#N/A</v>
      </c>
      <c r="Y2" s="717" t="e">
        <f>【参考】計算結果!$D$13</f>
        <v>#N/A</v>
      </c>
      <c r="Z2" s="717" t="e">
        <f>【参考】計算結果!$D$14</f>
        <v>#N/A</v>
      </c>
      <c r="AA2" s="717">
        <f>【参考】計算結果!$D$19</f>
        <v>0</v>
      </c>
      <c r="AB2" s="717">
        <f>【参考】計算結果!$D$20</f>
        <v>0</v>
      </c>
      <c r="AC2" s="717" t="str">
        <f>【参考】計算結果!$D$17</f>
        <v>実人数を入力してください。</v>
      </c>
      <c r="AD2" s="717" t="str">
        <f>【参考】計算結果!$D$18</f>
        <v>実人数を入力してください。</v>
      </c>
      <c r="AE2" s="717">
        <f>様式1!$F$17</f>
        <v>0</v>
      </c>
      <c r="AF2" s="717">
        <f>様式1!$F$51</f>
        <v>0</v>
      </c>
      <c r="AG2" s="717">
        <f>様式3!$Q$16</f>
        <v>0</v>
      </c>
      <c r="AH2" s="717">
        <f>様式3!$Q$17</f>
        <v>0</v>
      </c>
      <c r="AI2" s="717">
        <f>様式3!$Q$18</f>
        <v>0</v>
      </c>
      <c r="AJ2" s="717">
        <f>様式3!$AA$21</f>
        <v>0</v>
      </c>
      <c r="AK2" s="717" t="str">
        <f>様式3!$AF$15</f>
        <v>×</v>
      </c>
      <c r="AL2" s="717" t="e">
        <f>様式4!$N$12</f>
        <v>#N/A</v>
      </c>
      <c r="AM2" s="717">
        <f>様式4!$N$14</f>
        <v>0</v>
      </c>
      <c r="AN2" s="717">
        <f>様式4!$N$15</f>
        <v>0</v>
      </c>
      <c r="AO2" s="717">
        <f>様式4!$W$12</f>
        <v>0</v>
      </c>
      <c r="AP2" s="717">
        <f>様式4!$W$14</f>
        <v>0</v>
      </c>
      <c r="AQ2" s="717">
        <f>様式4!$W$15</f>
        <v>0</v>
      </c>
      <c r="AR2" s="717" t="str">
        <f>様式4!$AJ$11</f>
        <v/>
      </c>
      <c r="AS2" s="717" t="str">
        <f>様式4!$AJ$12</f>
        <v>○</v>
      </c>
      <c r="AT2" s="717" t="str">
        <f>様式4!$AJ$18</f>
        <v>○</v>
      </c>
      <c r="AU2" s="717">
        <f>_xlfn.MAXIFS(様式4別添1!$X$11:$X$60,様式4別添1!$AI$11:$AI$60,1)</f>
        <v>0</v>
      </c>
      <c r="AV2" s="717">
        <f>_xlfn.MINIFS(様式4別添1!$X$11:$X$60,様式4別添1!$AI$11:$AI$60,1)</f>
        <v>0</v>
      </c>
      <c r="AW2" s="717">
        <f>_xlfn.MAXIFS(様式4別添1!$X$11:$X$60,様式4別添1!$AI$11:$AI$60,2)</f>
        <v>0</v>
      </c>
      <c r="AX2" s="717">
        <f>_xlfn.MAXIFS(様式4別添1!$X$11:$X$60,様式4別添1!$AI$11:$AI$60,3)</f>
        <v>0</v>
      </c>
      <c r="AY2" s="717">
        <f>SUM(様式4別添1!AJ11:AJ60)</f>
        <v>0</v>
      </c>
      <c r="AZ2" s="717" t="str">
        <f>様式4別添1!$Y$63</f>
        <v/>
      </c>
      <c r="BA2" s="717" t="str">
        <f>様式4別添1!$AD$63</f>
        <v>○</v>
      </c>
      <c r="BB2" s="717" t="e">
        <f>様式5!$K$11</f>
        <v>#N/A</v>
      </c>
      <c r="BC2" s="717">
        <f>様式5!$T$11</f>
        <v>0</v>
      </c>
      <c r="BD2" s="717" t="str">
        <f>様式5!$B$15</f>
        <v>　</v>
      </c>
      <c r="BE2" s="717" t="str">
        <f>様式5!$B$16</f>
        <v>　</v>
      </c>
    </row>
  </sheetData>
  <sheetProtection algorithmName="SHA-512" hashValue="iySN8ih35s8woCe4a9SHJBB9EQTQ30swGSIAafYHfF+BDgJMGyX8FeXMcW4es9XO6JC4Qk7fHIym2ifz+omAdQ==" saltValue="360lAAIyAhFaLNQeCOxf3g=="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237D-A4E6-4232-9C28-57D4417B333E}">
  <sheetPr>
    <pageSetUpPr fitToPage="1"/>
  </sheetPr>
  <dimension ref="A1:Q94"/>
  <sheetViews>
    <sheetView view="pageBreakPreview" zoomScale="70" zoomScaleNormal="100" zoomScaleSheetLayoutView="70" workbookViewId="0">
      <selection activeCell="E12" sqref="E12"/>
    </sheetView>
  </sheetViews>
  <sheetFormatPr defaultColWidth="9" defaultRowHeight="18.75"/>
  <cols>
    <col min="1" max="1" width="2.375" style="152" customWidth="1"/>
    <col min="2" max="2" width="1.625" style="152" customWidth="1"/>
    <col min="3" max="3" width="14.125" style="152" customWidth="1"/>
    <col min="4" max="4" width="6.875" style="152" customWidth="1"/>
    <col min="5" max="16" width="6.625" style="152" customWidth="1"/>
    <col min="17" max="17" width="7.5" style="152" customWidth="1"/>
    <col min="18" max="16384" width="9" style="152"/>
  </cols>
  <sheetData>
    <row r="1" spans="1:17" ht="40.5" customHeight="1">
      <c r="A1" s="769" t="s">
        <v>245</v>
      </c>
      <c r="B1" s="769"/>
      <c r="C1" s="769"/>
      <c r="D1" s="769"/>
      <c r="E1" s="769"/>
      <c r="F1" s="769"/>
      <c r="G1" s="769"/>
      <c r="H1" s="769"/>
      <c r="I1" s="769"/>
      <c r="J1" s="769"/>
      <c r="K1" s="769"/>
      <c r="L1" s="769"/>
      <c r="M1" s="769"/>
      <c r="N1" s="769"/>
      <c r="O1" s="769"/>
      <c r="P1" s="769"/>
      <c r="Q1" s="769"/>
    </row>
    <row r="2" spans="1:17" ht="18" customHeight="1" thickBot="1">
      <c r="B2" s="153"/>
      <c r="C2" s="153"/>
    </row>
    <row r="3" spans="1:17" ht="18" customHeight="1" thickBot="1">
      <c r="B3" s="153"/>
      <c r="C3" s="153"/>
      <c r="H3" s="770" t="s">
        <v>222</v>
      </c>
      <c r="I3" s="771"/>
      <c r="J3" s="771"/>
      <c r="K3" s="771"/>
      <c r="L3" s="772"/>
      <c r="M3" s="773">
        <f>'0_基本情報'!$D$4</f>
        <v>0</v>
      </c>
      <c r="N3" s="774"/>
      <c r="O3" s="774"/>
      <c r="P3" s="774"/>
      <c r="Q3" s="775"/>
    </row>
    <row r="4" spans="1:17" ht="18" customHeight="1">
      <c r="B4" s="153"/>
      <c r="C4" s="153"/>
      <c r="H4" s="154"/>
      <c r="I4" s="154"/>
      <c r="J4" s="154"/>
      <c r="K4" s="154"/>
      <c r="L4" s="154"/>
      <c r="M4" s="154"/>
      <c r="N4" s="154"/>
      <c r="O4" s="154"/>
      <c r="P4" s="154"/>
      <c r="Q4" s="154"/>
    </row>
    <row r="5" spans="1:17" ht="18" customHeight="1">
      <c r="B5" s="152" t="s">
        <v>223</v>
      </c>
      <c r="H5" s="154"/>
      <c r="I5" s="154"/>
      <c r="J5" s="154"/>
      <c r="K5" s="154"/>
      <c r="L5" s="154"/>
      <c r="M5" s="154"/>
      <c r="N5" s="154"/>
      <c r="O5" s="154"/>
      <c r="P5" s="154"/>
      <c r="Q5" s="154"/>
    </row>
    <row r="6" spans="1:17" ht="18" customHeight="1">
      <c r="B6" s="152" t="s">
        <v>224</v>
      </c>
      <c r="H6" s="154"/>
      <c r="I6" s="154"/>
      <c r="J6" s="154"/>
      <c r="K6" s="154"/>
      <c r="L6" s="154"/>
      <c r="M6" s="154"/>
      <c r="N6" s="154"/>
      <c r="O6" s="154"/>
      <c r="P6" s="154"/>
      <c r="Q6" s="154"/>
    </row>
    <row r="7" spans="1:17" ht="18" customHeight="1">
      <c r="B7" s="152" t="s">
        <v>225</v>
      </c>
      <c r="C7" s="155"/>
      <c r="H7" s="154"/>
      <c r="I7" s="154"/>
      <c r="J7" s="154"/>
      <c r="K7" s="154"/>
      <c r="L7" s="154"/>
      <c r="M7" s="154"/>
      <c r="N7" s="154"/>
      <c r="O7" s="154"/>
      <c r="P7" s="154"/>
      <c r="Q7" s="154"/>
    </row>
    <row r="8" spans="1:17" ht="18" customHeight="1">
      <c r="B8" s="155"/>
      <c r="C8" s="155"/>
      <c r="H8" s="154"/>
      <c r="I8" s="154"/>
      <c r="J8" s="154"/>
      <c r="K8" s="154"/>
      <c r="L8" s="154"/>
      <c r="M8" s="154"/>
      <c r="N8" s="154"/>
      <c r="O8" s="154"/>
      <c r="P8" s="154"/>
      <c r="Q8" s="154"/>
    </row>
    <row r="9" spans="1:17" ht="18" customHeight="1" thickBot="1">
      <c r="A9" s="156" t="s">
        <v>710</v>
      </c>
    </row>
    <row r="10" spans="1:17" ht="17.25" customHeight="1">
      <c r="B10" s="776" t="s">
        <v>238</v>
      </c>
      <c r="C10" s="777"/>
      <c r="D10" s="777"/>
      <c r="E10" s="157">
        <v>4</v>
      </c>
      <c r="F10" s="158">
        <v>5</v>
      </c>
      <c r="G10" s="158">
        <v>6</v>
      </c>
      <c r="H10" s="158">
        <v>7</v>
      </c>
      <c r="I10" s="158">
        <v>8</v>
      </c>
      <c r="J10" s="158">
        <v>9</v>
      </c>
      <c r="K10" s="158">
        <v>10</v>
      </c>
      <c r="L10" s="158">
        <v>11</v>
      </c>
      <c r="M10" s="158">
        <v>12</v>
      </c>
      <c r="N10" s="158">
        <v>1</v>
      </c>
      <c r="O10" s="158">
        <v>2</v>
      </c>
      <c r="P10" s="159">
        <v>3</v>
      </c>
      <c r="Q10" s="780" t="s">
        <v>226</v>
      </c>
    </row>
    <row r="11" spans="1:17" ht="17.25" customHeight="1">
      <c r="B11" s="778"/>
      <c r="C11" s="779"/>
      <c r="D11" s="779"/>
      <c r="E11" s="782" t="s">
        <v>227</v>
      </c>
      <c r="F11" s="783"/>
      <c r="G11" s="783"/>
      <c r="H11" s="783"/>
      <c r="I11" s="783"/>
      <c r="J11" s="783"/>
      <c r="K11" s="783"/>
      <c r="L11" s="783"/>
      <c r="M11" s="783"/>
      <c r="N11" s="783"/>
      <c r="O11" s="783"/>
      <c r="P11" s="784"/>
      <c r="Q11" s="781"/>
    </row>
    <row r="12" spans="1:17" ht="17.25" customHeight="1">
      <c r="B12" s="761" t="s">
        <v>228</v>
      </c>
      <c r="C12" s="762"/>
      <c r="D12" s="160" t="s">
        <v>229</v>
      </c>
      <c r="E12" s="161"/>
      <c r="F12" s="162"/>
      <c r="G12" s="162"/>
      <c r="H12" s="162"/>
      <c r="I12" s="162"/>
      <c r="J12" s="162"/>
      <c r="K12" s="162"/>
      <c r="L12" s="162"/>
      <c r="M12" s="162"/>
      <c r="N12" s="162"/>
      <c r="O12" s="162"/>
      <c r="P12" s="163"/>
      <c r="Q12" s="164">
        <f>ROUND(SUM(E12:P12)/12,0)</f>
        <v>0</v>
      </c>
    </row>
    <row r="13" spans="1:17" ht="17.25" customHeight="1">
      <c r="B13" s="763"/>
      <c r="C13" s="768"/>
      <c r="D13" s="165" t="s">
        <v>230</v>
      </c>
      <c r="E13" s="166"/>
      <c r="F13" s="167" t="str">
        <f>IFERROR(F12/$E12,"")</f>
        <v/>
      </c>
      <c r="G13" s="167" t="str">
        <f t="shared" ref="G13:P13" si="0">IFERROR(G12/$E12,"")</f>
        <v/>
      </c>
      <c r="H13" s="167" t="str">
        <f t="shared" si="0"/>
        <v/>
      </c>
      <c r="I13" s="167" t="str">
        <f t="shared" si="0"/>
        <v/>
      </c>
      <c r="J13" s="167" t="str">
        <f t="shared" si="0"/>
        <v/>
      </c>
      <c r="K13" s="167" t="str">
        <f t="shared" si="0"/>
        <v/>
      </c>
      <c r="L13" s="167" t="str">
        <f t="shared" si="0"/>
        <v/>
      </c>
      <c r="M13" s="167" t="str">
        <f t="shared" si="0"/>
        <v/>
      </c>
      <c r="N13" s="167" t="str">
        <f t="shared" si="0"/>
        <v/>
      </c>
      <c r="O13" s="167" t="str">
        <f t="shared" si="0"/>
        <v/>
      </c>
      <c r="P13" s="168" t="str">
        <f t="shared" si="0"/>
        <v/>
      </c>
      <c r="Q13" s="169" t="s">
        <v>231</v>
      </c>
    </row>
    <row r="14" spans="1:17" ht="17.25" customHeight="1">
      <c r="B14" s="761" t="s">
        <v>232</v>
      </c>
      <c r="C14" s="762"/>
      <c r="D14" s="160" t="s">
        <v>229</v>
      </c>
      <c r="E14" s="161"/>
      <c r="F14" s="162"/>
      <c r="G14" s="162"/>
      <c r="H14" s="162"/>
      <c r="I14" s="162"/>
      <c r="J14" s="162"/>
      <c r="K14" s="162"/>
      <c r="L14" s="162"/>
      <c r="M14" s="162"/>
      <c r="N14" s="162"/>
      <c r="O14" s="162"/>
      <c r="P14" s="163"/>
      <c r="Q14" s="164">
        <f>ROUND(SUM(E14:P14)/12,0)</f>
        <v>0</v>
      </c>
    </row>
    <row r="15" spans="1:17" ht="17.25" customHeight="1">
      <c r="B15" s="763"/>
      <c r="C15" s="768"/>
      <c r="D15" s="165" t="s">
        <v>230</v>
      </c>
      <c r="E15" s="166"/>
      <c r="F15" s="167" t="str">
        <f>IFERROR(F14/$E14,"")</f>
        <v/>
      </c>
      <c r="G15" s="167" t="str">
        <f t="shared" ref="G15:P15" si="1">IFERROR(G14/$E14,"")</f>
        <v/>
      </c>
      <c r="H15" s="167" t="str">
        <f t="shared" si="1"/>
        <v/>
      </c>
      <c r="I15" s="167" t="str">
        <f t="shared" si="1"/>
        <v/>
      </c>
      <c r="J15" s="167" t="str">
        <f t="shared" si="1"/>
        <v/>
      </c>
      <c r="K15" s="167" t="str">
        <f t="shared" si="1"/>
        <v/>
      </c>
      <c r="L15" s="167" t="str">
        <f t="shared" si="1"/>
        <v/>
      </c>
      <c r="M15" s="167" t="str">
        <f t="shared" si="1"/>
        <v/>
      </c>
      <c r="N15" s="167" t="str">
        <f t="shared" si="1"/>
        <v/>
      </c>
      <c r="O15" s="167" t="str">
        <f t="shared" si="1"/>
        <v/>
      </c>
      <c r="P15" s="168" t="str">
        <f t="shared" si="1"/>
        <v/>
      </c>
      <c r="Q15" s="169" t="s">
        <v>231</v>
      </c>
    </row>
    <row r="16" spans="1:17" ht="17.25" customHeight="1">
      <c r="B16" s="747" t="s">
        <v>233</v>
      </c>
      <c r="C16" s="748"/>
      <c r="D16" s="160" t="s">
        <v>229</v>
      </c>
      <c r="E16" s="161"/>
      <c r="F16" s="162"/>
      <c r="G16" s="162"/>
      <c r="H16" s="162"/>
      <c r="I16" s="162"/>
      <c r="J16" s="162"/>
      <c r="K16" s="162"/>
      <c r="L16" s="162"/>
      <c r="M16" s="162"/>
      <c r="N16" s="162"/>
      <c r="O16" s="162"/>
      <c r="P16" s="163"/>
      <c r="Q16" s="164">
        <f>ROUND(SUM(E16:P16)/12,0)</f>
        <v>0</v>
      </c>
    </row>
    <row r="17" spans="1:17" ht="17.25" customHeight="1">
      <c r="B17" s="747"/>
      <c r="C17" s="748"/>
      <c r="D17" s="165" t="s">
        <v>230</v>
      </c>
      <c r="E17" s="166"/>
      <c r="F17" s="167" t="str">
        <f>IFERROR(F16/$E16,"")</f>
        <v/>
      </c>
      <c r="G17" s="167" t="str">
        <f t="shared" ref="G17:P17" si="2">IFERROR(G16/$E16,"")</f>
        <v/>
      </c>
      <c r="H17" s="167" t="str">
        <f t="shared" si="2"/>
        <v/>
      </c>
      <c r="I17" s="167" t="str">
        <f t="shared" si="2"/>
        <v/>
      </c>
      <c r="J17" s="167" t="str">
        <f t="shared" si="2"/>
        <v/>
      </c>
      <c r="K17" s="167" t="str">
        <f t="shared" si="2"/>
        <v/>
      </c>
      <c r="L17" s="167" t="str">
        <f t="shared" si="2"/>
        <v/>
      </c>
      <c r="M17" s="167" t="str">
        <f t="shared" si="2"/>
        <v/>
      </c>
      <c r="N17" s="167" t="str">
        <f t="shared" si="2"/>
        <v/>
      </c>
      <c r="O17" s="167" t="str">
        <f t="shared" si="2"/>
        <v/>
      </c>
      <c r="P17" s="168" t="str">
        <f t="shared" si="2"/>
        <v/>
      </c>
      <c r="Q17" s="169"/>
    </row>
    <row r="18" spans="1:17" ht="17.25" customHeight="1">
      <c r="B18" s="761" t="s">
        <v>234</v>
      </c>
      <c r="C18" s="762"/>
      <c r="D18" s="160" t="s">
        <v>229</v>
      </c>
      <c r="E18" s="161"/>
      <c r="F18" s="162"/>
      <c r="G18" s="162"/>
      <c r="H18" s="162"/>
      <c r="I18" s="162"/>
      <c r="J18" s="162"/>
      <c r="K18" s="162"/>
      <c r="L18" s="162"/>
      <c r="M18" s="162"/>
      <c r="N18" s="162"/>
      <c r="O18" s="162"/>
      <c r="P18" s="163"/>
      <c r="Q18" s="164">
        <f>ROUND(SUM(E18:P18)/12,0)</f>
        <v>0</v>
      </c>
    </row>
    <row r="19" spans="1:17" ht="17.25" customHeight="1">
      <c r="B19" s="763"/>
      <c r="C19" s="764"/>
      <c r="D19" s="165" t="s">
        <v>230</v>
      </c>
      <c r="E19" s="166"/>
      <c r="F19" s="167" t="str">
        <f>IFERROR(F18/$E18,"")</f>
        <v/>
      </c>
      <c r="G19" s="167" t="str">
        <f t="shared" ref="G19:P19" si="3">IFERROR(G18/$E18,"")</f>
        <v/>
      </c>
      <c r="H19" s="167" t="str">
        <f t="shared" si="3"/>
        <v/>
      </c>
      <c r="I19" s="167" t="str">
        <f t="shared" si="3"/>
        <v/>
      </c>
      <c r="J19" s="167" t="str">
        <f t="shared" si="3"/>
        <v/>
      </c>
      <c r="K19" s="167" t="str">
        <f t="shared" si="3"/>
        <v/>
      </c>
      <c r="L19" s="167" t="str">
        <f t="shared" si="3"/>
        <v/>
      </c>
      <c r="M19" s="167" t="str">
        <f t="shared" si="3"/>
        <v/>
      </c>
      <c r="N19" s="167" t="str">
        <f t="shared" si="3"/>
        <v/>
      </c>
      <c r="O19" s="167" t="str">
        <f t="shared" si="3"/>
        <v/>
      </c>
      <c r="P19" s="168" t="str">
        <f t="shared" si="3"/>
        <v/>
      </c>
      <c r="Q19" s="169"/>
    </row>
    <row r="20" spans="1:17" ht="17.25" customHeight="1">
      <c r="B20" s="761" t="s">
        <v>235</v>
      </c>
      <c r="C20" s="762"/>
      <c r="D20" s="160" t="s">
        <v>229</v>
      </c>
      <c r="E20" s="161"/>
      <c r="F20" s="162"/>
      <c r="G20" s="162"/>
      <c r="H20" s="162"/>
      <c r="I20" s="162"/>
      <c r="J20" s="162"/>
      <c r="K20" s="162"/>
      <c r="L20" s="162"/>
      <c r="M20" s="162"/>
      <c r="N20" s="162"/>
      <c r="O20" s="162"/>
      <c r="P20" s="163"/>
      <c r="Q20" s="164">
        <f>ROUND(SUM(E20:P20)/12,0)</f>
        <v>0</v>
      </c>
    </row>
    <row r="21" spans="1:17" ht="17.25" customHeight="1">
      <c r="B21" s="763"/>
      <c r="C21" s="764"/>
      <c r="D21" s="165" t="s">
        <v>230</v>
      </c>
      <c r="E21" s="166"/>
      <c r="F21" s="167" t="str">
        <f>IFERROR(F20/$E20,"")</f>
        <v/>
      </c>
      <c r="G21" s="167" t="str">
        <f t="shared" ref="G21:P21" si="4">IFERROR(G20/$E20,"")</f>
        <v/>
      </c>
      <c r="H21" s="167" t="str">
        <f t="shared" si="4"/>
        <v/>
      </c>
      <c r="I21" s="167" t="str">
        <f t="shared" si="4"/>
        <v/>
      </c>
      <c r="J21" s="167" t="str">
        <f t="shared" si="4"/>
        <v/>
      </c>
      <c r="K21" s="167" t="str">
        <f t="shared" si="4"/>
        <v/>
      </c>
      <c r="L21" s="167" t="str">
        <f t="shared" si="4"/>
        <v/>
      </c>
      <c r="M21" s="167" t="str">
        <f t="shared" si="4"/>
        <v/>
      </c>
      <c r="N21" s="167" t="str">
        <f t="shared" si="4"/>
        <v/>
      </c>
      <c r="O21" s="167" t="str">
        <f t="shared" si="4"/>
        <v/>
      </c>
      <c r="P21" s="168" t="str">
        <f t="shared" si="4"/>
        <v/>
      </c>
      <c r="Q21" s="169"/>
    </row>
    <row r="22" spans="1:17" ht="17.25" customHeight="1">
      <c r="B22" s="761" t="s">
        <v>236</v>
      </c>
      <c r="C22" s="765"/>
      <c r="D22" s="160" t="s">
        <v>229</v>
      </c>
      <c r="E22" s="161"/>
      <c r="F22" s="162"/>
      <c r="G22" s="162"/>
      <c r="H22" s="162"/>
      <c r="I22" s="162"/>
      <c r="J22" s="162"/>
      <c r="K22" s="162"/>
      <c r="L22" s="162"/>
      <c r="M22" s="162"/>
      <c r="N22" s="162"/>
      <c r="O22" s="162"/>
      <c r="P22" s="163"/>
      <c r="Q22" s="164">
        <f>ROUND(SUM(E22:P22)/12,0)</f>
        <v>0</v>
      </c>
    </row>
    <row r="23" spans="1:17" ht="17.25" customHeight="1" thickBot="1">
      <c r="B23" s="766"/>
      <c r="C23" s="767"/>
      <c r="D23" s="170" t="s">
        <v>230</v>
      </c>
      <c r="E23" s="171"/>
      <c r="F23" s="172" t="str">
        <f>IFERROR(F22/$E22,"")</f>
        <v/>
      </c>
      <c r="G23" s="172" t="str">
        <f t="shared" ref="G23:P23" si="5">IFERROR(G22/$E22,"")</f>
        <v/>
      </c>
      <c r="H23" s="172" t="str">
        <f t="shared" si="5"/>
        <v/>
      </c>
      <c r="I23" s="172" t="str">
        <f t="shared" si="5"/>
        <v/>
      </c>
      <c r="J23" s="172" t="str">
        <f t="shared" si="5"/>
        <v/>
      </c>
      <c r="K23" s="172" t="str">
        <f t="shared" si="5"/>
        <v/>
      </c>
      <c r="L23" s="172" t="str">
        <f t="shared" si="5"/>
        <v/>
      </c>
      <c r="M23" s="172" t="str">
        <f t="shared" si="5"/>
        <v/>
      </c>
      <c r="N23" s="172" t="str">
        <f t="shared" si="5"/>
        <v/>
      </c>
      <c r="O23" s="172" t="str">
        <f t="shared" si="5"/>
        <v/>
      </c>
      <c r="P23" s="173" t="str">
        <f t="shared" si="5"/>
        <v/>
      </c>
      <c r="Q23" s="174"/>
    </row>
    <row r="24" spans="1:17" ht="17.25" customHeight="1" thickTop="1" thickBot="1">
      <c r="B24" s="751" t="s">
        <v>237</v>
      </c>
      <c r="C24" s="752"/>
      <c r="D24" s="175"/>
      <c r="E24" s="176">
        <f>SUM(E12,E14,E16,E18,E20,E22)</f>
        <v>0</v>
      </c>
      <c r="F24" s="177">
        <f>SUM(F12,F14,F16,F18,F20,F22)</f>
        <v>0</v>
      </c>
      <c r="G24" s="177">
        <f>SUM(G12,G14,G16,G18,G20,G22)</f>
        <v>0</v>
      </c>
      <c r="H24" s="177">
        <f>SUM(H12,H14,H16,H18,H20,H22)</f>
        <v>0</v>
      </c>
      <c r="I24" s="177"/>
      <c r="J24" s="177"/>
      <c r="K24" s="177"/>
      <c r="L24" s="177"/>
      <c r="M24" s="177"/>
      <c r="N24" s="177"/>
      <c r="O24" s="177"/>
      <c r="P24" s="178"/>
      <c r="Q24" s="179">
        <f>SUM(Q12,Q14,Q16,Q18,Q20,Q22)</f>
        <v>0</v>
      </c>
    </row>
    <row r="25" spans="1:17" ht="17.25" customHeight="1">
      <c r="B25" s="154"/>
      <c r="C25" s="154"/>
      <c r="D25" s="154"/>
      <c r="F25" s="180"/>
      <c r="G25" s="180"/>
      <c r="H25" s="180"/>
      <c r="I25" s="180"/>
      <c r="J25" s="180"/>
      <c r="K25" s="180"/>
      <c r="L25" s="180"/>
      <c r="M25" s="180"/>
      <c r="N25" s="180"/>
      <c r="O25" s="180"/>
      <c r="P25" s="180"/>
    </row>
    <row r="26" spans="1:17" ht="17.25" customHeight="1">
      <c r="B26" s="154"/>
      <c r="C26" s="154"/>
      <c r="D26" s="154"/>
      <c r="F26" s="180"/>
      <c r="G26" s="180"/>
      <c r="H26" s="180"/>
      <c r="I26" s="180"/>
      <c r="J26" s="180"/>
      <c r="K26" s="180"/>
      <c r="L26" s="180"/>
      <c r="M26" s="180"/>
      <c r="N26" s="180"/>
      <c r="O26" s="180"/>
      <c r="P26" s="180"/>
    </row>
    <row r="27" spans="1:17" ht="17.25" customHeight="1" thickBot="1">
      <c r="A27" s="156" t="s">
        <v>711</v>
      </c>
      <c r="E27" s="181"/>
    </row>
    <row r="28" spans="1:17" ht="17.25" customHeight="1">
      <c r="B28" s="755" t="s">
        <v>712</v>
      </c>
      <c r="C28" s="756"/>
      <c r="D28" s="757"/>
      <c r="E28" s="157">
        <v>4</v>
      </c>
      <c r="F28" s="182">
        <v>5</v>
      </c>
      <c r="G28" s="182">
        <v>6</v>
      </c>
      <c r="H28" s="159">
        <v>7</v>
      </c>
      <c r="I28" s="158">
        <v>8</v>
      </c>
      <c r="J28" s="158">
        <v>9</v>
      </c>
      <c r="K28" s="183">
        <v>10</v>
      </c>
      <c r="L28" s="158">
        <v>11</v>
      </c>
      <c r="M28" s="158">
        <v>12</v>
      </c>
      <c r="N28" s="158">
        <v>1</v>
      </c>
      <c r="O28" s="158">
        <v>2</v>
      </c>
      <c r="P28" s="159">
        <v>3</v>
      </c>
      <c r="Q28" s="734" t="s">
        <v>226</v>
      </c>
    </row>
    <row r="29" spans="1:17" ht="17.25" customHeight="1">
      <c r="B29" s="758"/>
      <c r="C29" s="759"/>
      <c r="D29" s="760"/>
      <c r="E29" s="736" t="s">
        <v>227</v>
      </c>
      <c r="F29" s="737"/>
      <c r="G29" s="737"/>
      <c r="H29" s="738"/>
      <c r="I29" s="739" t="s">
        <v>239</v>
      </c>
      <c r="J29" s="740"/>
      <c r="K29" s="740"/>
      <c r="L29" s="740"/>
      <c r="M29" s="740"/>
      <c r="N29" s="740"/>
      <c r="O29" s="740"/>
      <c r="P29" s="741"/>
      <c r="Q29" s="735"/>
    </row>
    <row r="30" spans="1:17" ht="18" customHeight="1">
      <c r="B30" s="745" t="str">
        <f>$B$12</f>
        <v>５歳児</v>
      </c>
      <c r="C30" s="746"/>
      <c r="D30" s="184" t="s">
        <v>229</v>
      </c>
      <c r="E30" s="399"/>
      <c r="F30" s="185"/>
      <c r="G30" s="185"/>
      <c r="H30" s="186"/>
      <c r="I30" s="187" t="str">
        <f t="shared" ref="I30:P30" si="6">IFERROR($E$30*I13,"")</f>
        <v/>
      </c>
      <c r="J30" s="187" t="str">
        <f t="shared" si="6"/>
        <v/>
      </c>
      <c r="K30" s="187" t="str">
        <f t="shared" si="6"/>
        <v/>
      </c>
      <c r="L30" s="187" t="str">
        <f t="shared" si="6"/>
        <v/>
      </c>
      <c r="M30" s="187" t="str">
        <f t="shared" si="6"/>
        <v/>
      </c>
      <c r="N30" s="187" t="str">
        <f t="shared" si="6"/>
        <v/>
      </c>
      <c r="O30" s="187" t="str">
        <f t="shared" si="6"/>
        <v/>
      </c>
      <c r="P30" s="188" t="str">
        <f t="shared" si="6"/>
        <v/>
      </c>
      <c r="Q30" s="189">
        <f t="shared" ref="Q30:Q35" si="7">ROUND(SUM(E30:P30)/12,0)</f>
        <v>0</v>
      </c>
    </row>
    <row r="31" spans="1:17" ht="18" customHeight="1">
      <c r="B31" s="745" t="str">
        <f>$B$14</f>
        <v>４歳児</v>
      </c>
      <c r="C31" s="746"/>
      <c r="D31" s="184" t="s">
        <v>229</v>
      </c>
      <c r="E31" s="399"/>
      <c r="F31" s="185"/>
      <c r="G31" s="185"/>
      <c r="H31" s="186"/>
      <c r="I31" s="187" t="str">
        <f t="shared" ref="I31:P31" si="8">IFERROR($E$31*I15,"")</f>
        <v/>
      </c>
      <c r="J31" s="187" t="str">
        <f t="shared" si="8"/>
        <v/>
      </c>
      <c r="K31" s="187" t="str">
        <f t="shared" si="8"/>
        <v/>
      </c>
      <c r="L31" s="187" t="str">
        <f t="shared" si="8"/>
        <v/>
      </c>
      <c r="M31" s="187" t="str">
        <f t="shared" si="8"/>
        <v/>
      </c>
      <c r="N31" s="187" t="str">
        <f t="shared" si="8"/>
        <v/>
      </c>
      <c r="O31" s="187" t="str">
        <f t="shared" si="8"/>
        <v/>
      </c>
      <c r="P31" s="188" t="str">
        <f t="shared" si="8"/>
        <v/>
      </c>
      <c r="Q31" s="189">
        <f t="shared" si="7"/>
        <v>0</v>
      </c>
    </row>
    <row r="32" spans="1:17" ht="18" customHeight="1">
      <c r="B32" s="761" t="str">
        <f>$B$16</f>
        <v>３歳児</v>
      </c>
      <c r="C32" s="765"/>
      <c r="D32" s="190" t="s">
        <v>229</v>
      </c>
      <c r="E32" s="399"/>
      <c r="F32" s="185"/>
      <c r="G32" s="185"/>
      <c r="H32" s="186"/>
      <c r="I32" s="187" t="str">
        <f t="shared" ref="I32:P32" si="9">IFERROR($E$32*I17,"")</f>
        <v/>
      </c>
      <c r="J32" s="187" t="str">
        <f t="shared" si="9"/>
        <v/>
      </c>
      <c r="K32" s="187" t="str">
        <f t="shared" si="9"/>
        <v/>
      </c>
      <c r="L32" s="187" t="str">
        <f t="shared" si="9"/>
        <v/>
      </c>
      <c r="M32" s="187" t="str">
        <f t="shared" si="9"/>
        <v/>
      </c>
      <c r="N32" s="187" t="str">
        <f t="shared" si="9"/>
        <v/>
      </c>
      <c r="O32" s="187" t="str">
        <f t="shared" si="9"/>
        <v/>
      </c>
      <c r="P32" s="188" t="str">
        <f t="shared" si="9"/>
        <v/>
      </c>
      <c r="Q32" s="189">
        <f t="shared" si="7"/>
        <v>0</v>
      </c>
    </row>
    <row r="33" spans="1:17" ht="18" customHeight="1">
      <c r="B33" s="745" t="str">
        <f>$B$18</f>
        <v>２歳児</v>
      </c>
      <c r="C33" s="746"/>
      <c r="D33" s="184" t="s">
        <v>229</v>
      </c>
      <c r="E33" s="399"/>
      <c r="F33" s="191"/>
      <c r="G33" s="191"/>
      <c r="H33" s="186"/>
      <c r="I33" s="187" t="str">
        <f t="shared" ref="I33:P33" si="10">IFERROR($E$33*I19,"")</f>
        <v/>
      </c>
      <c r="J33" s="187" t="str">
        <f t="shared" si="10"/>
        <v/>
      </c>
      <c r="K33" s="187" t="str">
        <f t="shared" si="10"/>
        <v/>
      </c>
      <c r="L33" s="187" t="str">
        <f t="shared" si="10"/>
        <v/>
      </c>
      <c r="M33" s="187" t="str">
        <f t="shared" si="10"/>
        <v/>
      </c>
      <c r="N33" s="187" t="str">
        <f t="shared" si="10"/>
        <v/>
      </c>
      <c r="O33" s="187" t="str">
        <f t="shared" si="10"/>
        <v/>
      </c>
      <c r="P33" s="188" t="str">
        <f t="shared" si="10"/>
        <v/>
      </c>
      <c r="Q33" s="189">
        <f t="shared" si="7"/>
        <v>0</v>
      </c>
    </row>
    <row r="34" spans="1:17" ht="18" customHeight="1">
      <c r="B34" s="745" t="str">
        <f>$B$20</f>
        <v>１歳児</v>
      </c>
      <c r="C34" s="746"/>
      <c r="D34" s="184" t="s">
        <v>229</v>
      </c>
      <c r="E34" s="399"/>
      <c r="F34" s="191"/>
      <c r="G34" s="191"/>
      <c r="H34" s="186"/>
      <c r="I34" s="187" t="str">
        <f t="shared" ref="I34:P34" si="11">IFERROR($E$34*I21,"")</f>
        <v/>
      </c>
      <c r="J34" s="187" t="str">
        <f t="shared" si="11"/>
        <v/>
      </c>
      <c r="K34" s="187" t="str">
        <f t="shared" si="11"/>
        <v/>
      </c>
      <c r="L34" s="187" t="str">
        <f t="shared" si="11"/>
        <v/>
      </c>
      <c r="M34" s="187" t="str">
        <f t="shared" si="11"/>
        <v/>
      </c>
      <c r="N34" s="187" t="str">
        <f t="shared" si="11"/>
        <v/>
      </c>
      <c r="O34" s="187" t="str">
        <f t="shared" si="11"/>
        <v/>
      </c>
      <c r="P34" s="188" t="str">
        <f t="shared" si="11"/>
        <v/>
      </c>
      <c r="Q34" s="189">
        <f t="shared" si="7"/>
        <v>0</v>
      </c>
    </row>
    <row r="35" spans="1:17" ht="18" customHeight="1" thickBot="1">
      <c r="B35" s="749" t="str">
        <f>$B$22</f>
        <v>０歳児</v>
      </c>
      <c r="C35" s="750"/>
      <c r="D35" s="192" t="s">
        <v>229</v>
      </c>
      <c r="E35" s="400"/>
      <c r="F35" s="193"/>
      <c r="G35" s="193"/>
      <c r="H35" s="194"/>
      <c r="I35" s="195" t="str">
        <f t="shared" ref="I35:P35" si="12">IFERROR($E$35*I23,"")</f>
        <v/>
      </c>
      <c r="J35" s="195" t="str">
        <f t="shared" si="12"/>
        <v/>
      </c>
      <c r="K35" s="195" t="str">
        <f t="shared" si="12"/>
        <v/>
      </c>
      <c r="L35" s="195" t="str">
        <f t="shared" si="12"/>
        <v/>
      </c>
      <c r="M35" s="195" t="str">
        <f t="shared" si="12"/>
        <v/>
      </c>
      <c r="N35" s="195" t="str">
        <f t="shared" si="12"/>
        <v/>
      </c>
      <c r="O35" s="195" t="str">
        <f t="shared" si="12"/>
        <v/>
      </c>
      <c r="P35" s="196" t="str">
        <f t="shared" si="12"/>
        <v/>
      </c>
      <c r="Q35" s="197">
        <f t="shared" si="7"/>
        <v>0</v>
      </c>
    </row>
    <row r="36" spans="1:17" ht="18" customHeight="1" thickTop="1" thickBot="1">
      <c r="B36" s="753" t="s">
        <v>237</v>
      </c>
      <c r="C36" s="754"/>
      <c r="D36" s="198"/>
      <c r="E36" s="199">
        <f>SUM(E30:E35)</f>
        <v>0</v>
      </c>
      <c r="F36" s="200">
        <f>SUM(F30:F35)</f>
        <v>0</v>
      </c>
      <c r="G36" s="201">
        <f>SUM(G30:G35)</f>
        <v>0</v>
      </c>
      <c r="H36" s="202">
        <f>SUM(H30:H35)</f>
        <v>0</v>
      </c>
      <c r="I36" s="203"/>
      <c r="J36" s="204"/>
      <c r="K36" s="204"/>
      <c r="L36" s="204"/>
      <c r="M36" s="204"/>
      <c r="N36" s="204"/>
      <c r="O36" s="204"/>
      <c r="P36" s="205"/>
      <c r="Q36" s="206">
        <f>SUM(Q30:Q35)</f>
        <v>0</v>
      </c>
    </row>
    <row r="37" spans="1:17" ht="17.25" customHeight="1">
      <c r="B37" s="207" t="s">
        <v>240</v>
      </c>
    </row>
    <row r="38" spans="1:17" ht="17.25" customHeight="1"/>
    <row r="39" spans="1:17" ht="17.25" customHeight="1"/>
    <row r="40" spans="1:17" ht="17.25" customHeight="1"/>
    <row r="41" spans="1:17" ht="17.25" customHeight="1"/>
    <row r="42" spans="1:17" ht="17.25" customHeight="1" thickBot="1">
      <c r="A42" s="156" t="s">
        <v>241</v>
      </c>
      <c r="E42" s="181"/>
    </row>
    <row r="43" spans="1:17" ht="17.25" customHeight="1">
      <c r="B43" s="755" t="s">
        <v>712</v>
      </c>
      <c r="C43" s="756"/>
      <c r="D43" s="757"/>
      <c r="E43" s="157">
        <v>4</v>
      </c>
      <c r="F43" s="182">
        <v>5</v>
      </c>
      <c r="G43" s="182">
        <v>6</v>
      </c>
      <c r="H43" s="159">
        <v>7</v>
      </c>
      <c r="I43" s="158">
        <v>8</v>
      </c>
      <c r="J43" s="158">
        <v>9</v>
      </c>
      <c r="K43" s="183">
        <v>10</v>
      </c>
      <c r="L43" s="158">
        <v>11</v>
      </c>
      <c r="M43" s="158">
        <v>12</v>
      </c>
      <c r="N43" s="158">
        <v>1</v>
      </c>
      <c r="O43" s="158">
        <v>2</v>
      </c>
      <c r="P43" s="159">
        <v>3</v>
      </c>
      <c r="Q43" s="734" t="s">
        <v>226</v>
      </c>
    </row>
    <row r="44" spans="1:17" ht="17.25" customHeight="1">
      <c r="B44" s="758"/>
      <c r="C44" s="759"/>
      <c r="D44" s="760"/>
      <c r="E44" s="736" t="s">
        <v>227</v>
      </c>
      <c r="F44" s="737"/>
      <c r="G44" s="737"/>
      <c r="H44" s="738"/>
      <c r="I44" s="739" t="s">
        <v>242</v>
      </c>
      <c r="J44" s="740"/>
      <c r="K44" s="740"/>
      <c r="L44" s="740"/>
      <c r="M44" s="740"/>
      <c r="N44" s="740"/>
      <c r="O44" s="740"/>
      <c r="P44" s="741"/>
      <c r="Q44" s="735"/>
    </row>
    <row r="45" spans="1:17" ht="18" customHeight="1">
      <c r="B45" s="745" t="str">
        <f>$B$12</f>
        <v>５歳児</v>
      </c>
      <c r="C45" s="746"/>
      <c r="D45" s="208" t="s">
        <v>229</v>
      </c>
      <c r="E45" s="209">
        <f t="shared" ref="E45:H50" si="13">E30</f>
        <v>0</v>
      </c>
      <c r="F45" s="210">
        <f t="shared" si="13"/>
        <v>0</v>
      </c>
      <c r="G45" s="210">
        <f t="shared" si="13"/>
        <v>0</v>
      </c>
      <c r="H45" s="211">
        <f t="shared" si="13"/>
        <v>0</v>
      </c>
      <c r="I45" s="185"/>
      <c r="J45" s="185"/>
      <c r="K45" s="185"/>
      <c r="L45" s="185"/>
      <c r="M45" s="185"/>
      <c r="N45" s="185"/>
      <c r="O45" s="185"/>
      <c r="P45" s="186"/>
      <c r="Q45" s="189">
        <f t="shared" ref="Q45:Q50" si="14">ROUND(SUM(E45:P45)/12,0)</f>
        <v>0</v>
      </c>
    </row>
    <row r="46" spans="1:17" ht="18" customHeight="1">
      <c r="B46" s="745" t="str">
        <f>$B$14</f>
        <v>４歳児</v>
      </c>
      <c r="C46" s="746"/>
      <c r="D46" s="208" t="s">
        <v>229</v>
      </c>
      <c r="E46" s="209">
        <f t="shared" si="13"/>
        <v>0</v>
      </c>
      <c r="F46" s="210">
        <f t="shared" si="13"/>
        <v>0</v>
      </c>
      <c r="G46" s="210">
        <f t="shared" si="13"/>
        <v>0</v>
      </c>
      <c r="H46" s="211">
        <f t="shared" si="13"/>
        <v>0</v>
      </c>
      <c r="I46" s="185"/>
      <c r="J46" s="185"/>
      <c r="K46" s="185"/>
      <c r="L46" s="185"/>
      <c r="M46" s="185"/>
      <c r="N46" s="185"/>
      <c r="O46" s="185"/>
      <c r="P46" s="186"/>
      <c r="Q46" s="189">
        <f t="shared" si="14"/>
        <v>0</v>
      </c>
    </row>
    <row r="47" spans="1:17" ht="18" customHeight="1">
      <c r="B47" s="747" t="str">
        <f>$B$16</f>
        <v>３歳児</v>
      </c>
      <c r="C47" s="748"/>
      <c r="D47" s="208" t="s">
        <v>229</v>
      </c>
      <c r="E47" s="209">
        <f t="shared" si="13"/>
        <v>0</v>
      </c>
      <c r="F47" s="210">
        <f t="shared" si="13"/>
        <v>0</v>
      </c>
      <c r="G47" s="210">
        <f t="shared" si="13"/>
        <v>0</v>
      </c>
      <c r="H47" s="211">
        <f t="shared" si="13"/>
        <v>0</v>
      </c>
      <c r="I47" s="185"/>
      <c r="J47" s="185"/>
      <c r="K47" s="185"/>
      <c r="L47" s="185"/>
      <c r="M47" s="185"/>
      <c r="N47" s="185"/>
      <c r="O47" s="185"/>
      <c r="P47" s="186"/>
      <c r="Q47" s="189">
        <f t="shared" si="14"/>
        <v>0</v>
      </c>
    </row>
    <row r="48" spans="1:17" ht="18" customHeight="1">
      <c r="B48" s="745" t="str">
        <f>$B$18</f>
        <v>２歳児</v>
      </c>
      <c r="C48" s="746"/>
      <c r="D48" s="208" t="s">
        <v>229</v>
      </c>
      <c r="E48" s="209">
        <f t="shared" si="13"/>
        <v>0</v>
      </c>
      <c r="F48" s="212">
        <f t="shared" si="13"/>
        <v>0</v>
      </c>
      <c r="G48" s="212">
        <f t="shared" si="13"/>
        <v>0</v>
      </c>
      <c r="H48" s="211">
        <f t="shared" si="13"/>
        <v>0</v>
      </c>
      <c r="I48" s="185"/>
      <c r="J48" s="185"/>
      <c r="K48" s="185"/>
      <c r="L48" s="185"/>
      <c r="M48" s="185"/>
      <c r="N48" s="185"/>
      <c r="O48" s="185"/>
      <c r="P48" s="186"/>
      <c r="Q48" s="189">
        <f t="shared" si="14"/>
        <v>0</v>
      </c>
    </row>
    <row r="49" spans="2:17" ht="18" customHeight="1">
      <c r="B49" s="745" t="str">
        <f>$B$20</f>
        <v>１歳児</v>
      </c>
      <c r="C49" s="746"/>
      <c r="D49" s="208" t="s">
        <v>229</v>
      </c>
      <c r="E49" s="209">
        <f t="shared" si="13"/>
        <v>0</v>
      </c>
      <c r="F49" s="212">
        <f t="shared" si="13"/>
        <v>0</v>
      </c>
      <c r="G49" s="212">
        <f t="shared" si="13"/>
        <v>0</v>
      </c>
      <c r="H49" s="211">
        <f t="shared" si="13"/>
        <v>0</v>
      </c>
      <c r="I49" s="185"/>
      <c r="J49" s="185"/>
      <c r="K49" s="185"/>
      <c r="L49" s="185"/>
      <c r="M49" s="185"/>
      <c r="N49" s="185"/>
      <c r="O49" s="185"/>
      <c r="P49" s="186"/>
      <c r="Q49" s="189">
        <f t="shared" si="14"/>
        <v>0</v>
      </c>
    </row>
    <row r="50" spans="2:17" ht="18" customHeight="1" thickBot="1">
      <c r="B50" s="749" t="str">
        <f>$B$22</f>
        <v>０歳児</v>
      </c>
      <c r="C50" s="750"/>
      <c r="D50" s="213" t="s">
        <v>229</v>
      </c>
      <c r="E50" s="214">
        <f t="shared" si="13"/>
        <v>0</v>
      </c>
      <c r="F50" s="215">
        <f t="shared" si="13"/>
        <v>0</v>
      </c>
      <c r="G50" s="215">
        <f t="shared" si="13"/>
        <v>0</v>
      </c>
      <c r="H50" s="216">
        <f t="shared" si="13"/>
        <v>0</v>
      </c>
      <c r="I50" s="217"/>
      <c r="J50" s="217"/>
      <c r="K50" s="217"/>
      <c r="L50" s="217"/>
      <c r="M50" s="217"/>
      <c r="N50" s="217"/>
      <c r="O50" s="217"/>
      <c r="P50" s="194"/>
      <c r="Q50" s="197">
        <f t="shared" si="14"/>
        <v>0</v>
      </c>
    </row>
    <row r="51" spans="2:17" ht="18" customHeight="1" thickTop="1" thickBot="1">
      <c r="B51" s="751" t="s">
        <v>237</v>
      </c>
      <c r="C51" s="752"/>
      <c r="D51" s="218"/>
      <c r="E51" s="199">
        <f>SUM(E45:E47,E48:E50)</f>
        <v>0</v>
      </c>
      <c r="F51" s="200">
        <f>SUM(F45:F47,F48:F50)</f>
        <v>0</v>
      </c>
      <c r="G51" s="201">
        <f>SUM(G45:G47,G48:G50)</f>
        <v>0</v>
      </c>
      <c r="H51" s="219">
        <f>SUM(H45:H47,H48:H50)</f>
        <v>0</v>
      </c>
      <c r="I51" s="199"/>
      <c r="J51" s="177"/>
      <c r="K51" s="177"/>
      <c r="L51" s="177"/>
      <c r="M51" s="177"/>
      <c r="N51" s="177"/>
      <c r="O51" s="177"/>
      <c r="P51" s="178"/>
      <c r="Q51" s="206">
        <f>SUM(Q45:Q50)</f>
        <v>0</v>
      </c>
    </row>
    <row r="52" spans="2:17" ht="17.25" customHeight="1">
      <c r="B52" s="207" t="s">
        <v>240</v>
      </c>
      <c r="E52" s="220"/>
      <c r="F52" s="220"/>
      <c r="G52" s="220"/>
      <c r="H52" s="220"/>
      <c r="I52" s="220"/>
      <c r="J52" s="220"/>
      <c r="K52" s="220"/>
      <c r="L52" s="220"/>
      <c r="M52" s="220"/>
      <c r="N52" s="220"/>
      <c r="O52" s="220"/>
      <c r="P52" s="220"/>
      <c r="Q52" s="220"/>
    </row>
    <row r="53" spans="2:17" ht="17.25" customHeight="1">
      <c r="E53" s="220"/>
      <c r="F53" s="220"/>
      <c r="G53" s="220"/>
      <c r="H53" s="220"/>
      <c r="I53" s="220"/>
      <c r="J53" s="220"/>
      <c r="K53" s="220"/>
      <c r="L53" s="220"/>
      <c r="M53" s="220"/>
      <c r="N53" s="220"/>
      <c r="O53" s="220"/>
      <c r="P53" s="220"/>
      <c r="Q53" s="220"/>
    </row>
    <row r="54" spans="2:17" ht="17.25" customHeight="1" thickBot="1">
      <c r="B54" s="221" t="s">
        <v>243</v>
      </c>
      <c r="C54" s="222"/>
    </row>
    <row r="55" spans="2:17" ht="94.5" customHeight="1" thickBot="1">
      <c r="B55" s="742" t="s">
        <v>244</v>
      </c>
      <c r="C55" s="743"/>
      <c r="D55" s="743"/>
      <c r="E55" s="743"/>
      <c r="F55" s="743"/>
      <c r="G55" s="743"/>
      <c r="H55" s="743"/>
      <c r="I55" s="743"/>
      <c r="J55" s="743"/>
      <c r="K55" s="743"/>
      <c r="L55" s="743"/>
      <c r="M55" s="743"/>
      <c r="N55" s="743"/>
      <c r="O55" s="743"/>
      <c r="P55" s="743"/>
      <c r="Q55" s="744"/>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sheetProtection algorithmName="SHA-512" hashValue="3obI6ClzCy1G7ijuSMDEm4bMo1cV3g0jg7PDgZ5cfzuf6IiaF3MyPE89g43wFZAu6iBFySPrjlsTM3yV3/bNdw==" saltValue="m0jytulJg141weYay6jRSQ==" spinCount="100000" sheet="1" objects="1" scenarios="1"/>
  <mergeCells count="36">
    <mergeCell ref="A1:Q1"/>
    <mergeCell ref="H3:L3"/>
    <mergeCell ref="M3:Q3"/>
    <mergeCell ref="B10:D11"/>
    <mergeCell ref="Q10:Q11"/>
    <mergeCell ref="E11:P11"/>
    <mergeCell ref="Q28:Q29"/>
    <mergeCell ref="E29:H29"/>
    <mergeCell ref="I29:P29"/>
    <mergeCell ref="B12:C13"/>
    <mergeCell ref="B14:C15"/>
    <mergeCell ref="B16:C17"/>
    <mergeCell ref="B18:C19"/>
    <mergeCell ref="B35:C35"/>
    <mergeCell ref="B36:C36"/>
    <mergeCell ref="B43:D44"/>
    <mergeCell ref="B20:C21"/>
    <mergeCell ref="B22:C23"/>
    <mergeCell ref="B24:C24"/>
    <mergeCell ref="B28:D29"/>
    <mergeCell ref="B30:C30"/>
    <mergeCell ref="B31:C31"/>
    <mergeCell ref="B32:C32"/>
    <mergeCell ref="B33:C33"/>
    <mergeCell ref="B34:C34"/>
    <mergeCell ref="Q43:Q44"/>
    <mergeCell ref="E44:H44"/>
    <mergeCell ref="I44:P44"/>
    <mergeCell ref="B55:Q55"/>
    <mergeCell ref="B46:C46"/>
    <mergeCell ref="B47:C47"/>
    <mergeCell ref="B48:C48"/>
    <mergeCell ref="B49:C49"/>
    <mergeCell ref="B50:C50"/>
    <mergeCell ref="B51:C51"/>
    <mergeCell ref="B45:C45"/>
  </mergeCells>
  <phoneticPr fontId="4"/>
  <dataValidations count="1">
    <dataValidation type="whole" allowBlank="1" showInputMessage="1" showErrorMessage="1" sqref="E12:P12 E14:P14 E16:P16 E18:P18 E20:P20 E22:P22 E30:H35 I45:P50" xr:uid="{032A97B4-DC48-49F3-A2B8-E319C9BC220D}">
      <formula1>0</formula1>
      <formula2>1000</formula2>
    </dataValidation>
  </dataValidations>
  <pageMargins left="0.61" right="0.27559055118110237" top="0.55118110236220474" bottom="0.19685039370078741" header="0.31496062992125984" footer="0.19685039370078741"/>
  <pageSetup paperSize="9" scale="75"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9B1A-66D4-430A-A1B9-63E50EC46D19}">
  <dimension ref="A1:T2"/>
  <sheetViews>
    <sheetView zoomScale="85" zoomScaleNormal="85" workbookViewId="0">
      <selection activeCell="P2" sqref="P2"/>
    </sheetView>
  </sheetViews>
  <sheetFormatPr defaultRowHeight="18.75"/>
  <cols>
    <col min="1" max="20" width="5.25" customWidth="1"/>
  </cols>
  <sheetData>
    <row r="1" spans="1:20" ht="163.5" customHeight="1">
      <c r="A1" s="716" t="s">
        <v>642</v>
      </c>
      <c r="B1" s="716" t="s">
        <v>643</v>
      </c>
      <c r="C1" s="716" t="s">
        <v>644</v>
      </c>
      <c r="D1" s="716" t="s">
        <v>694</v>
      </c>
      <c r="E1" s="716" t="s">
        <v>695</v>
      </c>
      <c r="F1" s="716" t="s">
        <v>696</v>
      </c>
      <c r="G1" s="716" t="s">
        <v>697</v>
      </c>
      <c r="H1" s="716" t="s">
        <v>698</v>
      </c>
      <c r="I1" s="716" t="s">
        <v>699</v>
      </c>
      <c r="J1" s="716" t="s">
        <v>15</v>
      </c>
      <c r="K1" s="716" t="s">
        <v>704</v>
      </c>
      <c r="L1" s="716" t="s">
        <v>700</v>
      </c>
      <c r="M1" s="716" t="s">
        <v>280</v>
      </c>
      <c r="N1" s="716" t="s">
        <v>705</v>
      </c>
      <c r="O1" s="716" t="s">
        <v>701</v>
      </c>
      <c r="P1" s="716" t="s">
        <v>275</v>
      </c>
      <c r="Q1" s="716" t="s">
        <v>702</v>
      </c>
      <c r="R1" s="716" t="s">
        <v>277</v>
      </c>
      <c r="S1" s="716" t="s">
        <v>703</v>
      </c>
      <c r="T1" s="716" t="s">
        <v>708</v>
      </c>
    </row>
    <row r="2" spans="1:20">
      <c r="A2">
        <f>'0_基本情報'!$D$3</f>
        <v>0</v>
      </c>
      <c r="B2">
        <f>'0_基本情報'!$D$4</f>
        <v>0</v>
      </c>
      <c r="C2">
        <f>'0_基本情報'!$D$5</f>
        <v>0</v>
      </c>
      <c r="D2" s="717">
        <f>'2_区分12加算額計算表'!$D$8</f>
        <v>0</v>
      </c>
      <c r="E2" s="717">
        <f>'2_区分12加算額計算表'!$D$19</f>
        <v>0</v>
      </c>
      <c r="F2" s="717">
        <f>様式3!$F$27+様式3!$M$27+様式3!$T$27+様式3!$AA$27</f>
        <v>0</v>
      </c>
      <c r="G2" s="717">
        <f>'2_区分12加算額計算表'!F22</f>
        <v>0</v>
      </c>
      <c r="H2" s="717">
        <f>'2_区分12加算額計算表'!F23</f>
        <v>0</v>
      </c>
      <c r="I2" s="717">
        <f>'2_区分12加算額計算表'!F24</f>
        <v>0</v>
      </c>
      <c r="J2" s="717">
        <f>'2_区分12加算額計算表'!F25</f>
        <v>0</v>
      </c>
      <c r="K2" s="717">
        <f>'2_区分12加算額計算表'!I25</f>
        <v>0</v>
      </c>
      <c r="L2" s="717">
        <f>'2_区分12加算額計算表'!F26</f>
        <v>0</v>
      </c>
      <c r="M2" s="717">
        <f>'2_区分12加算額計算表'!F27</f>
        <v>0</v>
      </c>
      <c r="N2" s="717">
        <f>'2_区分12加算額計算表'!I27</f>
        <v>0</v>
      </c>
      <c r="O2" s="717">
        <f>'2_区分12加算額計算表'!F28</f>
        <v>0</v>
      </c>
      <c r="P2" s="717">
        <f>'2_区分12加算額計算表'!F29</f>
        <v>0</v>
      </c>
      <c r="Q2" s="717">
        <f>'2_区分12加算額計算表'!F30</f>
        <v>0</v>
      </c>
      <c r="R2" s="717">
        <f>'2_区分12加算額計算表'!F31</f>
        <v>0</v>
      </c>
      <c r="S2" s="717">
        <f>'2_区分12加算額計算表'!F32</f>
        <v>0</v>
      </c>
      <c r="T2" s="717">
        <f>'2_区分12加算額計算表'!F33</f>
        <v>0</v>
      </c>
    </row>
  </sheetData>
  <sheetProtection algorithmName="SHA-512" hashValue="1rl5P9R7Qbv1txiWzZ+1P8j7CKxSF9WASO8tJD4Hw6d0ESXJA0Cn1Bri4hVaaRMFHmOaKWqHOzIY9iqikXWzCQ==" saltValue="Akn44+TNKWtLK9wySg9fcA==" spinCount="100000" sheet="1" objects="1" scenarios="1"/>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D16C-F289-410D-80F2-8C6C538640A8}">
  <sheetPr>
    <pageSetUpPr fitToPage="1"/>
  </sheetPr>
  <dimension ref="A1:Q94"/>
  <sheetViews>
    <sheetView view="pageBreakPreview" zoomScale="70" zoomScaleNormal="100" zoomScaleSheetLayoutView="70" workbookViewId="0">
      <selection activeCell="L6" sqref="L6"/>
    </sheetView>
  </sheetViews>
  <sheetFormatPr defaultColWidth="9" defaultRowHeight="18.75"/>
  <cols>
    <col min="1" max="1" width="2.375" style="152" customWidth="1"/>
    <col min="2" max="2" width="1.625" style="152" customWidth="1"/>
    <col min="3" max="3" width="14.125" style="152" customWidth="1"/>
    <col min="4" max="4" width="6.875" style="152" customWidth="1"/>
    <col min="5" max="16" width="6.625" style="152" customWidth="1"/>
    <col min="17" max="17" width="7.5" style="152" customWidth="1"/>
    <col min="18" max="16384" width="9" style="152"/>
  </cols>
  <sheetData>
    <row r="1" spans="1:17" ht="40.5" customHeight="1">
      <c r="A1" s="769" t="s">
        <v>246</v>
      </c>
      <c r="B1" s="769"/>
      <c r="C1" s="769"/>
      <c r="D1" s="769"/>
      <c r="E1" s="769"/>
      <c r="F1" s="769"/>
      <c r="G1" s="769"/>
      <c r="H1" s="769"/>
      <c r="I1" s="769"/>
      <c r="J1" s="769"/>
      <c r="K1" s="769"/>
      <c r="L1" s="769"/>
      <c r="M1" s="769"/>
      <c r="N1" s="769"/>
      <c r="O1" s="769"/>
      <c r="P1" s="769"/>
      <c r="Q1" s="769"/>
    </row>
    <row r="2" spans="1:17" ht="18" customHeight="1" thickBot="1">
      <c r="B2" s="153"/>
      <c r="C2" s="153"/>
    </row>
    <row r="3" spans="1:17" ht="18" customHeight="1" thickBot="1">
      <c r="B3" s="153"/>
      <c r="C3" s="153"/>
      <c r="H3" s="770" t="s">
        <v>222</v>
      </c>
      <c r="I3" s="771"/>
      <c r="J3" s="771"/>
      <c r="K3" s="771"/>
      <c r="L3" s="772"/>
      <c r="M3" s="785">
        <f>'1-1_児童数計算表'!$M$3</f>
        <v>0</v>
      </c>
      <c r="N3" s="786"/>
      <c r="O3" s="786"/>
      <c r="P3" s="786"/>
      <c r="Q3" s="787"/>
    </row>
    <row r="4" spans="1:17" ht="18" customHeight="1">
      <c r="B4" s="153"/>
      <c r="C4" s="153"/>
      <c r="H4" s="154"/>
      <c r="I4" s="154"/>
      <c r="J4" s="154"/>
      <c r="K4" s="154"/>
      <c r="L4" s="154"/>
      <c r="M4" s="154"/>
      <c r="N4" s="154"/>
      <c r="O4" s="154"/>
      <c r="P4" s="154"/>
      <c r="Q4" s="154"/>
    </row>
    <row r="5" spans="1:17" ht="18" customHeight="1">
      <c r="B5" s="152" t="s">
        <v>223</v>
      </c>
      <c r="H5" s="154"/>
      <c r="I5" s="154"/>
      <c r="J5" s="154"/>
      <c r="K5" s="154"/>
      <c r="L5" s="154"/>
      <c r="M5" s="154"/>
      <c r="N5" s="154"/>
      <c r="O5" s="154"/>
      <c r="P5" s="154"/>
      <c r="Q5" s="154"/>
    </row>
    <row r="6" spans="1:17" ht="18" customHeight="1">
      <c r="B6" s="152" t="s">
        <v>224</v>
      </c>
      <c r="H6" s="154"/>
      <c r="I6" s="154"/>
      <c r="J6" s="154"/>
      <c r="K6" s="154"/>
      <c r="L6" s="154"/>
      <c r="M6" s="154"/>
      <c r="N6" s="154"/>
      <c r="O6" s="154"/>
      <c r="P6" s="154"/>
      <c r="Q6" s="154"/>
    </row>
    <row r="7" spans="1:17" ht="18" customHeight="1">
      <c r="B7" s="152" t="s">
        <v>225</v>
      </c>
      <c r="C7" s="155"/>
      <c r="H7" s="154"/>
      <c r="I7" s="154"/>
      <c r="J7" s="154"/>
      <c r="K7" s="154"/>
      <c r="L7" s="154"/>
      <c r="M7" s="154"/>
      <c r="N7" s="154"/>
      <c r="O7" s="154"/>
      <c r="P7" s="154"/>
      <c r="Q7" s="154"/>
    </row>
    <row r="8" spans="1:17" ht="18" customHeight="1">
      <c r="B8" s="155"/>
      <c r="C8" s="155"/>
      <c r="H8" s="154"/>
      <c r="I8" s="154"/>
      <c r="J8" s="154"/>
      <c r="K8" s="154"/>
      <c r="L8" s="154"/>
      <c r="M8" s="154"/>
      <c r="N8" s="154"/>
      <c r="O8" s="154"/>
      <c r="P8" s="154"/>
      <c r="Q8" s="154"/>
    </row>
    <row r="9" spans="1:17" ht="18" customHeight="1" thickBot="1">
      <c r="A9" s="156" t="s">
        <v>710</v>
      </c>
    </row>
    <row r="10" spans="1:17" ht="17.25" customHeight="1">
      <c r="B10" s="776" t="s">
        <v>238</v>
      </c>
      <c r="C10" s="777"/>
      <c r="D10" s="777"/>
      <c r="E10" s="157">
        <v>4</v>
      </c>
      <c r="F10" s="158">
        <v>5</v>
      </c>
      <c r="G10" s="158">
        <v>6</v>
      </c>
      <c r="H10" s="158">
        <v>7</v>
      </c>
      <c r="I10" s="158">
        <v>8</v>
      </c>
      <c r="J10" s="158">
        <v>9</v>
      </c>
      <c r="K10" s="158">
        <v>10</v>
      </c>
      <c r="L10" s="158">
        <v>11</v>
      </c>
      <c r="M10" s="158">
        <v>12</v>
      </c>
      <c r="N10" s="158">
        <v>1</v>
      </c>
      <c r="O10" s="158">
        <v>2</v>
      </c>
      <c r="P10" s="159">
        <v>3</v>
      </c>
      <c r="Q10" s="780" t="s">
        <v>226</v>
      </c>
    </row>
    <row r="11" spans="1:17" ht="17.25" customHeight="1">
      <c r="B11" s="778"/>
      <c r="C11" s="779"/>
      <c r="D11" s="779"/>
      <c r="E11" s="782" t="s">
        <v>227</v>
      </c>
      <c r="F11" s="783"/>
      <c r="G11" s="783"/>
      <c r="H11" s="783"/>
      <c r="I11" s="783"/>
      <c r="J11" s="783"/>
      <c r="K11" s="783"/>
      <c r="L11" s="783"/>
      <c r="M11" s="783"/>
      <c r="N11" s="783"/>
      <c r="O11" s="783"/>
      <c r="P11" s="784"/>
      <c r="Q11" s="781"/>
    </row>
    <row r="12" spans="1:17" ht="17.25" customHeight="1">
      <c r="B12" s="761" t="s">
        <v>228</v>
      </c>
      <c r="C12" s="762"/>
      <c r="D12" s="160" t="s">
        <v>229</v>
      </c>
      <c r="E12" s="161"/>
      <c r="F12" s="162"/>
      <c r="G12" s="162"/>
      <c r="H12" s="162"/>
      <c r="I12" s="162"/>
      <c r="J12" s="162"/>
      <c r="K12" s="162"/>
      <c r="L12" s="162"/>
      <c r="M12" s="162"/>
      <c r="N12" s="162"/>
      <c r="O12" s="162"/>
      <c r="P12" s="163"/>
      <c r="Q12" s="164">
        <f>ROUND(SUM(E12:P12)/12,0)</f>
        <v>0</v>
      </c>
    </row>
    <row r="13" spans="1:17" ht="17.25" customHeight="1">
      <c r="B13" s="763"/>
      <c r="C13" s="768"/>
      <c r="D13" s="165" t="s">
        <v>230</v>
      </c>
      <c r="E13" s="166"/>
      <c r="F13" s="167" t="str">
        <f>IFERROR(F12/$E12,"")</f>
        <v/>
      </c>
      <c r="G13" s="167" t="str">
        <f t="shared" ref="G13:P13" si="0">IFERROR(G12/$E12,"")</f>
        <v/>
      </c>
      <c r="H13" s="167" t="str">
        <f t="shared" si="0"/>
        <v/>
      </c>
      <c r="I13" s="167" t="str">
        <f t="shared" si="0"/>
        <v/>
      </c>
      <c r="J13" s="167" t="str">
        <f t="shared" si="0"/>
        <v/>
      </c>
      <c r="K13" s="167" t="str">
        <f t="shared" si="0"/>
        <v/>
      </c>
      <c r="L13" s="167" t="str">
        <f t="shared" si="0"/>
        <v/>
      </c>
      <c r="M13" s="167" t="str">
        <f t="shared" si="0"/>
        <v/>
      </c>
      <c r="N13" s="167" t="str">
        <f t="shared" si="0"/>
        <v/>
      </c>
      <c r="O13" s="167" t="str">
        <f t="shared" si="0"/>
        <v/>
      </c>
      <c r="P13" s="168" t="str">
        <f t="shared" si="0"/>
        <v/>
      </c>
      <c r="Q13" s="169" t="s">
        <v>231</v>
      </c>
    </row>
    <row r="14" spans="1:17" ht="17.25" customHeight="1">
      <c r="B14" s="761" t="s">
        <v>232</v>
      </c>
      <c r="C14" s="762"/>
      <c r="D14" s="160" t="s">
        <v>229</v>
      </c>
      <c r="E14" s="161"/>
      <c r="F14" s="162"/>
      <c r="G14" s="162"/>
      <c r="H14" s="162"/>
      <c r="I14" s="162"/>
      <c r="J14" s="162"/>
      <c r="K14" s="162"/>
      <c r="L14" s="162"/>
      <c r="M14" s="162"/>
      <c r="N14" s="162"/>
      <c r="O14" s="162"/>
      <c r="P14" s="163"/>
      <c r="Q14" s="164">
        <f>ROUND(SUM(E14:P14)/12,0)</f>
        <v>0</v>
      </c>
    </row>
    <row r="15" spans="1:17" ht="17.25" customHeight="1">
      <c r="B15" s="763"/>
      <c r="C15" s="768"/>
      <c r="D15" s="165" t="s">
        <v>230</v>
      </c>
      <c r="E15" s="166"/>
      <c r="F15" s="167" t="str">
        <f>IFERROR(F14/$E14,"")</f>
        <v/>
      </c>
      <c r="G15" s="167" t="str">
        <f t="shared" ref="G15:P15" si="1">IFERROR(G14/$E14,"")</f>
        <v/>
      </c>
      <c r="H15" s="167" t="str">
        <f t="shared" si="1"/>
        <v/>
      </c>
      <c r="I15" s="167" t="str">
        <f t="shared" si="1"/>
        <v/>
      </c>
      <c r="J15" s="167" t="str">
        <f t="shared" si="1"/>
        <v/>
      </c>
      <c r="K15" s="167" t="str">
        <f t="shared" si="1"/>
        <v/>
      </c>
      <c r="L15" s="167" t="str">
        <f t="shared" si="1"/>
        <v/>
      </c>
      <c r="M15" s="167" t="str">
        <f t="shared" si="1"/>
        <v/>
      </c>
      <c r="N15" s="167" t="str">
        <f t="shared" si="1"/>
        <v/>
      </c>
      <c r="O15" s="167" t="str">
        <f t="shared" si="1"/>
        <v/>
      </c>
      <c r="P15" s="168" t="str">
        <f t="shared" si="1"/>
        <v/>
      </c>
      <c r="Q15" s="169" t="s">
        <v>231</v>
      </c>
    </row>
    <row r="16" spans="1:17" ht="17.25" customHeight="1">
      <c r="B16" s="747" t="s">
        <v>233</v>
      </c>
      <c r="C16" s="748"/>
      <c r="D16" s="160" t="s">
        <v>229</v>
      </c>
      <c r="E16" s="161"/>
      <c r="F16" s="162"/>
      <c r="G16" s="162"/>
      <c r="H16" s="162"/>
      <c r="I16" s="162"/>
      <c r="J16" s="162"/>
      <c r="K16" s="162"/>
      <c r="L16" s="162"/>
      <c r="M16" s="162"/>
      <c r="N16" s="162"/>
      <c r="O16" s="162"/>
      <c r="P16" s="163"/>
      <c r="Q16" s="164">
        <f>ROUND(SUM(E16:P16)/12,0)</f>
        <v>0</v>
      </c>
    </row>
    <row r="17" spans="1:17" ht="17.25" customHeight="1">
      <c r="B17" s="747"/>
      <c r="C17" s="748"/>
      <c r="D17" s="165" t="s">
        <v>230</v>
      </c>
      <c r="E17" s="166"/>
      <c r="F17" s="167" t="str">
        <f>IFERROR(F16/$E16,"")</f>
        <v/>
      </c>
      <c r="G17" s="167" t="str">
        <f t="shared" ref="G17:P17" si="2">IFERROR(G16/$E16,"")</f>
        <v/>
      </c>
      <c r="H17" s="167" t="str">
        <f t="shared" si="2"/>
        <v/>
      </c>
      <c r="I17" s="167" t="str">
        <f t="shared" si="2"/>
        <v/>
      </c>
      <c r="J17" s="167" t="str">
        <f t="shared" si="2"/>
        <v/>
      </c>
      <c r="K17" s="167" t="str">
        <f t="shared" si="2"/>
        <v/>
      </c>
      <c r="L17" s="167" t="str">
        <f t="shared" si="2"/>
        <v/>
      </c>
      <c r="M17" s="167" t="str">
        <f t="shared" si="2"/>
        <v/>
      </c>
      <c r="N17" s="167" t="str">
        <f t="shared" si="2"/>
        <v/>
      </c>
      <c r="O17" s="167" t="str">
        <f t="shared" si="2"/>
        <v/>
      </c>
      <c r="P17" s="168" t="str">
        <f t="shared" si="2"/>
        <v/>
      </c>
      <c r="Q17" s="169"/>
    </row>
    <row r="18" spans="1:17" ht="17.25" customHeight="1">
      <c r="B18" s="761" t="s">
        <v>234</v>
      </c>
      <c r="C18" s="762"/>
      <c r="D18" s="160" t="s">
        <v>229</v>
      </c>
      <c r="E18" s="161"/>
      <c r="F18" s="162"/>
      <c r="G18" s="162"/>
      <c r="H18" s="162"/>
      <c r="I18" s="162"/>
      <c r="J18" s="162"/>
      <c r="K18" s="162"/>
      <c r="L18" s="162"/>
      <c r="M18" s="162"/>
      <c r="N18" s="162"/>
      <c r="O18" s="162"/>
      <c r="P18" s="163"/>
      <c r="Q18" s="164">
        <f>ROUND(SUM(E18:P18)/12,0)</f>
        <v>0</v>
      </c>
    </row>
    <row r="19" spans="1:17" ht="17.25" customHeight="1">
      <c r="B19" s="763"/>
      <c r="C19" s="764"/>
      <c r="D19" s="165" t="s">
        <v>230</v>
      </c>
      <c r="E19" s="166"/>
      <c r="F19" s="167" t="str">
        <f>IFERROR(F18/$E18,"")</f>
        <v/>
      </c>
      <c r="G19" s="167" t="str">
        <f t="shared" ref="G19:P19" si="3">IFERROR(G18/$E18,"")</f>
        <v/>
      </c>
      <c r="H19" s="167" t="str">
        <f t="shared" si="3"/>
        <v/>
      </c>
      <c r="I19" s="167" t="str">
        <f t="shared" si="3"/>
        <v/>
      </c>
      <c r="J19" s="167" t="str">
        <f t="shared" si="3"/>
        <v/>
      </c>
      <c r="K19" s="167" t="str">
        <f t="shared" si="3"/>
        <v/>
      </c>
      <c r="L19" s="167" t="str">
        <f t="shared" si="3"/>
        <v/>
      </c>
      <c r="M19" s="167" t="str">
        <f t="shared" si="3"/>
        <v/>
      </c>
      <c r="N19" s="167" t="str">
        <f t="shared" si="3"/>
        <v/>
      </c>
      <c r="O19" s="167" t="str">
        <f t="shared" si="3"/>
        <v/>
      </c>
      <c r="P19" s="168" t="str">
        <f t="shared" si="3"/>
        <v/>
      </c>
      <c r="Q19" s="169"/>
    </row>
    <row r="20" spans="1:17" ht="17.25" customHeight="1">
      <c r="B20" s="761" t="s">
        <v>235</v>
      </c>
      <c r="C20" s="762"/>
      <c r="D20" s="160" t="s">
        <v>229</v>
      </c>
      <c r="E20" s="161"/>
      <c r="F20" s="162"/>
      <c r="G20" s="162"/>
      <c r="H20" s="162"/>
      <c r="I20" s="162"/>
      <c r="J20" s="162"/>
      <c r="K20" s="162"/>
      <c r="L20" s="162"/>
      <c r="M20" s="162"/>
      <c r="N20" s="162"/>
      <c r="O20" s="162"/>
      <c r="P20" s="163"/>
      <c r="Q20" s="164">
        <f>ROUND(SUM(E20:P20)/12,0)</f>
        <v>0</v>
      </c>
    </row>
    <row r="21" spans="1:17" ht="17.25" customHeight="1">
      <c r="B21" s="763"/>
      <c r="C21" s="764"/>
      <c r="D21" s="165" t="s">
        <v>230</v>
      </c>
      <c r="E21" s="166"/>
      <c r="F21" s="167" t="str">
        <f>IFERROR(F20/$E20,"")</f>
        <v/>
      </c>
      <c r="G21" s="167" t="str">
        <f t="shared" ref="G21:P21" si="4">IFERROR(G20/$E20,"")</f>
        <v/>
      </c>
      <c r="H21" s="167" t="str">
        <f t="shared" si="4"/>
        <v/>
      </c>
      <c r="I21" s="167" t="str">
        <f t="shared" si="4"/>
        <v/>
      </c>
      <c r="J21" s="167" t="str">
        <f t="shared" si="4"/>
        <v/>
      </c>
      <c r="K21" s="167" t="str">
        <f t="shared" si="4"/>
        <v/>
      </c>
      <c r="L21" s="167" t="str">
        <f t="shared" si="4"/>
        <v/>
      </c>
      <c r="M21" s="167" t="str">
        <f t="shared" si="4"/>
        <v/>
      </c>
      <c r="N21" s="167" t="str">
        <f t="shared" si="4"/>
        <v/>
      </c>
      <c r="O21" s="167" t="str">
        <f t="shared" si="4"/>
        <v/>
      </c>
      <c r="P21" s="168" t="str">
        <f t="shared" si="4"/>
        <v/>
      </c>
      <c r="Q21" s="169"/>
    </row>
    <row r="22" spans="1:17" ht="17.25" customHeight="1">
      <c r="B22" s="761" t="s">
        <v>236</v>
      </c>
      <c r="C22" s="765"/>
      <c r="D22" s="160" t="s">
        <v>229</v>
      </c>
      <c r="E22" s="161"/>
      <c r="F22" s="162"/>
      <c r="G22" s="162"/>
      <c r="H22" s="162"/>
      <c r="I22" s="162"/>
      <c r="J22" s="162"/>
      <c r="K22" s="162"/>
      <c r="L22" s="162"/>
      <c r="M22" s="162"/>
      <c r="N22" s="162"/>
      <c r="O22" s="162"/>
      <c r="P22" s="163"/>
      <c r="Q22" s="164">
        <f>ROUND(SUM(E22:P22)/12,0)</f>
        <v>0</v>
      </c>
    </row>
    <row r="23" spans="1:17" ht="17.25" customHeight="1" thickBot="1">
      <c r="B23" s="766"/>
      <c r="C23" s="767"/>
      <c r="D23" s="170" t="s">
        <v>230</v>
      </c>
      <c r="E23" s="171"/>
      <c r="F23" s="172" t="str">
        <f>IFERROR(F22/$E22,"")</f>
        <v/>
      </c>
      <c r="G23" s="172" t="str">
        <f t="shared" ref="G23:P23" si="5">IFERROR(G22/$E22,"")</f>
        <v/>
      </c>
      <c r="H23" s="172" t="str">
        <f t="shared" si="5"/>
        <v/>
      </c>
      <c r="I23" s="172" t="str">
        <f t="shared" si="5"/>
        <v/>
      </c>
      <c r="J23" s="172" t="str">
        <f t="shared" si="5"/>
        <v/>
      </c>
      <c r="K23" s="172" t="str">
        <f t="shared" si="5"/>
        <v/>
      </c>
      <c r="L23" s="172" t="str">
        <f t="shared" si="5"/>
        <v/>
      </c>
      <c r="M23" s="172" t="str">
        <f t="shared" si="5"/>
        <v/>
      </c>
      <c r="N23" s="172" t="str">
        <f t="shared" si="5"/>
        <v/>
      </c>
      <c r="O23" s="172" t="str">
        <f t="shared" si="5"/>
        <v/>
      </c>
      <c r="P23" s="173" t="str">
        <f t="shared" si="5"/>
        <v/>
      </c>
      <c r="Q23" s="174"/>
    </row>
    <row r="24" spans="1:17" ht="17.25" customHeight="1" thickTop="1" thickBot="1">
      <c r="B24" s="751" t="s">
        <v>237</v>
      </c>
      <c r="C24" s="752"/>
      <c r="D24" s="175"/>
      <c r="E24" s="176">
        <f>SUM(E12,E14,E16,E18,E20,E22)</f>
        <v>0</v>
      </c>
      <c r="F24" s="177">
        <f>SUM(F12,F14,F16,F18,F20,F22)</f>
        <v>0</v>
      </c>
      <c r="G24" s="177">
        <f>SUM(G12,G14,G16,G18,G20,G22)</f>
        <v>0</v>
      </c>
      <c r="H24" s="177">
        <f>SUM(H12,H14,H16,H18,H20,H22)</f>
        <v>0</v>
      </c>
      <c r="I24" s="177"/>
      <c r="J24" s="177"/>
      <c r="K24" s="177"/>
      <c r="L24" s="177"/>
      <c r="M24" s="177"/>
      <c r="N24" s="177"/>
      <c r="O24" s="177"/>
      <c r="P24" s="178"/>
      <c r="Q24" s="179">
        <f>SUM(Q12,Q14,Q16,Q18,Q20,Q22)</f>
        <v>0</v>
      </c>
    </row>
    <row r="25" spans="1:17" ht="17.25" customHeight="1">
      <c r="B25" s="154"/>
      <c r="C25" s="154"/>
      <c r="D25" s="154"/>
      <c r="F25" s="180"/>
      <c r="G25" s="180"/>
      <c r="H25" s="180"/>
      <c r="I25" s="180"/>
      <c r="J25" s="180"/>
      <c r="K25" s="180"/>
      <c r="L25" s="180"/>
      <c r="M25" s="180"/>
      <c r="N25" s="180"/>
      <c r="O25" s="180"/>
      <c r="P25" s="180"/>
    </row>
    <row r="26" spans="1:17" ht="17.25" customHeight="1">
      <c r="B26" s="154"/>
      <c r="C26" s="154"/>
      <c r="D26" s="154"/>
      <c r="F26" s="180"/>
      <c r="G26" s="180"/>
      <c r="H26" s="180"/>
      <c r="I26" s="180"/>
      <c r="J26" s="180"/>
      <c r="K26" s="180"/>
      <c r="L26" s="180"/>
      <c r="M26" s="180"/>
      <c r="N26" s="180"/>
      <c r="O26" s="180"/>
      <c r="P26" s="180"/>
    </row>
    <row r="27" spans="1:17" ht="17.25" customHeight="1" thickBot="1">
      <c r="A27" s="156" t="s">
        <v>711</v>
      </c>
      <c r="E27" s="181"/>
    </row>
    <row r="28" spans="1:17" ht="17.25" customHeight="1">
      <c r="B28" s="755" t="s">
        <v>712</v>
      </c>
      <c r="C28" s="756"/>
      <c r="D28" s="757"/>
      <c r="E28" s="157">
        <v>4</v>
      </c>
      <c r="F28" s="182">
        <v>5</v>
      </c>
      <c r="G28" s="182">
        <v>6</v>
      </c>
      <c r="H28" s="159">
        <v>7</v>
      </c>
      <c r="I28" s="158">
        <v>8</v>
      </c>
      <c r="J28" s="158">
        <v>9</v>
      </c>
      <c r="K28" s="183">
        <v>10</v>
      </c>
      <c r="L28" s="158">
        <v>11</v>
      </c>
      <c r="M28" s="158">
        <v>12</v>
      </c>
      <c r="N28" s="158">
        <v>1</v>
      </c>
      <c r="O28" s="158">
        <v>2</v>
      </c>
      <c r="P28" s="159">
        <v>3</v>
      </c>
      <c r="Q28" s="734" t="s">
        <v>226</v>
      </c>
    </row>
    <row r="29" spans="1:17" ht="17.25" customHeight="1">
      <c r="B29" s="758"/>
      <c r="C29" s="759"/>
      <c r="D29" s="760"/>
      <c r="E29" s="736" t="s">
        <v>227</v>
      </c>
      <c r="F29" s="737"/>
      <c r="G29" s="737"/>
      <c r="H29" s="738"/>
      <c r="I29" s="739" t="s">
        <v>239</v>
      </c>
      <c r="J29" s="740"/>
      <c r="K29" s="740"/>
      <c r="L29" s="740"/>
      <c r="M29" s="740"/>
      <c r="N29" s="740"/>
      <c r="O29" s="740"/>
      <c r="P29" s="741"/>
      <c r="Q29" s="735"/>
    </row>
    <row r="30" spans="1:17" ht="18" customHeight="1">
      <c r="B30" s="745" t="str">
        <f>$B$12</f>
        <v>５歳児</v>
      </c>
      <c r="C30" s="746"/>
      <c r="D30" s="184" t="s">
        <v>229</v>
      </c>
      <c r="E30" s="399"/>
      <c r="F30" s="185"/>
      <c r="G30" s="185"/>
      <c r="H30" s="186"/>
      <c r="I30" s="210" t="str">
        <f t="shared" ref="I30:P30" si="6">IFERROR($E$30*I13,"")</f>
        <v/>
      </c>
      <c r="J30" s="210" t="str">
        <f t="shared" si="6"/>
        <v/>
      </c>
      <c r="K30" s="210" t="str">
        <f t="shared" si="6"/>
        <v/>
      </c>
      <c r="L30" s="210" t="str">
        <f t="shared" si="6"/>
        <v/>
      </c>
      <c r="M30" s="210" t="str">
        <f t="shared" si="6"/>
        <v/>
      </c>
      <c r="N30" s="210" t="str">
        <f t="shared" si="6"/>
        <v/>
      </c>
      <c r="O30" s="210" t="str">
        <f t="shared" si="6"/>
        <v/>
      </c>
      <c r="P30" s="211" t="str">
        <f t="shared" si="6"/>
        <v/>
      </c>
      <c r="Q30" s="189">
        <f t="shared" ref="Q30:Q35" si="7">ROUND(SUM(E30:P30)/12,0)</f>
        <v>0</v>
      </c>
    </row>
    <row r="31" spans="1:17" ht="18" customHeight="1">
      <c r="B31" s="745" t="str">
        <f>$B$14</f>
        <v>４歳児</v>
      </c>
      <c r="C31" s="746"/>
      <c r="D31" s="184" t="s">
        <v>229</v>
      </c>
      <c r="E31" s="399"/>
      <c r="F31" s="185"/>
      <c r="G31" s="185"/>
      <c r="H31" s="186"/>
      <c r="I31" s="210" t="str">
        <f t="shared" ref="I31:P31" si="8">IFERROR($E$31*I15,"")</f>
        <v/>
      </c>
      <c r="J31" s="210" t="str">
        <f t="shared" si="8"/>
        <v/>
      </c>
      <c r="K31" s="210" t="str">
        <f t="shared" si="8"/>
        <v/>
      </c>
      <c r="L31" s="210" t="str">
        <f t="shared" si="8"/>
        <v/>
      </c>
      <c r="M31" s="210" t="str">
        <f t="shared" si="8"/>
        <v/>
      </c>
      <c r="N31" s="210" t="str">
        <f t="shared" si="8"/>
        <v/>
      </c>
      <c r="O31" s="210" t="str">
        <f t="shared" si="8"/>
        <v/>
      </c>
      <c r="P31" s="211" t="str">
        <f t="shared" si="8"/>
        <v/>
      </c>
      <c r="Q31" s="189">
        <f t="shared" si="7"/>
        <v>0</v>
      </c>
    </row>
    <row r="32" spans="1:17" ht="18" customHeight="1">
      <c r="B32" s="747" t="str">
        <f>$B$16</f>
        <v>３歳児</v>
      </c>
      <c r="C32" s="748"/>
      <c r="D32" s="190" t="s">
        <v>229</v>
      </c>
      <c r="E32" s="399"/>
      <c r="F32" s="185"/>
      <c r="G32" s="185"/>
      <c r="H32" s="186"/>
      <c r="I32" s="210" t="str">
        <f t="shared" ref="I32:P32" si="9">IFERROR($E$32*I17,"")</f>
        <v/>
      </c>
      <c r="J32" s="210" t="str">
        <f t="shared" si="9"/>
        <v/>
      </c>
      <c r="K32" s="210" t="str">
        <f t="shared" si="9"/>
        <v/>
      </c>
      <c r="L32" s="210" t="str">
        <f t="shared" si="9"/>
        <v/>
      </c>
      <c r="M32" s="210" t="str">
        <f t="shared" si="9"/>
        <v/>
      </c>
      <c r="N32" s="210" t="str">
        <f t="shared" si="9"/>
        <v/>
      </c>
      <c r="O32" s="210" t="str">
        <f t="shared" si="9"/>
        <v/>
      </c>
      <c r="P32" s="211" t="str">
        <f t="shared" si="9"/>
        <v/>
      </c>
      <c r="Q32" s="189">
        <f t="shared" si="7"/>
        <v>0</v>
      </c>
    </row>
    <row r="33" spans="1:17" ht="18" customHeight="1">
      <c r="B33" s="745" t="str">
        <f>$B$18</f>
        <v>２歳児</v>
      </c>
      <c r="C33" s="746"/>
      <c r="D33" s="184" t="s">
        <v>229</v>
      </c>
      <c r="E33" s="399"/>
      <c r="F33" s="191"/>
      <c r="G33" s="191"/>
      <c r="H33" s="186"/>
      <c r="I33" s="210" t="str">
        <f t="shared" ref="I33:P33" si="10">IFERROR($E$33*I19,"")</f>
        <v/>
      </c>
      <c r="J33" s="210" t="str">
        <f t="shared" si="10"/>
        <v/>
      </c>
      <c r="K33" s="210" t="str">
        <f t="shared" si="10"/>
        <v/>
      </c>
      <c r="L33" s="210" t="str">
        <f t="shared" si="10"/>
        <v/>
      </c>
      <c r="M33" s="210" t="str">
        <f t="shared" si="10"/>
        <v/>
      </c>
      <c r="N33" s="210" t="str">
        <f t="shared" si="10"/>
        <v/>
      </c>
      <c r="O33" s="210" t="str">
        <f t="shared" si="10"/>
        <v/>
      </c>
      <c r="P33" s="211" t="str">
        <f t="shared" si="10"/>
        <v/>
      </c>
      <c r="Q33" s="189">
        <f t="shared" si="7"/>
        <v>0</v>
      </c>
    </row>
    <row r="34" spans="1:17" ht="18" customHeight="1">
      <c r="B34" s="745" t="str">
        <f>$B$20</f>
        <v>１歳児</v>
      </c>
      <c r="C34" s="746"/>
      <c r="D34" s="184" t="s">
        <v>229</v>
      </c>
      <c r="E34" s="399"/>
      <c r="F34" s="191"/>
      <c r="G34" s="191"/>
      <c r="H34" s="186"/>
      <c r="I34" s="210" t="str">
        <f t="shared" ref="I34:P34" si="11">IFERROR($E$34*I21,"")</f>
        <v/>
      </c>
      <c r="J34" s="210" t="str">
        <f t="shared" si="11"/>
        <v/>
      </c>
      <c r="K34" s="210" t="str">
        <f t="shared" si="11"/>
        <v/>
      </c>
      <c r="L34" s="210" t="str">
        <f t="shared" si="11"/>
        <v/>
      </c>
      <c r="M34" s="210" t="str">
        <f t="shared" si="11"/>
        <v/>
      </c>
      <c r="N34" s="210" t="str">
        <f t="shared" si="11"/>
        <v/>
      </c>
      <c r="O34" s="210" t="str">
        <f t="shared" si="11"/>
        <v/>
      </c>
      <c r="P34" s="211" t="str">
        <f t="shared" si="11"/>
        <v/>
      </c>
      <c r="Q34" s="189">
        <f t="shared" si="7"/>
        <v>0</v>
      </c>
    </row>
    <row r="35" spans="1:17" ht="18" customHeight="1" thickBot="1">
      <c r="B35" s="749" t="str">
        <f>$B$22</f>
        <v>０歳児</v>
      </c>
      <c r="C35" s="750"/>
      <c r="D35" s="192" t="s">
        <v>229</v>
      </c>
      <c r="E35" s="400"/>
      <c r="F35" s="193"/>
      <c r="G35" s="193"/>
      <c r="H35" s="194"/>
      <c r="I35" s="223" t="str">
        <f t="shared" ref="I35:P35" si="12">IFERROR($E$35*I23,"")</f>
        <v/>
      </c>
      <c r="J35" s="223" t="str">
        <f t="shared" si="12"/>
        <v/>
      </c>
      <c r="K35" s="223" t="str">
        <f t="shared" si="12"/>
        <v/>
      </c>
      <c r="L35" s="223" t="str">
        <f t="shared" si="12"/>
        <v/>
      </c>
      <c r="M35" s="223" t="str">
        <f t="shared" si="12"/>
        <v/>
      </c>
      <c r="N35" s="223" t="str">
        <f t="shared" si="12"/>
        <v/>
      </c>
      <c r="O35" s="223" t="str">
        <f t="shared" si="12"/>
        <v/>
      </c>
      <c r="P35" s="216" t="str">
        <f t="shared" si="12"/>
        <v/>
      </c>
      <c r="Q35" s="197">
        <f t="shared" si="7"/>
        <v>0</v>
      </c>
    </row>
    <row r="36" spans="1:17" ht="18" customHeight="1" thickTop="1" thickBot="1">
      <c r="B36" s="753" t="s">
        <v>237</v>
      </c>
      <c r="C36" s="754"/>
      <c r="D36" s="198"/>
      <c r="E36" s="199">
        <f>SUM(E30:E35)</f>
        <v>0</v>
      </c>
      <c r="F36" s="200">
        <f>SUM(F30:F35)</f>
        <v>0</v>
      </c>
      <c r="G36" s="201">
        <f>SUM(G30:G35)</f>
        <v>0</v>
      </c>
      <c r="H36" s="202">
        <f>SUM(H30:H35)</f>
        <v>0</v>
      </c>
      <c r="I36" s="203"/>
      <c r="J36" s="204"/>
      <c r="K36" s="204"/>
      <c r="L36" s="204"/>
      <c r="M36" s="204"/>
      <c r="N36" s="204"/>
      <c r="O36" s="204"/>
      <c r="P36" s="205"/>
      <c r="Q36" s="206">
        <f>SUM(Q30:Q35)</f>
        <v>0</v>
      </c>
    </row>
    <row r="37" spans="1:17" ht="17.25" customHeight="1">
      <c r="B37" s="207" t="s">
        <v>240</v>
      </c>
    </row>
    <row r="38" spans="1:17" ht="17.25" customHeight="1"/>
    <row r="39" spans="1:17" ht="17.25" customHeight="1"/>
    <row r="40" spans="1:17" ht="17.25" customHeight="1"/>
    <row r="41" spans="1:17" ht="17.25" customHeight="1"/>
    <row r="42" spans="1:17" ht="17.25" customHeight="1" thickBot="1">
      <c r="A42" s="156" t="s">
        <v>241</v>
      </c>
      <c r="E42" s="181"/>
    </row>
    <row r="43" spans="1:17" ht="17.25" customHeight="1">
      <c r="B43" s="755" t="s">
        <v>712</v>
      </c>
      <c r="C43" s="756"/>
      <c r="D43" s="757"/>
      <c r="E43" s="157">
        <v>4</v>
      </c>
      <c r="F43" s="182">
        <v>5</v>
      </c>
      <c r="G43" s="182">
        <v>6</v>
      </c>
      <c r="H43" s="159">
        <v>7</v>
      </c>
      <c r="I43" s="158">
        <v>8</v>
      </c>
      <c r="J43" s="158">
        <v>9</v>
      </c>
      <c r="K43" s="183">
        <v>10</v>
      </c>
      <c r="L43" s="158">
        <v>11</v>
      </c>
      <c r="M43" s="158">
        <v>12</v>
      </c>
      <c r="N43" s="158">
        <v>1</v>
      </c>
      <c r="O43" s="158">
        <v>2</v>
      </c>
      <c r="P43" s="159">
        <v>3</v>
      </c>
      <c r="Q43" s="734" t="s">
        <v>226</v>
      </c>
    </row>
    <row r="44" spans="1:17" ht="17.25" customHeight="1">
      <c r="B44" s="758"/>
      <c r="C44" s="759"/>
      <c r="D44" s="760"/>
      <c r="E44" s="736" t="s">
        <v>227</v>
      </c>
      <c r="F44" s="737"/>
      <c r="G44" s="737"/>
      <c r="H44" s="738"/>
      <c r="I44" s="739" t="s">
        <v>242</v>
      </c>
      <c r="J44" s="740"/>
      <c r="K44" s="740"/>
      <c r="L44" s="740"/>
      <c r="M44" s="740"/>
      <c r="N44" s="740"/>
      <c r="O44" s="740"/>
      <c r="P44" s="741"/>
      <c r="Q44" s="735"/>
    </row>
    <row r="45" spans="1:17" ht="18" customHeight="1">
      <c r="B45" s="745" t="str">
        <f>$B$12</f>
        <v>５歳児</v>
      </c>
      <c r="C45" s="746"/>
      <c r="D45" s="208" t="s">
        <v>229</v>
      </c>
      <c r="E45" s="209">
        <f t="shared" ref="E45:H50" si="13">E30</f>
        <v>0</v>
      </c>
      <c r="F45" s="210">
        <f t="shared" si="13"/>
        <v>0</v>
      </c>
      <c r="G45" s="210">
        <f t="shared" si="13"/>
        <v>0</v>
      </c>
      <c r="H45" s="211">
        <f t="shared" si="13"/>
        <v>0</v>
      </c>
      <c r="I45" s="185"/>
      <c r="J45" s="185"/>
      <c r="K45" s="185"/>
      <c r="L45" s="185"/>
      <c r="M45" s="185"/>
      <c r="N45" s="185"/>
      <c r="O45" s="185"/>
      <c r="P45" s="186"/>
      <c r="Q45" s="189">
        <f t="shared" ref="Q45:Q50" si="14">ROUND(SUM(E45:P45)/12,0)</f>
        <v>0</v>
      </c>
    </row>
    <row r="46" spans="1:17" ht="18" customHeight="1">
      <c r="B46" s="745" t="str">
        <f>$B$14</f>
        <v>４歳児</v>
      </c>
      <c r="C46" s="746"/>
      <c r="D46" s="208" t="s">
        <v>229</v>
      </c>
      <c r="E46" s="209">
        <f t="shared" si="13"/>
        <v>0</v>
      </c>
      <c r="F46" s="210">
        <f t="shared" si="13"/>
        <v>0</v>
      </c>
      <c r="G46" s="210">
        <f t="shared" si="13"/>
        <v>0</v>
      </c>
      <c r="H46" s="211">
        <f t="shared" si="13"/>
        <v>0</v>
      </c>
      <c r="I46" s="185"/>
      <c r="J46" s="185"/>
      <c r="K46" s="185"/>
      <c r="L46" s="185"/>
      <c r="M46" s="185"/>
      <c r="N46" s="185"/>
      <c r="O46" s="185"/>
      <c r="P46" s="186"/>
      <c r="Q46" s="189">
        <f t="shared" si="14"/>
        <v>0</v>
      </c>
    </row>
    <row r="47" spans="1:17" ht="18" customHeight="1">
      <c r="B47" s="747" t="str">
        <f>$B$16</f>
        <v>３歳児</v>
      </c>
      <c r="C47" s="748"/>
      <c r="D47" s="208" t="s">
        <v>229</v>
      </c>
      <c r="E47" s="209">
        <f t="shared" si="13"/>
        <v>0</v>
      </c>
      <c r="F47" s="210">
        <f t="shared" si="13"/>
        <v>0</v>
      </c>
      <c r="G47" s="210">
        <f t="shared" si="13"/>
        <v>0</v>
      </c>
      <c r="H47" s="211">
        <f t="shared" si="13"/>
        <v>0</v>
      </c>
      <c r="I47" s="185"/>
      <c r="J47" s="185"/>
      <c r="K47" s="185"/>
      <c r="L47" s="185"/>
      <c r="M47" s="185"/>
      <c r="N47" s="185"/>
      <c r="O47" s="185"/>
      <c r="P47" s="186"/>
      <c r="Q47" s="189">
        <f t="shared" si="14"/>
        <v>0</v>
      </c>
    </row>
    <row r="48" spans="1:17" ht="18" customHeight="1">
      <c r="B48" s="745" t="str">
        <f>$B$18</f>
        <v>２歳児</v>
      </c>
      <c r="C48" s="746"/>
      <c r="D48" s="208" t="s">
        <v>229</v>
      </c>
      <c r="E48" s="209">
        <f t="shared" si="13"/>
        <v>0</v>
      </c>
      <c r="F48" s="212">
        <f t="shared" si="13"/>
        <v>0</v>
      </c>
      <c r="G48" s="212">
        <f t="shared" si="13"/>
        <v>0</v>
      </c>
      <c r="H48" s="211">
        <f t="shared" si="13"/>
        <v>0</v>
      </c>
      <c r="I48" s="185"/>
      <c r="J48" s="185"/>
      <c r="K48" s="185"/>
      <c r="L48" s="185"/>
      <c r="M48" s="185"/>
      <c r="N48" s="185"/>
      <c r="O48" s="185"/>
      <c r="P48" s="186"/>
      <c r="Q48" s="189">
        <f t="shared" si="14"/>
        <v>0</v>
      </c>
    </row>
    <row r="49" spans="2:17" ht="18" customHeight="1">
      <c r="B49" s="745" t="str">
        <f>$B$20</f>
        <v>１歳児</v>
      </c>
      <c r="C49" s="746"/>
      <c r="D49" s="208" t="s">
        <v>229</v>
      </c>
      <c r="E49" s="209">
        <f t="shared" si="13"/>
        <v>0</v>
      </c>
      <c r="F49" s="212">
        <f t="shared" si="13"/>
        <v>0</v>
      </c>
      <c r="G49" s="212">
        <f t="shared" si="13"/>
        <v>0</v>
      </c>
      <c r="H49" s="211">
        <f t="shared" si="13"/>
        <v>0</v>
      </c>
      <c r="I49" s="185"/>
      <c r="J49" s="185"/>
      <c r="K49" s="185"/>
      <c r="L49" s="185"/>
      <c r="M49" s="185"/>
      <c r="N49" s="185"/>
      <c r="O49" s="185"/>
      <c r="P49" s="186"/>
      <c r="Q49" s="189">
        <f t="shared" si="14"/>
        <v>0</v>
      </c>
    </row>
    <row r="50" spans="2:17" ht="18" customHeight="1" thickBot="1">
      <c r="B50" s="749" t="str">
        <f>$B$22</f>
        <v>０歳児</v>
      </c>
      <c r="C50" s="750"/>
      <c r="D50" s="213" t="s">
        <v>229</v>
      </c>
      <c r="E50" s="214">
        <f t="shared" si="13"/>
        <v>0</v>
      </c>
      <c r="F50" s="215">
        <f t="shared" si="13"/>
        <v>0</v>
      </c>
      <c r="G50" s="215">
        <f t="shared" si="13"/>
        <v>0</v>
      </c>
      <c r="H50" s="216">
        <f t="shared" si="13"/>
        <v>0</v>
      </c>
      <c r="I50" s="217"/>
      <c r="J50" s="217"/>
      <c r="K50" s="217"/>
      <c r="L50" s="217"/>
      <c r="M50" s="217"/>
      <c r="N50" s="217"/>
      <c r="O50" s="217"/>
      <c r="P50" s="194"/>
      <c r="Q50" s="197">
        <f t="shared" si="14"/>
        <v>0</v>
      </c>
    </row>
    <row r="51" spans="2:17" ht="18" customHeight="1" thickTop="1" thickBot="1">
      <c r="B51" s="751" t="s">
        <v>237</v>
      </c>
      <c r="C51" s="752"/>
      <c r="D51" s="218"/>
      <c r="E51" s="199">
        <f>SUM(E45:E50)</f>
        <v>0</v>
      </c>
      <c r="F51" s="200">
        <f>SUM(F45:F50)</f>
        <v>0</v>
      </c>
      <c r="G51" s="201">
        <f>SUM(G45:G50)</f>
        <v>0</v>
      </c>
      <c r="H51" s="219">
        <f>SUM(H45:H50)</f>
        <v>0</v>
      </c>
      <c r="I51" s="199"/>
      <c r="J51" s="177"/>
      <c r="K51" s="177"/>
      <c r="L51" s="177"/>
      <c r="M51" s="177"/>
      <c r="N51" s="177"/>
      <c r="O51" s="177"/>
      <c r="P51" s="178"/>
      <c r="Q51" s="206">
        <f>SUM(Q45:Q50)</f>
        <v>0</v>
      </c>
    </row>
    <row r="52" spans="2:17" ht="17.25" customHeight="1">
      <c r="B52" s="207" t="s">
        <v>240</v>
      </c>
      <c r="E52" s="220"/>
      <c r="F52" s="220"/>
      <c r="G52" s="220"/>
      <c r="H52" s="220"/>
      <c r="I52" s="220"/>
      <c r="J52" s="220"/>
      <c r="K52" s="220"/>
      <c r="L52" s="220"/>
      <c r="M52" s="220"/>
      <c r="N52" s="220"/>
      <c r="O52" s="220"/>
      <c r="P52" s="220"/>
      <c r="Q52" s="220"/>
    </row>
    <row r="53" spans="2:17" ht="17.25" customHeight="1">
      <c r="E53" s="220"/>
      <c r="F53" s="220"/>
      <c r="G53" s="220"/>
      <c r="H53" s="220"/>
      <c r="I53" s="220"/>
      <c r="J53" s="220"/>
      <c r="K53" s="220"/>
      <c r="L53" s="220"/>
      <c r="M53" s="220"/>
      <c r="N53" s="220"/>
      <c r="O53" s="220"/>
      <c r="P53" s="220"/>
      <c r="Q53" s="220"/>
    </row>
    <row r="54" spans="2:17" ht="17.25" customHeight="1" thickBot="1">
      <c r="B54" s="221" t="s">
        <v>243</v>
      </c>
      <c r="C54" s="222"/>
    </row>
    <row r="55" spans="2:17" ht="94.5" customHeight="1" thickBot="1">
      <c r="B55" s="742" t="s">
        <v>244</v>
      </c>
      <c r="C55" s="743"/>
      <c r="D55" s="743"/>
      <c r="E55" s="743"/>
      <c r="F55" s="743"/>
      <c r="G55" s="743"/>
      <c r="H55" s="743"/>
      <c r="I55" s="743"/>
      <c r="J55" s="743"/>
      <c r="K55" s="743"/>
      <c r="L55" s="743"/>
      <c r="M55" s="743"/>
      <c r="N55" s="743"/>
      <c r="O55" s="743"/>
      <c r="P55" s="743"/>
      <c r="Q55" s="744"/>
    </row>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sheetData>
  <sheetProtection algorithmName="SHA-512" hashValue="o/JD5Ml6pMySTdd/Gf7ybc93j+6YCwFUzuIEvcIJ+FhcX4J3pY9S/13E69US05jjlvXxTBPsaNc1Ogf98km4og==" saltValue="QPnOVJn9eX22t1oD/SnW7A==" spinCount="100000" sheet="1" objects="1" scenarios="1"/>
  <mergeCells count="36">
    <mergeCell ref="A1:Q1"/>
    <mergeCell ref="H3:L3"/>
    <mergeCell ref="M3:Q3"/>
    <mergeCell ref="B10:D11"/>
    <mergeCell ref="Q10:Q11"/>
    <mergeCell ref="E11:P11"/>
    <mergeCell ref="Q28:Q29"/>
    <mergeCell ref="E29:H29"/>
    <mergeCell ref="I29:P29"/>
    <mergeCell ref="B12:C13"/>
    <mergeCell ref="B14:C15"/>
    <mergeCell ref="B16:C17"/>
    <mergeCell ref="B18:C19"/>
    <mergeCell ref="B35:C35"/>
    <mergeCell ref="B36:C36"/>
    <mergeCell ref="B43:D44"/>
    <mergeCell ref="B20:C21"/>
    <mergeCell ref="B22:C23"/>
    <mergeCell ref="B24:C24"/>
    <mergeCell ref="B28:D29"/>
    <mergeCell ref="B30:C30"/>
    <mergeCell ref="B31:C31"/>
    <mergeCell ref="B32:C32"/>
    <mergeCell ref="B33:C33"/>
    <mergeCell ref="B34:C34"/>
    <mergeCell ref="Q43:Q44"/>
    <mergeCell ref="E44:H44"/>
    <mergeCell ref="I44:P44"/>
    <mergeCell ref="B55:Q55"/>
    <mergeCell ref="B46:C46"/>
    <mergeCell ref="B47:C47"/>
    <mergeCell ref="B48:C48"/>
    <mergeCell ref="B49:C49"/>
    <mergeCell ref="B50:C50"/>
    <mergeCell ref="B51:C51"/>
    <mergeCell ref="B45:C45"/>
  </mergeCells>
  <phoneticPr fontId="4"/>
  <dataValidations count="1">
    <dataValidation type="whole" allowBlank="1" showInputMessage="1" showErrorMessage="1" sqref="E12:P12 E14:P14 E16:P16 E18:P18 E20:P20 E22:P22 E30:H35 I45:P50" xr:uid="{690A9C07-68BC-4209-AF3E-A74C58150C3F}">
      <formula1>0</formula1>
      <formula2>1000</formula2>
    </dataValidation>
  </dataValidations>
  <pageMargins left="0.61" right="0.27559055118110237" top="0.55118110236220474" bottom="0.19685039370078741" header="0.31496062992125984" footer="0.19685039370078741"/>
  <pageSetup paperSize="9" scale="7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P45"/>
  <sheetViews>
    <sheetView view="pageBreakPreview" zoomScale="70" zoomScaleNormal="70" zoomScaleSheetLayoutView="70" workbookViewId="0">
      <selection activeCell="F29" sqref="F29"/>
    </sheetView>
  </sheetViews>
  <sheetFormatPr defaultRowHeight="18.75"/>
  <cols>
    <col min="1" max="1" width="3.5" customWidth="1"/>
    <col min="4" max="5" width="18.375" customWidth="1"/>
    <col min="8" max="9" width="18.375" customWidth="1"/>
    <col min="11" max="11" width="3.375" customWidth="1"/>
    <col min="13" max="13" width="15.625" customWidth="1"/>
    <col min="16" max="16" width="15.625" customWidth="1"/>
  </cols>
  <sheetData>
    <row r="1" spans="1:16" ht="33">
      <c r="A1" s="147" t="s">
        <v>194</v>
      </c>
      <c r="B1" s="148"/>
      <c r="C1" s="148"/>
      <c r="D1" s="148"/>
      <c r="E1" s="148"/>
      <c r="F1" s="148"/>
      <c r="G1" s="148"/>
      <c r="H1" s="148"/>
      <c r="I1" s="148"/>
      <c r="J1" s="148"/>
    </row>
    <row r="3" spans="1:16" ht="19.5" thickBot="1">
      <c r="B3" t="s">
        <v>101</v>
      </c>
    </row>
    <row r="4" spans="1:16" ht="19.5" thickBot="1">
      <c r="B4" s="91" t="s">
        <v>81</v>
      </c>
      <c r="C4" s="97"/>
      <c r="D4" s="401"/>
    </row>
    <row r="5" spans="1:16" ht="19.5" thickBot="1">
      <c r="B5" s="91" t="s">
        <v>99</v>
      </c>
      <c r="C5" s="97"/>
      <c r="D5" s="401"/>
      <c r="E5" t="s">
        <v>105</v>
      </c>
    </row>
    <row r="6" spans="1:16" ht="19.5" thickBot="1">
      <c r="B6" s="91" t="s">
        <v>97</v>
      </c>
      <c r="C6" s="97"/>
      <c r="D6" s="402"/>
    </row>
    <row r="7" spans="1:16" ht="19.5" thickBot="1">
      <c r="B7" s="91" t="s">
        <v>98</v>
      </c>
      <c r="C7" s="97"/>
      <c r="D7" s="403"/>
    </row>
    <row r="8" spans="1:16">
      <c r="B8" s="91" t="s">
        <v>100</v>
      </c>
      <c r="C8" s="97"/>
      <c r="D8" s="149">
        <f>IF($D$5=【リスト】!$B$3,SUM(D6:D7),SUM(D6))</f>
        <v>0</v>
      </c>
      <c r="L8" t="s">
        <v>293</v>
      </c>
    </row>
    <row r="9" spans="1:16" ht="19.5" thickBot="1">
      <c r="L9" s="92" t="s">
        <v>294</v>
      </c>
      <c r="M9" s="99" t="s">
        <v>295</v>
      </c>
      <c r="O9" s="92" t="s">
        <v>296</v>
      </c>
      <c r="P9" s="99" t="s">
        <v>295</v>
      </c>
    </row>
    <row r="10" spans="1:16" ht="19.5" thickBot="1">
      <c r="B10" s="85" t="s">
        <v>102</v>
      </c>
      <c r="L10" s="98">
        <v>0</v>
      </c>
      <c r="M10" s="233">
        <f>'1-1_児童数計算表'!$Q$35</f>
        <v>0</v>
      </c>
      <c r="O10" s="98">
        <v>0</v>
      </c>
      <c r="P10" s="233">
        <f>'1-2_児童数計算表_分園'!$Q$35</f>
        <v>0</v>
      </c>
    </row>
    <row r="11" spans="1:16" ht="19.5" thickBot="1">
      <c r="C11" s="92" t="s">
        <v>107</v>
      </c>
      <c r="D11" s="99" t="s">
        <v>103</v>
      </c>
      <c r="E11" s="99" t="s">
        <v>104</v>
      </c>
      <c r="G11" s="92" t="s">
        <v>108</v>
      </c>
      <c r="H11" s="99" t="s">
        <v>103</v>
      </c>
      <c r="I11" s="99" t="s">
        <v>104</v>
      </c>
      <c r="L11" s="98">
        <v>1</v>
      </c>
      <c r="M11" s="233">
        <f>'1-1_児童数計算表'!$Q$34</f>
        <v>0</v>
      </c>
      <c r="O11" s="98">
        <v>1</v>
      </c>
      <c r="P11" s="233">
        <f>'1-2_児童数計算表_分園'!$Q$34</f>
        <v>0</v>
      </c>
    </row>
    <row r="12" spans="1:16" ht="19.5" thickBot="1">
      <c r="C12" s="98">
        <v>0</v>
      </c>
      <c r="D12" s="402"/>
      <c r="E12" s="402"/>
      <c r="G12" s="98">
        <v>0</v>
      </c>
      <c r="H12" s="403"/>
      <c r="I12" s="403"/>
      <c r="L12" s="98">
        <v>2</v>
      </c>
      <c r="M12" s="233">
        <f>'1-1_児童数計算表'!$Q$33</f>
        <v>0</v>
      </c>
      <c r="O12" s="98">
        <v>2</v>
      </c>
      <c r="P12" s="233">
        <f>'1-2_児童数計算表_分園'!$Q$33</f>
        <v>0</v>
      </c>
    </row>
    <row r="13" spans="1:16" ht="19.5" thickBot="1">
      <c r="C13" s="98">
        <v>1</v>
      </c>
      <c r="D13" s="402"/>
      <c r="E13" s="402"/>
      <c r="G13" s="98">
        <v>1</v>
      </c>
      <c r="H13" s="403"/>
      <c r="I13" s="403"/>
      <c r="L13" s="98">
        <v>3</v>
      </c>
      <c r="M13" s="233">
        <f>'1-1_児童数計算表'!$Q$32</f>
        <v>0</v>
      </c>
      <c r="O13" s="98">
        <v>3</v>
      </c>
      <c r="P13" s="233">
        <f>'1-2_児童数計算表_分園'!$Q$32</f>
        <v>0</v>
      </c>
    </row>
    <row r="14" spans="1:16" ht="19.5" thickBot="1">
      <c r="C14" s="98">
        <v>2</v>
      </c>
      <c r="D14" s="402"/>
      <c r="E14" s="402"/>
      <c r="G14" s="98">
        <v>2</v>
      </c>
      <c r="H14" s="403"/>
      <c r="I14" s="403"/>
      <c r="L14" s="98">
        <v>4</v>
      </c>
      <c r="M14" s="233">
        <f>'1-1_児童数計算表'!$Q$31</f>
        <v>0</v>
      </c>
      <c r="O14" s="98">
        <v>4</v>
      </c>
      <c r="P14" s="233">
        <f>'1-2_児童数計算表_分園'!$Q$31</f>
        <v>0</v>
      </c>
    </row>
    <row r="15" spans="1:16" ht="19.5" thickBot="1">
      <c r="C15" s="98">
        <v>3</v>
      </c>
      <c r="D15" s="402"/>
      <c r="E15" s="402"/>
      <c r="G15" s="98">
        <v>3</v>
      </c>
      <c r="H15" s="403"/>
      <c r="I15" s="403"/>
      <c r="L15" s="98">
        <v>5</v>
      </c>
      <c r="M15" s="233">
        <f>'1-1_児童数計算表'!$Q$30</f>
        <v>0</v>
      </c>
      <c r="O15" s="98">
        <v>5</v>
      </c>
      <c r="P15" s="233">
        <f>'1-2_児童数計算表_分園'!$Q$30</f>
        <v>0</v>
      </c>
    </row>
    <row r="16" spans="1:16" ht="19.5" thickBot="1">
      <c r="C16" s="98">
        <v>4</v>
      </c>
      <c r="D16" s="402"/>
      <c r="E16" s="402"/>
      <c r="G16" s="98">
        <v>4</v>
      </c>
      <c r="H16" s="403"/>
      <c r="I16" s="403"/>
    </row>
    <row r="17" spans="2:16" ht="19.5" thickBot="1">
      <c r="C17" s="98">
        <v>5</v>
      </c>
      <c r="D17" s="402"/>
      <c r="E17" s="402"/>
      <c r="G17" s="98">
        <v>5</v>
      </c>
      <c r="H17" s="403"/>
      <c r="I17" s="403"/>
      <c r="L17" t="s">
        <v>301</v>
      </c>
    </row>
    <row r="18" spans="2:16" ht="19.5" thickBot="1">
      <c r="C18" s="92" t="s">
        <v>106</v>
      </c>
      <c r="D18" s="100">
        <f>SUM(D12:D17)</f>
        <v>0</v>
      </c>
      <c r="E18" s="100">
        <f>SUM(E12:E17)</f>
        <v>0</v>
      </c>
      <c r="G18" s="92" t="s">
        <v>106</v>
      </c>
      <c r="H18" s="100">
        <f>IF($D$5=【リスト】!$B$3,SUM(H12:H17),0)</f>
        <v>0</v>
      </c>
      <c r="I18" s="100">
        <f>IF($D$5=【リスト】!$B$3,SUM(I12:I17),0)</f>
        <v>0</v>
      </c>
      <c r="L18" s="92" t="s">
        <v>294</v>
      </c>
      <c r="M18" s="99" t="s">
        <v>295</v>
      </c>
      <c r="O18" s="92" t="s">
        <v>296</v>
      </c>
      <c r="P18" s="99" t="s">
        <v>295</v>
      </c>
    </row>
    <row r="19" spans="2:16" ht="19.5" thickBot="1">
      <c r="C19" s="92" t="s">
        <v>116</v>
      </c>
      <c r="D19" s="93">
        <f>SUM(D18:E18,H18:I18)</f>
        <v>0</v>
      </c>
      <c r="L19" s="98">
        <v>0</v>
      </c>
      <c r="M19" s="233">
        <f>'1-1_児童数計算表'!$Q$50</f>
        <v>0</v>
      </c>
      <c r="O19" s="98">
        <v>0</v>
      </c>
      <c r="P19" s="233">
        <f>'1-2_児童数計算表_分園'!$Q$50</f>
        <v>0</v>
      </c>
    </row>
    <row r="20" spans="2:16" ht="19.5" thickBot="1">
      <c r="L20" s="98">
        <v>1</v>
      </c>
      <c r="M20" s="233">
        <f>'1-1_児童数計算表'!$Q$49</f>
        <v>0</v>
      </c>
      <c r="O20" s="98">
        <v>1</v>
      </c>
      <c r="P20" s="233">
        <f>'1-2_児童数計算表_分園'!$Q$49</f>
        <v>0</v>
      </c>
    </row>
    <row r="21" spans="2:16" ht="19.5" thickBot="1">
      <c r="B21" t="s">
        <v>126</v>
      </c>
      <c r="L21" s="98">
        <v>2</v>
      </c>
      <c r="M21" s="233">
        <f>'1-1_児童数計算表'!$Q$48</f>
        <v>0</v>
      </c>
      <c r="O21" s="98">
        <v>2</v>
      </c>
      <c r="P21" s="233">
        <f>'1-2_児童数計算表_分園'!$Q$48</f>
        <v>0</v>
      </c>
    </row>
    <row r="22" spans="2:16" ht="19.5" thickBot="1">
      <c r="C22" s="94" t="s">
        <v>109</v>
      </c>
      <c r="D22" s="95"/>
      <c r="E22" s="95"/>
      <c r="F22" s="401"/>
      <c r="L22" s="98">
        <v>3</v>
      </c>
      <c r="M22" s="233">
        <f>'1-1_児童数計算表'!$Q$47</f>
        <v>0</v>
      </c>
      <c r="O22" s="98">
        <v>3</v>
      </c>
      <c r="P22" s="233">
        <f>'1-2_児童数計算表_分園'!$Q$47</f>
        <v>0</v>
      </c>
    </row>
    <row r="23" spans="2:16" ht="19.5" thickBot="1">
      <c r="C23" s="94" t="s">
        <v>110</v>
      </c>
      <c r="D23" s="95"/>
      <c r="E23" s="95"/>
      <c r="F23" s="401"/>
      <c r="G23" s="150" t="str">
        <f>IF(AND($F$23=【リスト】!$C$2,$F$27=【リスト】!$C$2),"チーム保育推進加算との併給不可","")</f>
        <v/>
      </c>
      <c r="L23" s="98">
        <v>4</v>
      </c>
      <c r="M23" s="233">
        <f>'1-1_児童数計算表'!$Q$46</f>
        <v>0</v>
      </c>
      <c r="O23" s="98">
        <v>4</v>
      </c>
      <c r="P23" s="233">
        <f>'1-2_児童数計算表_分園'!$Q$46</f>
        <v>0</v>
      </c>
    </row>
    <row r="24" spans="2:16" ht="19.5" thickBot="1">
      <c r="C24" s="94" t="s">
        <v>111</v>
      </c>
      <c r="D24" s="95"/>
      <c r="E24" s="95"/>
      <c r="F24" s="401"/>
      <c r="I24" s="82" t="str">
        <f>IF(F25=【リスト】!$C$2,"休日保育の年間延べ利用子ども数を選択↓","")</f>
        <v/>
      </c>
      <c r="L24" s="98">
        <v>5</v>
      </c>
      <c r="M24" s="233">
        <f>'1-1_児童数計算表'!$Q$45</f>
        <v>0</v>
      </c>
      <c r="O24" s="98">
        <v>5</v>
      </c>
      <c r="P24" s="233">
        <f>'1-2_児童数計算表_分園'!$Q$45</f>
        <v>0</v>
      </c>
    </row>
    <row r="25" spans="2:16" ht="19.5" thickBot="1">
      <c r="C25" s="94" t="s">
        <v>14</v>
      </c>
      <c r="D25" s="95"/>
      <c r="E25" s="95"/>
      <c r="F25" s="401"/>
      <c r="H25" s="82"/>
      <c r="I25" s="405"/>
    </row>
    <row r="26" spans="2:16" ht="19.5" thickBot="1">
      <c r="C26" s="94" t="s">
        <v>127</v>
      </c>
      <c r="D26" s="95"/>
      <c r="E26" s="95"/>
      <c r="F26" s="401"/>
      <c r="I26" s="82" t="str">
        <f>IF(F27=【リスト】!$C$2,"加配人数を選択↓","")</f>
        <v/>
      </c>
    </row>
    <row r="27" spans="2:16" ht="19.5" thickBot="1">
      <c r="C27" s="94" t="s">
        <v>114</v>
      </c>
      <c r="D27" s="95"/>
      <c r="E27" s="95"/>
      <c r="F27" s="401"/>
      <c r="I27" s="403"/>
    </row>
    <row r="28" spans="2:16" ht="19.5" thickBot="1">
      <c r="C28" s="94" t="s">
        <v>117</v>
      </c>
      <c r="D28" s="95"/>
      <c r="E28" s="95"/>
      <c r="F28" s="401"/>
    </row>
    <row r="29" spans="2:16" ht="19.5" thickBot="1">
      <c r="C29" s="94" t="s">
        <v>112</v>
      </c>
      <c r="D29" s="95"/>
      <c r="E29" s="95"/>
      <c r="F29" s="401"/>
    </row>
    <row r="30" spans="2:16" ht="19.5" thickBot="1">
      <c r="C30" s="94" t="s">
        <v>128</v>
      </c>
      <c r="D30" s="95"/>
      <c r="E30" s="95"/>
      <c r="F30" s="404"/>
    </row>
    <row r="31" spans="2:16" ht="19.5" thickBot="1">
      <c r="C31" s="94" t="s">
        <v>113</v>
      </c>
      <c r="D31" s="95"/>
      <c r="E31" s="95"/>
      <c r="F31" s="401"/>
    </row>
    <row r="32" spans="2:16" ht="19.5" thickBot="1">
      <c r="C32" s="94" t="s">
        <v>129</v>
      </c>
      <c r="D32" s="95"/>
      <c r="E32" s="95"/>
      <c r="F32" s="404"/>
    </row>
    <row r="33" spans="2:9" ht="19.5" thickBot="1">
      <c r="C33" s="94" t="s">
        <v>707</v>
      </c>
      <c r="D33" s="95"/>
      <c r="E33" s="95"/>
      <c r="F33" s="404"/>
    </row>
    <row r="34" spans="2:9">
      <c r="H34" s="86"/>
      <c r="I34" s="86"/>
    </row>
    <row r="35" spans="2:9" ht="19.5" thickBot="1">
      <c r="B35" t="s">
        <v>132</v>
      </c>
    </row>
    <row r="36" spans="2:9" ht="19.5" thickBot="1">
      <c r="C36" s="102" t="s">
        <v>181</v>
      </c>
      <c r="D36" s="103"/>
      <c r="E36" s="103"/>
      <c r="F36" s="104" t="e">
        <f>VLOOKUP($D$4,【リスト】!$A$2:$L$13,11,FALSE)</f>
        <v>#N/A</v>
      </c>
    </row>
    <row r="37" spans="2:9" ht="19.5" thickBot="1">
      <c r="C37" s="102" t="s">
        <v>182</v>
      </c>
      <c r="D37" s="103"/>
      <c r="E37" s="103"/>
      <c r="F37" s="104" t="e">
        <f>IF('0_基本情報'!D23='【リスト】 (2)'!C3,0,VLOOKUP($D$4,【リスト】!$A$2:$L$13,12,FALSE))</f>
        <v>#N/A</v>
      </c>
    </row>
    <row r="39" spans="2:9" ht="19.5" thickBot="1">
      <c r="B39" t="s">
        <v>177</v>
      </c>
    </row>
    <row r="40" spans="2:9" ht="19.5" thickBot="1">
      <c r="C40" s="406">
        <v>12</v>
      </c>
      <c r="D40" t="s">
        <v>178</v>
      </c>
    </row>
    <row r="42" spans="2:9" ht="19.5" thickBot="1">
      <c r="B42" s="101" t="s">
        <v>179</v>
      </c>
    </row>
    <row r="43" spans="2:9" ht="19.5" thickBot="1">
      <c r="D43" s="105" t="s">
        <v>172</v>
      </c>
    </row>
    <row r="44" spans="2:9" ht="19.5" thickBot="1">
      <c r="C44" s="105" t="s">
        <v>130</v>
      </c>
      <c r="D44" s="106" t="e">
        <f>SUM(区分12計算!D26:AA26)</f>
        <v>#N/A</v>
      </c>
    </row>
    <row r="45" spans="2:9" ht="19.5" thickBot="1">
      <c r="C45" s="105" t="s">
        <v>131</v>
      </c>
      <c r="D45" s="106" t="e">
        <f>IF('0_基本情報'!D23='【リスト】 (2)'!C3,0,SUM(区分12計算!D48:AA48))</f>
        <v>#N/A</v>
      </c>
    </row>
  </sheetData>
  <sheetProtection algorithmName="SHA-512" hashValue="jItwQGiWkGeH3Awxfuz6YkHGsTnBTklqhUSsovx16bqTSzZchP50ArTgb+tOmibdH0cmvaAe6RG2hCiyjCfGNg==" saltValue="HEnM4pKKeCthl3FSUk4N4Q==" spinCount="100000" sheet="1" objects="1" scenarios="1"/>
  <phoneticPr fontId="4"/>
  <dataValidations count="2">
    <dataValidation type="whole" allowBlank="1" showInputMessage="1" showErrorMessage="1" sqref="D6:D7 H12 D12:E17 H13:H17 I12:I17" xr:uid="{2D77AD47-7A41-41B9-826B-6968E09382CA}">
      <formula1>0</formula1>
      <formula2>1000</formula2>
    </dataValidation>
    <dataValidation type="whole" allowBlank="1" showInputMessage="1" showErrorMessage="1" sqref="C40" xr:uid="{B6BEAA08-2B5B-465B-87A1-7CD6E136642C}">
      <formula1>1</formula1>
      <formula2>12</formula2>
    </dataValidation>
  </dataValidations>
  <pageMargins left="0.7" right="0.7" top="0.75" bottom="0.75" header="0.3" footer="0.3"/>
  <pageSetup paperSize="9" scale="66"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C73A8AD0-72F9-4784-8D76-8EB5BCD561C5}">
            <xm:f>$D$5=【リスト】!$B$3</xm:f>
            <x14:dxf>
              <fill>
                <patternFill>
                  <bgColor theme="4" tint="0.79998168889431442"/>
                </patternFill>
              </fill>
            </x14:dxf>
          </x14:cfRule>
          <xm:sqref>D7</xm:sqref>
        </x14:conditionalFormatting>
        <x14:conditionalFormatting xmlns:xm="http://schemas.microsoft.com/office/excel/2006/main">
          <x14:cfRule type="expression" priority="3" id="{60F6E9B5-4031-4D08-A47E-43D8F707C369}">
            <xm:f>$D$5=【リスト】!$B$3</xm:f>
            <x14:dxf>
              <fill>
                <patternFill>
                  <bgColor theme="4" tint="0.79998168889431442"/>
                </patternFill>
              </fill>
            </x14:dxf>
          </x14:cfRule>
          <xm:sqref>H12:I17</xm:sqref>
        </x14:conditionalFormatting>
        <x14:conditionalFormatting xmlns:xm="http://schemas.microsoft.com/office/excel/2006/main">
          <x14:cfRule type="expression" priority="2" id="{DA941AE6-0702-4558-BAC4-938441470D3C}">
            <xm:f>$F$25=【リスト】!$C$2</xm:f>
            <x14:dxf>
              <fill>
                <patternFill>
                  <bgColor theme="4" tint="0.79998168889431442"/>
                </patternFill>
              </fill>
            </x14:dxf>
          </x14:cfRule>
          <xm:sqref>I25</xm:sqref>
        </x14:conditionalFormatting>
        <x14:conditionalFormatting xmlns:xm="http://schemas.microsoft.com/office/excel/2006/main">
          <x14:cfRule type="expression" priority="1" id="{E3FEFE51-0714-430D-B257-F187457498BF}">
            <xm:f>$F$27=【リスト】!$C$2</xm:f>
            <x14:dxf>
              <fill>
                <patternFill>
                  <bgColor theme="4" tint="0.79998168889431442"/>
                </patternFill>
              </fill>
            </x14:dxf>
          </x14:cfRule>
          <xm:sqref>I27</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D3679AD9-F9C1-4A5E-A96A-E3627BE9E9BD}">
          <x14:formula1>
            <xm:f>【リスト】!$A$2:$A$13</xm:f>
          </x14:formula1>
          <xm:sqref>D4</xm:sqref>
        </x14:dataValidation>
        <x14:dataValidation type="list" allowBlank="1" showInputMessage="1" showErrorMessage="1" xr:uid="{8AE11187-CA3A-4CD5-A404-EF694261384F}">
          <x14:formula1>
            <xm:f>【リスト】!$B$2:$B$3</xm:f>
          </x14:formula1>
          <xm:sqref>D5</xm:sqref>
        </x14:dataValidation>
        <x14:dataValidation type="list" allowBlank="1" showInputMessage="1" showErrorMessage="1" xr:uid="{CCBBA551-DDE9-4E60-8859-C92E3CD6D249}">
          <x14:formula1>
            <xm:f>【リスト】!$C$2:$C$3</xm:f>
          </x14:formula1>
          <xm:sqref>F22:F29 F31</xm:sqref>
        </x14:dataValidation>
        <x14:dataValidation type="list" allowBlank="1" showInputMessage="1" showErrorMessage="1" xr:uid="{EF7FE433-3133-4B7E-AC8E-6D6F9F3FB952}">
          <x14:formula1>
            <xm:f>【リスト】!$D$2:$D$4</xm:f>
          </x14:formula1>
          <xm:sqref>F30</xm:sqref>
        </x14:dataValidation>
        <x14:dataValidation type="list" allowBlank="1" showInputMessage="1" showErrorMessage="1" xr:uid="{ECE875D7-0E23-4036-BDA5-4847A1EF3936}">
          <x14:formula1>
            <xm:f>【リスト】!$E$2:$E$5</xm:f>
          </x14:formula1>
          <xm:sqref>F32</xm:sqref>
        </x14:dataValidation>
        <x14:dataValidation type="list" allowBlank="1" showInputMessage="1" showErrorMessage="1" xr:uid="{B9B182D6-CC8E-4FCA-BFCF-62D649AA45CB}">
          <x14:formula1>
            <xm:f>【リスト】!$F$2:$F$15</xm:f>
          </x14:formula1>
          <xm:sqref>I25</xm:sqref>
        </x14:dataValidation>
        <x14:dataValidation type="list" allowBlank="1" showInputMessage="1" showErrorMessage="1" xr:uid="{0B13CBB0-AA82-487D-A776-DC715B80E3AD}">
          <x14:formula1>
            <xm:f>【リスト】!$G$2:$G$3</xm:f>
          </x14:formula1>
          <xm:sqref>I27</xm:sqref>
        </x14:dataValidation>
        <x14:dataValidation type="list" allowBlank="1" showInputMessage="1" showErrorMessage="1" xr:uid="{FE447814-9BA3-4FE3-A08A-8FCFEDBEA7CB}">
          <x14:formula1>
            <xm:f>【リスト】!$H$2:$H$6</xm:f>
          </x14:formula1>
          <xm:sqref>F33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FE71-4DBB-4C3F-81A5-CD4999B6192F}">
  <sheetPr>
    <pageSetUpPr fitToPage="1"/>
  </sheetPr>
  <dimension ref="A1:T122"/>
  <sheetViews>
    <sheetView view="pageBreakPreview" zoomScale="70" zoomScaleNormal="70" zoomScaleSheetLayoutView="70" workbookViewId="0">
      <selection activeCell="B1" sqref="B1"/>
    </sheetView>
  </sheetViews>
  <sheetFormatPr defaultColWidth="9" defaultRowHeight="18.75"/>
  <cols>
    <col min="1" max="1" width="2.875" style="245" customWidth="1"/>
    <col min="2" max="2" width="3" style="246" customWidth="1"/>
    <col min="3" max="3" width="12.125" style="246" customWidth="1"/>
    <col min="4" max="4" width="20.625" style="246" customWidth="1"/>
    <col min="5" max="5" width="10" style="246" customWidth="1"/>
    <col min="6" max="6" width="10" style="247" customWidth="1"/>
    <col min="7" max="7" width="10.625" style="247" customWidth="1"/>
    <col min="8" max="8" width="13.125" style="247" customWidth="1"/>
    <col min="9" max="9" width="10.125" style="247" customWidth="1"/>
    <col min="10" max="12" width="10.125" style="245" customWidth="1"/>
    <col min="13" max="13" width="3.375" style="245" customWidth="1"/>
    <col min="14" max="14" width="1.375" style="245" customWidth="1"/>
    <col min="15" max="15" width="14.25" style="245" customWidth="1"/>
    <col min="16" max="16" width="11.625" style="245" customWidth="1"/>
    <col min="17" max="17" width="9" style="245"/>
    <col min="18" max="18" width="1.375" style="245" customWidth="1"/>
    <col min="19" max="19" width="14.25" style="245" customWidth="1"/>
    <col min="20" max="20" width="11.625" style="245" customWidth="1"/>
    <col min="21" max="16384" width="9" style="245"/>
  </cols>
  <sheetData>
    <row r="1" spans="1:20" s="244" customFormat="1" ht="23.25" customHeight="1">
      <c r="A1" s="241" t="s">
        <v>247</v>
      </c>
      <c r="B1" s="242"/>
      <c r="C1" s="242"/>
      <c r="D1" s="242"/>
      <c r="E1" s="242"/>
      <c r="F1" s="243"/>
      <c r="G1" s="243"/>
      <c r="H1" s="243"/>
      <c r="I1" s="243"/>
      <c r="M1" s="245"/>
      <c r="N1" s="245"/>
      <c r="O1" s="245"/>
      <c r="P1" s="245"/>
      <c r="Q1" s="245"/>
      <c r="R1" s="245"/>
      <c r="S1" s="245"/>
      <c r="T1" s="245"/>
    </row>
    <row r="2" spans="1:20" ht="19.5" customHeight="1" thickBot="1">
      <c r="A2" s="246"/>
    </row>
    <row r="3" spans="1:20" ht="19.5" customHeight="1" thickBot="1">
      <c r="A3" s="246"/>
      <c r="B3" s="804" t="s">
        <v>222</v>
      </c>
      <c r="C3" s="804"/>
      <c r="D3" s="805">
        <f>'1-1_児童数計算表'!$M$3</f>
        <v>0</v>
      </c>
      <c r="E3" s="806"/>
      <c r="F3" s="806"/>
      <c r="G3" s="806"/>
      <c r="H3" s="807"/>
    </row>
    <row r="4" spans="1:20" ht="19.5" customHeight="1">
      <c r="A4" s="246"/>
      <c r="E4" s="248"/>
      <c r="F4" s="248"/>
      <c r="G4" s="248"/>
      <c r="H4" s="248"/>
    </row>
    <row r="5" spans="1:20" ht="19.5" customHeight="1" thickBot="1">
      <c r="A5" s="249" t="s">
        <v>248</v>
      </c>
      <c r="E5" s="248"/>
      <c r="F5" s="248"/>
      <c r="G5" s="248"/>
      <c r="H5" s="248"/>
    </row>
    <row r="6" spans="1:20" ht="19.5" customHeight="1" thickBot="1">
      <c r="A6" s="249"/>
      <c r="B6" s="250"/>
      <c r="C6" s="251"/>
      <c r="D6" s="251"/>
      <c r="E6" s="252" t="s">
        <v>249</v>
      </c>
      <c r="F6" s="253" t="s">
        <v>250</v>
      </c>
      <c r="G6" s="248"/>
      <c r="H6" s="248"/>
      <c r="I6" s="248"/>
      <c r="J6" s="253" t="s">
        <v>250</v>
      </c>
    </row>
    <row r="7" spans="1:20" ht="37.5" customHeight="1" thickBot="1">
      <c r="A7" s="249"/>
      <c r="B7" s="808" t="s">
        <v>99</v>
      </c>
      <c r="C7" s="788"/>
      <c r="D7" s="788"/>
      <c r="E7" s="254" t="str">
        <f>IF('2_区分12加算額計算表'!$D$5=【リスト】!$B$3,"あり","なし")</f>
        <v>なし</v>
      </c>
      <c r="F7" s="255" t="s">
        <v>251</v>
      </c>
      <c r="G7" s="248"/>
      <c r="H7" s="248"/>
      <c r="I7" s="248"/>
      <c r="J7" s="255" t="str">
        <f>IF(E7="あり","分園分を記入","入力不要")</f>
        <v>入力不要</v>
      </c>
    </row>
    <row r="8" spans="1:20" ht="19.5" customHeight="1" thickBot="1">
      <c r="A8" s="249"/>
      <c r="B8" s="808" t="s">
        <v>252</v>
      </c>
      <c r="C8" s="788"/>
      <c r="D8" s="788"/>
      <c r="E8" s="788"/>
      <c r="F8" s="256">
        <f>'2_区分12加算額計算表'!$D$6</f>
        <v>0</v>
      </c>
      <c r="G8" s="248"/>
      <c r="H8" s="248"/>
      <c r="I8" s="248"/>
      <c r="J8" s="256">
        <f>'2_区分12加算額計算表'!$D$7</f>
        <v>0</v>
      </c>
      <c r="N8" s="245" t="s">
        <v>293</v>
      </c>
    </row>
    <row r="9" spans="1:20" ht="19.5" customHeight="1" thickBot="1">
      <c r="A9" s="249"/>
      <c r="B9" s="809" t="s">
        <v>253</v>
      </c>
      <c r="C9" s="810"/>
      <c r="D9" s="810"/>
      <c r="E9" s="810"/>
      <c r="F9" s="257">
        <f>F10+F11+F12+F14</f>
        <v>0</v>
      </c>
      <c r="H9" s="248"/>
      <c r="I9" s="248"/>
      <c r="J9" s="257">
        <f>J10+J11+J12+J14</f>
        <v>0</v>
      </c>
      <c r="N9" s="258" t="s">
        <v>294</v>
      </c>
      <c r="O9" s="259"/>
      <c r="P9" s="260" t="s">
        <v>295</v>
      </c>
      <c r="R9" s="261" t="s">
        <v>296</v>
      </c>
      <c r="S9" s="261"/>
      <c r="T9" s="260" t="s">
        <v>295</v>
      </c>
    </row>
    <row r="10" spans="1:20" ht="19.5" customHeight="1" thickBot="1">
      <c r="A10" s="249"/>
      <c r="B10" s="262"/>
      <c r="C10" s="811" t="s">
        <v>254</v>
      </c>
      <c r="D10" s="812"/>
      <c r="E10" s="263"/>
      <c r="F10" s="227"/>
      <c r="G10" s="248"/>
      <c r="H10" s="248"/>
      <c r="I10" s="248"/>
      <c r="J10" s="227"/>
      <c r="N10" s="264" t="s">
        <v>297</v>
      </c>
      <c r="O10" s="265"/>
      <c r="P10" s="266">
        <f>SUM('1-1_児童数計算表'!$Q$30:$Q$31)</f>
        <v>0</v>
      </c>
      <c r="R10" s="267" t="s">
        <v>297</v>
      </c>
      <c r="S10" s="268"/>
      <c r="T10" s="266">
        <f>SUM('1-2_児童数計算表_分園'!$Q$30:$Q$31)</f>
        <v>0</v>
      </c>
    </row>
    <row r="11" spans="1:20" ht="19.5" customHeight="1" thickBot="1">
      <c r="A11" s="249"/>
      <c r="B11" s="262"/>
      <c r="C11" s="811" t="s">
        <v>255</v>
      </c>
      <c r="D11" s="812"/>
      <c r="E11" s="263"/>
      <c r="F11" s="228"/>
      <c r="G11" s="248"/>
      <c r="H11" s="248"/>
      <c r="I11" s="248"/>
      <c r="J11" s="228"/>
      <c r="N11" s="267" t="s">
        <v>268</v>
      </c>
      <c r="O11" s="265"/>
      <c r="P11" s="266">
        <f>'1-1_児童数計算表'!$Q$32</f>
        <v>0</v>
      </c>
      <c r="R11" s="267" t="s">
        <v>268</v>
      </c>
      <c r="S11" s="268"/>
      <c r="T11" s="266">
        <f>'1-2_児童数計算表_分園'!$Q$32</f>
        <v>0</v>
      </c>
    </row>
    <row r="12" spans="1:20" ht="19.149999999999999" customHeight="1" thickBot="1">
      <c r="A12" s="249"/>
      <c r="B12" s="262"/>
      <c r="C12" s="812" t="s">
        <v>256</v>
      </c>
      <c r="D12" s="813"/>
      <c r="E12" s="263"/>
      <c r="F12" s="229"/>
      <c r="G12" s="248"/>
      <c r="H12" s="248"/>
      <c r="I12" s="248"/>
      <c r="J12" s="229"/>
      <c r="N12" s="267" t="s">
        <v>298</v>
      </c>
      <c r="O12" s="265"/>
      <c r="P12" s="266">
        <f>SUM('1-1_児童数計算表'!$Q$33:$Q$34)</f>
        <v>0</v>
      </c>
      <c r="R12" s="267" t="s">
        <v>298</v>
      </c>
      <c r="S12" s="268"/>
      <c r="T12" s="266">
        <f>SUM('1-2_児童数計算表_分園'!$Q$33:$Q$34)</f>
        <v>0</v>
      </c>
    </row>
    <row r="13" spans="1:20" ht="19.149999999999999" customHeight="1" thickBot="1">
      <c r="A13" s="249"/>
      <c r="B13" s="262"/>
      <c r="C13" s="814" t="s">
        <v>257</v>
      </c>
      <c r="D13" s="815"/>
      <c r="E13" s="269"/>
      <c r="F13" s="230"/>
      <c r="G13" s="248"/>
      <c r="H13" s="248"/>
      <c r="I13" s="248"/>
      <c r="J13" s="230"/>
      <c r="N13" s="267"/>
      <c r="O13" s="265" t="s">
        <v>299</v>
      </c>
      <c r="P13" s="266">
        <f>'1-1_児童数計算表'!$Q$34</f>
        <v>0</v>
      </c>
      <c r="R13" s="267"/>
      <c r="S13" s="265" t="s">
        <v>299</v>
      </c>
      <c r="T13" s="266">
        <f>'1-2_児童数計算表_分園'!$Q$34</f>
        <v>0</v>
      </c>
    </row>
    <row r="14" spans="1:20" ht="19.149999999999999" customHeight="1" thickBot="1">
      <c r="A14" s="246"/>
      <c r="B14" s="270"/>
      <c r="C14" s="816" t="s">
        <v>236</v>
      </c>
      <c r="D14" s="817"/>
      <c r="E14" s="271"/>
      <c r="F14" s="231"/>
      <c r="G14" s="248"/>
      <c r="H14" s="248"/>
      <c r="J14" s="232"/>
      <c r="N14" s="267" t="s">
        <v>300</v>
      </c>
      <c r="O14" s="265"/>
      <c r="P14" s="266">
        <f>'1-1_児童数計算表'!$Q$35</f>
        <v>0</v>
      </c>
      <c r="R14" s="267" t="s">
        <v>300</v>
      </c>
      <c r="S14" s="268"/>
      <c r="T14" s="266">
        <f>'1-2_児童数計算表_分園'!$Q$35</f>
        <v>0</v>
      </c>
    </row>
    <row r="15" spans="1:20" ht="42.75" customHeight="1">
      <c r="A15" s="246"/>
      <c r="B15" s="272" t="s">
        <v>258</v>
      </c>
      <c r="C15" s="818" t="s">
        <v>259</v>
      </c>
      <c r="D15" s="818"/>
      <c r="E15" s="818"/>
      <c r="F15" s="818"/>
      <c r="G15" s="818"/>
      <c r="H15" s="818"/>
      <c r="I15" s="818"/>
      <c r="J15" s="818"/>
      <c r="K15" s="818"/>
      <c r="L15" s="818"/>
    </row>
    <row r="16" spans="1:20" ht="19.5" customHeight="1">
      <c r="A16" s="246"/>
      <c r="B16" s="273"/>
      <c r="C16" s="274"/>
      <c r="D16" s="274"/>
      <c r="E16" s="274"/>
      <c r="F16" s="274"/>
      <c r="G16" s="274"/>
      <c r="H16" s="274"/>
      <c r="N16" s="245" t="s">
        <v>301</v>
      </c>
    </row>
    <row r="17" spans="1:20" ht="19.5" customHeight="1" thickBot="1">
      <c r="A17" s="249" t="s">
        <v>260</v>
      </c>
      <c r="N17" s="261" t="s">
        <v>294</v>
      </c>
      <c r="O17" s="261"/>
      <c r="P17" s="260" t="s">
        <v>295</v>
      </c>
      <c r="R17" s="261" t="s">
        <v>296</v>
      </c>
      <c r="S17" s="261"/>
      <c r="T17" s="260" t="s">
        <v>295</v>
      </c>
    </row>
    <row r="18" spans="1:20" ht="19.5" customHeight="1" thickBot="1">
      <c r="A18" s="249"/>
      <c r="E18" s="798" t="s">
        <v>261</v>
      </c>
      <c r="F18" s="799"/>
      <c r="G18" s="799"/>
      <c r="H18" s="800"/>
      <c r="I18" s="801" t="str">
        <f>IF(E7="あり","分園分","選択不要")</f>
        <v>選択不要</v>
      </c>
      <c r="J18" s="802"/>
      <c r="K18" s="802"/>
      <c r="L18" s="803"/>
      <c r="N18" s="267" t="s">
        <v>297</v>
      </c>
      <c r="O18" s="265"/>
      <c r="P18" s="266">
        <f>SUM('1-1_児童数計算表'!$Q$45:$Q$46)</f>
        <v>0</v>
      </c>
      <c r="R18" s="267" t="s">
        <v>297</v>
      </c>
      <c r="S18" s="268"/>
      <c r="T18" s="266">
        <f>SUM('1-2_児童数計算表_分園'!$Q$45:$Q$46)</f>
        <v>0</v>
      </c>
    </row>
    <row r="19" spans="1:20" ht="33" customHeight="1" thickBot="1">
      <c r="B19" s="250"/>
      <c r="C19" s="251"/>
      <c r="D19" s="251"/>
      <c r="E19" s="275" t="s">
        <v>262</v>
      </c>
      <c r="F19" s="276"/>
      <c r="G19" s="792" t="s">
        <v>263</v>
      </c>
      <c r="H19" s="793"/>
      <c r="I19" s="277" t="s">
        <v>262</v>
      </c>
      <c r="J19" s="278"/>
      <c r="K19" s="794" t="s">
        <v>263</v>
      </c>
      <c r="L19" s="795"/>
      <c r="N19" s="267" t="s">
        <v>268</v>
      </c>
      <c r="O19" s="265"/>
      <c r="P19" s="266">
        <f>'1-1_児童数計算表'!$Q$47</f>
        <v>0</v>
      </c>
      <c r="R19" s="267" t="s">
        <v>268</v>
      </c>
      <c r="S19" s="268"/>
      <c r="T19" s="266">
        <f>'1-2_児童数計算表_分園'!$Q$47</f>
        <v>0</v>
      </c>
    </row>
    <row r="20" spans="1:20" ht="19.5" customHeight="1" thickBot="1">
      <c r="B20" s="279" t="s">
        <v>264</v>
      </c>
      <c r="C20" s="251" t="s">
        <v>265</v>
      </c>
      <c r="D20" s="280"/>
      <c r="E20" s="281"/>
      <c r="F20" s="282"/>
      <c r="G20" s="283"/>
      <c r="H20" s="284"/>
      <c r="I20" s="283"/>
      <c r="J20" s="285"/>
      <c r="K20" s="286"/>
      <c r="L20" s="287"/>
      <c r="N20" s="267" t="s">
        <v>298</v>
      </c>
      <c r="O20" s="265"/>
      <c r="P20" s="266">
        <f>SUM('1-1_児童数計算表'!$Q$48:$Q$49)</f>
        <v>0</v>
      </c>
      <c r="R20" s="267" t="s">
        <v>298</v>
      </c>
      <c r="S20" s="268"/>
      <c r="T20" s="266">
        <f>SUM('1-2_児童数計算表_分園'!$Q$48:$Q$49)</f>
        <v>0</v>
      </c>
    </row>
    <row r="21" spans="1:20" ht="19.5" customHeight="1" thickBot="1">
      <c r="B21" s="288"/>
      <c r="C21" s="289" t="s">
        <v>266</v>
      </c>
      <c r="D21" s="290"/>
      <c r="E21" s="291"/>
      <c r="F21" s="292">
        <f>F10</f>
        <v>0</v>
      </c>
      <c r="G21" s="293">
        <f>IF(E22="なし",F21/30,F21/25)</f>
        <v>0</v>
      </c>
      <c r="H21" s="294">
        <f>ROUNDDOWN(G21,1)</f>
        <v>0</v>
      </c>
      <c r="I21" s="289"/>
      <c r="J21" s="292">
        <f>IF(E7="あり",J10,0)</f>
        <v>0</v>
      </c>
      <c r="K21" s="295">
        <f>IF(I22="なし",J21/30,J21/25)</f>
        <v>0</v>
      </c>
      <c r="L21" s="294">
        <f>ROUNDDOWN(K21,1)</f>
        <v>0</v>
      </c>
      <c r="N21" s="267"/>
      <c r="O21" s="265" t="s">
        <v>299</v>
      </c>
      <c r="P21" s="266">
        <f>'1-1_児童数計算表'!$Q$49</f>
        <v>0</v>
      </c>
      <c r="R21" s="267"/>
      <c r="S21" s="268" t="s">
        <v>299</v>
      </c>
      <c r="T21" s="266">
        <f>'1-2_児童数計算表_分園'!$Q$49</f>
        <v>0</v>
      </c>
    </row>
    <row r="22" spans="1:20" ht="19.5" customHeight="1" thickBot="1">
      <c r="B22" s="288"/>
      <c r="C22" s="289" t="s">
        <v>267</v>
      </c>
      <c r="D22" s="290"/>
      <c r="E22" s="296" t="str">
        <f>IF('2_区分12加算額計算表'!$F$23=【リスト】!$C$2,"あり","なし")</f>
        <v>なし</v>
      </c>
      <c r="F22" s="297"/>
      <c r="G22" s="298"/>
      <c r="H22" s="299"/>
      <c r="I22" s="300" t="str">
        <f>E22</f>
        <v>なし</v>
      </c>
      <c r="J22" s="297"/>
      <c r="K22" s="298"/>
      <c r="L22" s="299"/>
      <c r="N22" s="267" t="s">
        <v>300</v>
      </c>
      <c r="O22" s="265"/>
      <c r="P22" s="266">
        <f>'1-1_児童数計算表'!$Q$50</f>
        <v>0</v>
      </c>
      <c r="R22" s="267" t="s">
        <v>300</v>
      </c>
      <c r="S22" s="268"/>
      <c r="T22" s="266">
        <f>'1-2_児童数計算表_分園'!$Q$50</f>
        <v>0</v>
      </c>
    </row>
    <row r="23" spans="1:20" ht="19.5" customHeight="1">
      <c r="B23" s="288"/>
      <c r="C23" s="301" t="s">
        <v>268</v>
      </c>
      <c r="D23" s="302"/>
      <c r="E23" s="303"/>
      <c r="F23" s="304">
        <f>F11</f>
        <v>0</v>
      </c>
      <c r="G23" s="293">
        <f>IF(E24="なし",F23/20,F23/15)</f>
        <v>0</v>
      </c>
      <c r="H23" s="305">
        <f>ROUNDDOWN(G23,1)</f>
        <v>0</v>
      </c>
      <c r="I23" s="246"/>
      <c r="J23" s="292">
        <f>IF(E7="あり",J11,0)</f>
        <v>0</v>
      </c>
      <c r="K23" s="293">
        <f>IF(I24="なし",J23/20,J23/15)</f>
        <v>0</v>
      </c>
      <c r="L23" s="305">
        <f>ROUNDDOWN(K23,1)</f>
        <v>0</v>
      </c>
    </row>
    <row r="24" spans="1:20" ht="19.5" customHeight="1">
      <c r="B24" s="288"/>
      <c r="C24" s="301" t="s">
        <v>269</v>
      </c>
      <c r="D24" s="302"/>
      <c r="E24" s="296" t="str">
        <f>IF('2_区分12加算額計算表'!$F$22=【リスト】!$C$2,"あり","なし")</f>
        <v>なし</v>
      </c>
      <c r="F24" s="306"/>
      <c r="G24" s="307"/>
      <c r="H24" s="308"/>
      <c r="I24" s="300" t="str">
        <f>E24</f>
        <v>なし</v>
      </c>
      <c r="J24" s="306"/>
      <c r="K24" s="307"/>
      <c r="L24" s="308"/>
    </row>
    <row r="25" spans="1:20" ht="19.5" customHeight="1">
      <c r="B25" s="288"/>
      <c r="C25" s="301" t="s">
        <v>256</v>
      </c>
      <c r="D25" s="302"/>
      <c r="E25" s="309"/>
      <c r="F25" s="304">
        <f>F12</f>
        <v>0</v>
      </c>
      <c r="G25" s="293">
        <f>IF(E26="なし",F25*1/6,(F25-F13)*1/6+F13*1/5)</f>
        <v>0</v>
      </c>
      <c r="H25" s="305">
        <f>ROUNDDOWN(G25,1)</f>
        <v>0</v>
      </c>
      <c r="I25" s="301"/>
      <c r="J25" s="292">
        <f>IF(E7="あり",J12,0)</f>
        <v>0</v>
      </c>
      <c r="K25" s="310" t="str">
        <f>IF(OR(E7="なし",TRIM(E7)=""), "0.00", IF(I26="なし", J25*1/6, (J25-J13)*1/6 + J13*1/5))</f>
        <v>0.00</v>
      </c>
      <c r="L25" s="305">
        <f>ROUNDDOWN(K25,1)</f>
        <v>0</v>
      </c>
    </row>
    <row r="26" spans="1:20" ht="19.5" customHeight="1">
      <c r="B26" s="288"/>
      <c r="C26" s="311" t="s">
        <v>270</v>
      </c>
      <c r="D26" s="312"/>
      <c r="E26" s="313" t="str">
        <f>IF('2_区分12加算額計算表'!$F$24=【リスト】!$C$2,"あり","なし")</f>
        <v>なし</v>
      </c>
      <c r="F26" s="314"/>
      <c r="G26" s="315"/>
      <c r="H26" s="316"/>
      <c r="I26" s="300" t="str">
        <f>E26</f>
        <v>なし</v>
      </c>
      <c r="J26" s="317"/>
      <c r="K26" s="315"/>
      <c r="L26" s="316"/>
    </row>
    <row r="27" spans="1:20" ht="19.5" customHeight="1" thickBot="1">
      <c r="B27" s="288"/>
      <c r="C27" s="318" t="s">
        <v>236</v>
      </c>
      <c r="D27" s="319"/>
      <c r="E27" s="320"/>
      <c r="F27" s="321">
        <f>F14</f>
        <v>0</v>
      </c>
      <c r="G27" s="322">
        <f>F27*1/3</f>
        <v>0</v>
      </c>
      <c r="H27" s="323">
        <f>ROUNDDOWN(G27,1)</f>
        <v>0</v>
      </c>
      <c r="I27" s="320"/>
      <c r="J27" s="321">
        <f>IF(E7="あり",J14,0)</f>
        <v>0</v>
      </c>
      <c r="K27" s="322">
        <f>J27*1/3</f>
        <v>0</v>
      </c>
      <c r="L27" s="323">
        <f>ROUNDDOWN(K27,1)</f>
        <v>0</v>
      </c>
    </row>
    <row r="28" spans="1:20" ht="19.5" customHeight="1" thickTop="1">
      <c r="B28" s="324"/>
      <c r="C28" s="270" t="s">
        <v>271</v>
      </c>
      <c r="D28" s="324"/>
      <c r="E28" s="325"/>
      <c r="F28" s="326"/>
      <c r="G28" s="327"/>
      <c r="H28" s="328">
        <f>ROUND(SUM(H21:H27),0)</f>
        <v>0</v>
      </c>
      <c r="J28" s="329"/>
      <c r="K28" s="327"/>
      <c r="L28" s="328">
        <f>ROUND(SUM(L21:L27),0)</f>
        <v>0</v>
      </c>
    </row>
    <row r="29" spans="1:20" ht="19.5" customHeight="1">
      <c r="B29" s="330" t="s">
        <v>272</v>
      </c>
      <c r="C29" s="331" t="s">
        <v>273</v>
      </c>
      <c r="D29" s="280"/>
      <c r="E29" s="332" t="str">
        <f>IF('2_区分12加算額計算表'!$D$18&gt;0,"あり","なし")</f>
        <v>なし</v>
      </c>
      <c r="F29" s="282"/>
      <c r="G29" s="333"/>
      <c r="H29" s="334">
        <f>IF(E29="あり",1.4,0)</f>
        <v>0</v>
      </c>
      <c r="I29" s="335" t="str">
        <f>IF('2_区分12加算額計算表'!$H$18&gt;0,"あり","なし")</f>
        <v>なし</v>
      </c>
      <c r="J29" s="282"/>
      <c r="K29" s="333"/>
      <c r="L29" s="334">
        <f>IF(E7="あり",IF(I29="あり",1.4,0),0)</f>
        <v>0</v>
      </c>
    </row>
    <row r="30" spans="1:20" ht="19.5" customHeight="1">
      <c r="B30" s="330" t="s">
        <v>274</v>
      </c>
      <c r="C30" s="331" t="s">
        <v>275</v>
      </c>
      <c r="D30" s="280"/>
      <c r="E30" s="332" t="str">
        <f>IF('2_区分12加算額計算表'!$F$29=【リスト】!$C$2,"あり","なし")</f>
        <v>なし</v>
      </c>
      <c r="F30" s="282"/>
      <c r="G30" s="333"/>
      <c r="H30" s="334">
        <f>IF(E30="あり",1,0)</f>
        <v>0</v>
      </c>
      <c r="I30" s="796" t="str">
        <f>IF($E$7="あり","本園分で選択","－")</f>
        <v>－</v>
      </c>
      <c r="J30" s="797"/>
      <c r="K30" s="286"/>
      <c r="L30" s="287"/>
    </row>
    <row r="31" spans="1:20" ht="19.5" customHeight="1">
      <c r="B31" s="330" t="s">
        <v>276</v>
      </c>
      <c r="C31" s="336" t="s">
        <v>277</v>
      </c>
      <c r="D31" s="280"/>
      <c r="E31" s="332" t="str">
        <f>IF('2_区分12加算額計算表'!$F$31=【リスト】!$C$2,"あり","なし")</f>
        <v>なし</v>
      </c>
      <c r="F31" s="282"/>
      <c r="G31" s="333"/>
      <c r="H31" s="334">
        <f>IF(E31="あり",0.3,0)</f>
        <v>0</v>
      </c>
      <c r="I31" s="796" t="str">
        <f>IF($E$7="あり","本園分で選択","－")</f>
        <v>－</v>
      </c>
      <c r="J31" s="797"/>
      <c r="K31" s="286"/>
      <c r="L31" s="287"/>
    </row>
    <row r="32" spans="1:20" ht="19.5" customHeight="1" thickBot="1">
      <c r="B32" s="330" t="s">
        <v>278</v>
      </c>
      <c r="C32" s="331" t="s">
        <v>15</v>
      </c>
      <c r="D32" s="280"/>
      <c r="E32" s="332" t="str">
        <f>IF('2_区分12加算額計算表'!$F$25=【リスト】!$C$2,"あり","なし")</f>
        <v>なし</v>
      </c>
      <c r="F32" s="337"/>
      <c r="G32" s="333"/>
      <c r="H32" s="334">
        <f>IF(E32="あり",0.5,0)</f>
        <v>0</v>
      </c>
      <c r="I32" s="796" t="str">
        <f>IF($E$7="あり","本園分で選択","－")</f>
        <v>－</v>
      </c>
      <c r="J32" s="797"/>
      <c r="K32" s="286"/>
      <c r="L32" s="287"/>
    </row>
    <row r="33" spans="1:12" ht="19.5" customHeight="1" thickBot="1">
      <c r="B33" s="330" t="s">
        <v>279</v>
      </c>
      <c r="C33" s="331" t="s">
        <v>280</v>
      </c>
      <c r="D33" s="280"/>
      <c r="E33" s="338" t="str">
        <f>IF('2_区分12加算額計算表'!$F$27=【リスト】!$C$2,"あり","なし")</f>
        <v>なし</v>
      </c>
      <c r="F33" s="256">
        <f>'2_区分12加算額計算表'!$I$27</f>
        <v>0</v>
      </c>
      <c r="G33" s="333"/>
      <c r="H33" s="334">
        <f>IF(E33="あり",F33,0)</f>
        <v>0</v>
      </c>
      <c r="I33" s="796" t="str">
        <f>IF($E$7="あり","本園分で選択","－")</f>
        <v>－</v>
      </c>
      <c r="J33" s="797"/>
      <c r="K33" s="286"/>
      <c r="L33" s="287"/>
    </row>
    <row r="34" spans="1:12" ht="19.5" customHeight="1">
      <c r="B34" s="330" t="s">
        <v>281</v>
      </c>
      <c r="C34" s="788" t="s">
        <v>17</v>
      </c>
      <c r="D34" s="789"/>
      <c r="E34" s="332" t="str">
        <f>IF('2_区分12加算額計算表'!$F$32=【リスト】!$E$2,"あり","なし")</f>
        <v>なし</v>
      </c>
      <c r="F34" s="339"/>
      <c r="G34" s="333"/>
      <c r="H34" s="334">
        <f>IF(E34="あり",0.6,0)</f>
        <v>0</v>
      </c>
      <c r="I34" s="790" t="str">
        <f>IF($E$7="あり","本園分で選択","－")</f>
        <v>－</v>
      </c>
      <c r="J34" s="791"/>
      <c r="K34" s="340"/>
      <c r="L34" s="341"/>
    </row>
    <row r="35" spans="1:12" ht="19.5" customHeight="1" thickBot="1">
      <c r="B35" s="342" t="s">
        <v>282</v>
      </c>
      <c r="C35" s="343"/>
      <c r="D35" s="343"/>
      <c r="E35" s="344"/>
      <c r="F35" s="345"/>
      <c r="G35" s="346"/>
      <c r="H35" s="347">
        <f>IF(F8&lt;=20,1.5,IF(F8&lt;=40,1.9,IF(F8&lt;=90,2.5,IF(F8&lt;=150,2.3,IF(F8&gt;=151,3.3,0)))))</f>
        <v>1.5</v>
      </c>
      <c r="I35" s="348"/>
      <c r="J35" s="349"/>
      <c r="K35" s="350"/>
      <c r="L35" s="730">
        <f>IF(E7="あり",IF(J8&lt;=20,1.5,IF(J8&lt;=40,1.9,IF(J8&lt;=90,2.5,IF(J8&lt;=150,2.3,IF(J8&gt;=151,3.3,0))))),0)</f>
        <v>0</v>
      </c>
    </row>
    <row r="36" spans="1:12" ht="19.5" customHeight="1" thickTop="1" thickBot="1">
      <c r="B36" s="351" t="s">
        <v>237</v>
      </c>
      <c r="C36" s="352"/>
      <c r="D36" s="352"/>
      <c r="E36" s="303"/>
      <c r="F36" s="353"/>
      <c r="G36" s="354"/>
      <c r="H36" s="355">
        <f>SUM(H35,H28,H29:H34)</f>
        <v>1.5</v>
      </c>
      <c r="J36" s="356"/>
      <c r="K36" s="357"/>
      <c r="L36" s="355">
        <f>SUM(L28,L29,,L35)</f>
        <v>0</v>
      </c>
    </row>
    <row r="37" spans="1:12" ht="19.5" customHeight="1" thickBot="1">
      <c r="B37" s="358" t="s">
        <v>283</v>
      </c>
      <c r="C37" s="359"/>
      <c r="D37" s="359"/>
      <c r="E37" s="360"/>
      <c r="F37" s="361"/>
      <c r="G37" s="362"/>
      <c r="H37" s="363">
        <f>ROUND(H36,0)</f>
        <v>2</v>
      </c>
      <c r="I37" s="364"/>
      <c r="J37" s="365"/>
      <c r="K37" s="366"/>
      <c r="L37" s="363">
        <f>ROUND(L36,0)</f>
        <v>0</v>
      </c>
    </row>
    <row r="38" spans="1:12" ht="19.5" customHeight="1">
      <c r="B38" s="352"/>
      <c r="C38" s="352"/>
      <c r="D38" s="352"/>
      <c r="H38" s="367"/>
      <c r="I38" s="368"/>
    </row>
    <row r="39" spans="1:12" ht="19.5" customHeight="1" thickBot="1">
      <c r="A39" s="369" t="s">
        <v>284</v>
      </c>
      <c r="G39" s="370"/>
      <c r="H39" s="371" t="s">
        <v>285</v>
      </c>
      <c r="I39" s="372" t="s">
        <v>286</v>
      </c>
    </row>
    <row r="40" spans="1:12" ht="19.5" customHeight="1" thickBot="1">
      <c r="B40" s="373" t="s">
        <v>287</v>
      </c>
      <c r="C40" s="374"/>
      <c r="D40" s="374"/>
      <c r="E40" s="375"/>
      <c r="F40" s="376"/>
      <c r="G40" s="377">
        <f>(H37+L37)/3</f>
        <v>0.66666666666666663</v>
      </c>
      <c r="H40" s="378">
        <f>IF(ROUND(G40,0)=0,1,ROUND(G40,0))</f>
        <v>1</v>
      </c>
      <c r="I40" s="398"/>
    </row>
    <row r="41" spans="1:12" ht="19.5" customHeight="1" thickBot="1">
      <c r="B41" s="379" t="s">
        <v>288</v>
      </c>
      <c r="C41" s="380"/>
      <c r="D41" s="380"/>
      <c r="E41" s="381"/>
      <c r="F41" s="382"/>
      <c r="G41" s="383">
        <f>(H37+L37)/5</f>
        <v>0.4</v>
      </c>
      <c r="H41" s="384">
        <f>IF(ROUND(G41,0)=0,1,ROUND(G41,0))</f>
        <v>1</v>
      </c>
      <c r="I41" s="398"/>
    </row>
    <row r="42" spans="1:12" ht="19.5" customHeight="1">
      <c r="H42" s="368"/>
    </row>
    <row r="43" spans="1:12" ht="19.5" customHeight="1" thickBot="1">
      <c r="A43" s="249" t="s">
        <v>289</v>
      </c>
    </row>
    <row r="44" spans="1:12" ht="19.5" customHeight="1" thickBot="1">
      <c r="B44" s="373"/>
      <c r="C44" s="385">
        <v>49060</v>
      </c>
      <c r="D44" s="374" t="s">
        <v>290</v>
      </c>
      <c r="E44" s="375"/>
      <c r="F44" s="386"/>
      <c r="G44" s="387"/>
      <c r="H44" s="224" t="str">
        <f>IF(I40="","実人数を入力してください",IF(ISBLANK(I40),C44*H40,IF(H40&lt;I40,C44*H40,C44*I40)))</f>
        <v>実人数を入力してください</v>
      </c>
    </row>
    <row r="45" spans="1:12" ht="19.5" customHeight="1" thickBot="1">
      <c r="B45" s="388"/>
      <c r="C45" s="389">
        <v>6130</v>
      </c>
      <c r="D45" s="390" t="s">
        <v>291</v>
      </c>
      <c r="E45" s="391"/>
      <c r="F45" s="392"/>
      <c r="G45" s="393"/>
      <c r="H45" s="225" t="str">
        <f>IF(I41="","実人数を入力してください",IF(ISBLANK(I41),C45*H41,IF(H41&lt;I41,C45*H41,C45*I41)))</f>
        <v>実人数を入力してください</v>
      </c>
    </row>
    <row r="46" spans="1:12" ht="19.5" customHeight="1" thickTop="1" thickBot="1">
      <c r="B46" s="394"/>
      <c r="C46" s="395" t="s">
        <v>292</v>
      </c>
      <c r="D46" s="396"/>
      <c r="E46" s="396"/>
      <c r="F46" s="397"/>
      <c r="G46" s="397"/>
      <c r="H46" s="226">
        <f>SUM(H44:H45)</f>
        <v>0</v>
      </c>
    </row>
    <row r="47" spans="1:12" ht="19.5" customHeight="1"/>
    <row r="48" spans="1:12" ht="19.5" customHeight="1"/>
    <row r="49" ht="19.5" customHeight="1"/>
    <row r="50" ht="19.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sheetData>
  <sheetProtection algorithmName="SHA-512" hashValue="gxhG3Kp7ztVdmztKbtq/LRMx1DXUbka0hN2Eh+eiV9FDgHem1JdSY/ecCLeAkvfe+ebKG7BEsPRvhHhxZNighg==" saltValue="UvhbFHvOtQxzYeWHuQ4yGw==" spinCount="100000" sheet="1" objects="1" scenarios="1"/>
  <mergeCells count="21">
    <mergeCell ref="E18:H18"/>
    <mergeCell ref="I18:L18"/>
    <mergeCell ref="B3:C3"/>
    <mergeCell ref="D3:H3"/>
    <mergeCell ref="B7:D7"/>
    <mergeCell ref="B8:E8"/>
    <mergeCell ref="B9:E9"/>
    <mergeCell ref="C10:D10"/>
    <mergeCell ref="C11:D11"/>
    <mergeCell ref="C12:D12"/>
    <mergeCell ref="C13:D13"/>
    <mergeCell ref="C14:D14"/>
    <mergeCell ref="C15:L15"/>
    <mergeCell ref="C34:D34"/>
    <mergeCell ref="I34:J34"/>
    <mergeCell ref="G19:H19"/>
    <mergeCell ref="K19:L19"/>
    <mergeCell ref="I30:J30"/>
    <mergeCell ref="I31:J31"/>
    <mergeCell ref="I32:J32"/>
    <mergeCell ref="I33:J33"/>
  </mergeCells>
  <phoneticPr fontId="4"/>
  <dataValidations count="2">
    <dataValidation type="list" allowBlank="1" showInputMessage="1" showErrorMessage="1" sqref="I29 E24 E7 E29:E34 E22 E26" xr:uid="{C6F28A60-F6F6-490F-A25E-858CF5589E85}">
      <formula1>"　,あり,なし"</formula1>
    </dataValidation>
    <dataValidation type="whole" allowBlank="1" showInputMessage="1" showErrorMessage="1" sqref="F10:F14 J10:J14 I40:I41" xr:uid="{06E07A98-F565-4AB4-83F6-82787E1DE36B}">
      <formula1>0</formula1>
      <formula2>1000</formula2>
    </dataValidation>
  </dataValidations>
  <pageMargins left="0.92" right="0.56000000000000005" top="0.75" bottom="0.37" header="0.3" footer="0.3"/>
  <pageSetup paperSize="9" scale="63"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D0E9-347F-4229-A226-8FA4E8A77FB8}">
  <sheetPr>
    <pageSetUpPr fitToPage="1"/>
  </sheetPr>
  <dimension ref="A1:E23"/>
  <sheetViews>
    <sheetView showGridLines="0" view="pageBreakPreview" zoomScale="85" zoomScaleNormal="85" zoomScaleSheetLayoutView="85" workbookViewId="0">
      <selection activeCell="D20" sqref="D20"/>
    </sheetView>
  </sheetViews>
  <sheetFormatPr defaultRowHeight="13.5"/>
  <cols>
    <col min="1" max="2" width="3.375" style="234" customWidth="1"/>
    <col min="3" max="3" width="16.875" style="234" bestFit="1" customWidth="1"/>
    <col min="4" max="4" width="21" style="234" customWidth="1"/>
    <col min="5" max="16384" width="9" style="234"/>
  </cols>
  <sheetData>
    <row r="1" spans="1:5">
      <c r="A1" s="234" t="s">
        <v>302</v>
      </c>
    </row>
    <row r="2" spans="1:5">
      <c r="B2" s="235" t="s">
        <v>303</v>
      </c>
    </row>
    <row r="4" spans="1:5" s="236" customFormat="1" ht="24.75" customHeight="1">
      <c r="B4" s="236" t="s">
        <v>304</v>
      </c>
    </row>
    <row r="5" spans="1:5" s="236" customFormat="1" ht="24.75" customHeight="1">
      <c r="C5" s="237" t="s">
        <v>305</v>
      </c>
      <c r="D5" s="238" t="e">
        <f>加算率a</f>
        <v>#N/A</v>
      </c>
    </row>
    <row r="6" spans="1:5" s="236" customFormat="1" ht="24.75" customHeight="1">
      <c r="C6" s="237" t="s">
        <v>306</v>
      </c>
      <c r="D6" s="238" t="e">
        <f>加算率b</f>
        <v>#N/A</v>
      </c>
    </row>
    <row r="8" spans="1:5" s="236" customFormat="1" ht="24.75" customHeight="1">
      <c r="B8" s="236" t="s">
        <v>307</v>
      </c>
    </row>
    <row r="9" spans="1:5" s="236" customFormat="1" ht="24.75" customHeight="1">
      <c r="C9" s="237" t="s">
        <v>172</v>
      </c>
      <c r="D9" s="239" t="e">
        <f>'2_区分12加算額計算表'!$D$44</f>
        <v>#N/A</v>
      </c>
    </row>
    <row r="10" spans="1:5" s="236" customFormat="1" ht="24.75" customHeight="1">
      <c r="C10" s="237" t="s">
        <v>180</v>
      </c>
      <c r="D10" s="239" t="e">
        <f>ROUNDDOWN(D9*実施月数,-3)</f>
        <v>#N/A</v>
      </c>
      <c r="E10" s="407" t="s">
        <v>631</v>
      </c>
    </row>
    <row r="12" spans="1:5" s="236" customFormat="1" ht="24.75" customHeight="1">
      <c r="B12" s="236" t="s">
        <v>308</v>
      </c>
    </row>
    <row r="13" spans="1:5" s="236" customFormat="1" ht="24.75" customHeight="1">
      <c r="C13" s="237" t="s">
        <v>172</v>
      </c>
      <c r="D13" s="239" t="e">
        <f>IF('0_基本情報'!D23='【リスト】 (2)'!C3,0,'2_区分12加算額計算表'!$D$45)</f>
        <v>#N/A</v>
      </c>
    </row>
    <row r="14" spans="1:5" s="236" customFormat="1" ht="24.75" customHeight="1">
      <c r="C14" s="237" t="s">
        <v>180</v>
      </c>
      <c r="D14" s="239" t="e">
        <f>ROUNDDOWN(D13*実施月数,-3)</f>
        <v>#N/A</v>
      </c>
      <c r="E14" s="407" t="s">
        <v>631</v>
      </c>
    </row>
    <row r="16" spans="1:5" s="236" customFormat="1" ht="24.75" customHeight="1">
      <c r="B16" s="236" t="s">
        <v>309</v>
      </c>
    </row>
    <row r="17" spans="1:5" s="236" customFormat="1" ht="24.75" customHeight="1">
      <c r="C17" s="237" t="s">
        <v>310</v>
      </c>
      <c r="D17" s="240" t="str">
        <f>IF('0_基本情報'!D24='【リスト】 (2)'!C3,"",IF('3_区分3計算表'!$I$40="","実人数を入力してください。",MIN('3_区分3計算表'!$H$40:$I$40)))</f>
        <v>実人数を入力してください。</v>
      </c>
    </row>
    <row r="18" spans="1:5" s="236" customFormat="1" ht="24.75" customHeight="1">
      <c r="C18" s="237" t="s">
        <v>311</v>
      </c>
      <c r="D18" s="240" t="str">
        <f>IF('0_基本情報'!D24='【リスト】 (2)'!C3,"",IF('3_区分3計算表'!$I$41="","実人数を入力してください。",MIN('3_区分3計算表'!$H$41:$I$41)))</f>
        <v>実人数を入力してください。</v>
      </c>
    </row>
    <row r="19" spans="1:5" s="236" customFormat="1" ht="24.75" customHeight="1">
      <c r="C19" s="237" t="s">
        <v>172</v>
      </c>
      <c r="D19" s="239">
        <f>IF('0_基本情報'!D24='【リスト】 (2)'!C3,0,'3_区分3計算表'!$H$46)</f>
        <v>0</v>
      </c>
    </row>
    <row r="20" spans="1:5" s="236" customFormat="1" ht="24.75" customHeight="1">
      <c r="C20" s="237" t="s">
        <v>180</v>
      </c>
      <c r="D20" s="239">
        <f>ROUNDDOWN(D19*実施月数,-3)</f>
        <v>0</v>
      </c>
      <c r="E20" s="407" t="s">
        <v>632</v>
      </c>
    </row>
    <row r="22" spans="1:5">
      <c r="A22" s="235" t="str">
        <f>IF('1-1_児童数計算表'!$M$3="","・施設・事業所名がブランクになっています。（児童数計算表）","")</f>
        <v/>
      </c>
    </row>
    <row r="23" spans="1:5">
      <c r="A23" s="235" t="str">
        <f>IF(OR('3_区分3計算表'!$I$40="",'3_区分3計算表'!$I$41=""),"・区分3計算表の加算算定対象人数の実人数にブランクがあります。","")</f>
        <v>・区分3計算表の加算算定対象人数の実人数にブランクがあります。</v>
      </c>
    </row>
  </sheetData>
  <sheetProtection algorithmName="SHA-512" hashValue="s3Mygmqd4QI1uRlP+NhsJ/AoxGvZMMR8Zi9H1tJ8rBifqLAz+D53X1nSGKn2ECZY6b5IBvtW3CZtOqsHFqk+3w==" saltValue="oJJY+0NHAzKp5Zc4vYMFBQ==" spinCount="100000" sheet="1" objects="1" scenarios="1"/>
  <phoneticPr fontId="4"/>
  <pageMargins left="0.7" right="0.7" top="0.75" bottom="0.75" header="0.3" footer="0.3"/>
  <pageSetup paperSize="9" scale="8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C84-D077-477A-8887-1D2EF9C9D589}">
  <sheetPr>
    <pageSetUpPr fitToPage="1"/>
  </sheetPr>
  <dimension ref="B1:AQ54"/>
  <sheetViews>
    <sheetView showGridLines="0" view="pageBreakPreview" zoomScale="85" zoomScaleNormal="100" zoomScaleSheetLayoutView="85" workbookViewId="0">
      <selection activeCell="R21" sqref="R21"/>
    </sheetView>
  </sheetViews>
  <sheetFormatPr defaultColWidth="9" defaultRowHeight="18" customHeight="1"/>
  <cols>
    <col min="1" max="1" width="2" style="420" customWidth="1"/>
    <col min="2" max="2" width="2.5" style="420" customWidth="1"/>
    <col min="3" max="7" width="3" style="420" customWidth="1"/>
    <col min="8" max="21" width="3.625" style="420" customWidth="1"/>
    <col min="22" max="25" width="3" style="420" customWidth="1"/>
    <col min="26" max="26" width="3" style="421" customWidth="1"/>
    <col min="27" max="30" width="3" style="420" customWidth="1"/>
    <col min="31" max="33" width="3.375" style="420" customWidth="1"/>
    <col min="34" max="34" width="3.875" style="420" customWidth="1"/>
    <col min="35" max="52" width="3.375" style="420" customWidth="1"/>
    <col min="53" max="16384" width="9" style="420"/>
  </cols>
  <sheetData>
    <row r="1" spans="2:43" ht="18" customHeight="1">
      <c r="B1" s="458" t="s">
        <v>396</v>
      </c>
      <c r="AQ1" s="457" t="s">
        <v>395</v>
      </c>
    </row>
    <row r="2" spans="2:43" ht="18" customHeight="1">
      <c r="B2" s="819" t="str">
        <f>$AQ$1&amp;AQ2&amp;"年度加算率等認定申請書（処遇改善等加算）"</f>
        <v>令和８年度加算率等認定申請書（処遇改善等加算）</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Q2" s="456" t="s">
        <v>713</v>
      </c>
    </row>
    <row r="3" spans="2:43" ht="9.75" customHeight="1">
      <c r="C3" s="454"/>
      <c r="D3" s="454"/>
      <c r="E3" s="454"/>
      <c r="F3" s="454"/>
      <c r="G3" s="454"/>
      <c r="H3" s="454"/>
      <c r="I3" s="454"/>
      <c r="J3" s="454"/>
      <c r="K3" s="454"/>
      <c r="L3" s="454"/>
      <c r="M3" s="454"/>
      <c r="N3" s="454"/>
      <c r="O3" s="454"/>
      <c r="P3" s="454"/>
      <c r="Q3" s="454"/>
      <c r="R3" s="454"/>
      <c r="S3" s="454"/>
      <c r="T3" s="454"/>
      <c r="U3" s="454"/>
      <c r="V3" s="454"/>
      <c r="W3" s="454"/>
      <c r="X3" s="454"/>
      <c r="Y3" s="454"/>
      <c r="Z3" s="455"/>
      <c r="AA3" s="454"/>
      <c r="AB3" s="454"/>
      <c r="AC3" s="454"/>
      <c r="AD3" s="454"/>
      <c r="AE3" s="454"/>
      <c r="AF3" s="454"/>
      <c r="AG3" s="454"/>
    </row>
    <row r="4" spans="2:43" ht="18" customHeight="1">
      <c r="F4" s="452"/>
      <c r="G4" s="452"/>
      <c r="N4" s="452"/>
      <c r="O4" s="452"/>
    </row>
    <row r="5" spans="2:43" ht="17.25" customHeight="1">
      <c r="F5" s="820" t="s">
        <v>394</v>
      </c>
      <c r="G5" s="820"/>
      <c r="H5" s="820"/>
      <c r="I5" s="820"/>
      <c r="J5" s="820"/>
      <c r="K5" s="820"/>
      <c r="L5" s="820"/>
      <c r="M5" s="452"/>
      <c r="N5" s="452"/>
      <c r="O5" s="452"/>
    </row>
    <row r="6" spans="2:43" ht="17.25" customHeight="1" thickBot="1">
      <c r="F6" s="452"/>
      <c r="G6" s="452"/>
      <c r="H6" s="452"/>
      <c r="I6" s="452"/>
      <c r="J6" s="452"/>
      <c r="K6" s="452"/>
      <c r="L6" s="452"/>
      <c r="M6" s="452"/>
      <c r="N6" s="452"/>
      <c r="O6" s="452"/>
      <c r="U6" s="453"/>
      <c r="V6" s="453"/>
      <c r="W6" s="453"/>
      <c r="X6" s="453"/>
      <c r="Y6" s="453"/>
      <c r="Z6" s="453"/>
      <c r="AA6" s="453"/>
      <c r="AB6" s="453"/>
      <c r="AC6" s="453"/>
      <c r="AD6" s="453"/>
      <c r="AE6" s="453"/>
      <c r="AF6" s="453"/>
      <c r="AG6" s="453"/>
    </row>
    <row r="7" spans="2:43" ht="17.25" customHeight="1">
      <c r="F7" s="452"/>
      <c r="G7" s="452"/>
      <c r="N7" s="452"/>
      <c r="O7" s="821" t="s">
        <v>393</v>
      </c>
      <c r="P7" s="821"/>
      <c r="Q7" s="821"/>
      <c r="R7" s="821"/>
      <c r="S7" s="821"/>
      <c r="T7" s="821"/>
      <c r="U7" s="822" t="s">
        <v>392</v>
      </c>
      <c r="V7" s="822"/>
      <c r="W7" s="822"/>
      <c r="X7" s="822"/>
      <c r="Y7" s="822"/>
      <c r="Z7" s="822"/>
      <c r="AA7" s="822"/>
      <c r="AB7" s="822"/>
      <c r="AC7" s="822"/>
      <c r="AD7" s="822"/>
      <c r="AE7" s="822"/>
      <c r="AF7" s="822"/>
      <c r="AG7" s="823"/>
    </row>
    <row r="8" spans="2:43" ht="17.25" customHeight="1">
      <c r="N8" s="452"/>
      <c r="O8" s="826" t="s">
        <v>391</v>
      </c>
      <c r="P8" s="826"/>
      <c r="Q8" s="826"/>
      <c r="R8" s="826"/>
      <c r="S8" s="826"/>
      <c r="T8" s="826"/>
      <c r="U8" s="827">
        <f>'0_基本情報'!$D$4</f>
        <v>0</v>
      </c>
      <c r="V8" s="827"/>
      <c r="W8" s="827"/>
      <c r="X8" s="827"/>
      <c r="Y8" s="827"/>
      <c r="Z8" s="827"/>
      <c r="AA8" s="827"/>
      <c r="AB8" s="827"/>
      <c r="AC8" s="827"/>
      <c r="AD8" s="827"/>
      <c r="AE8" s="827"/>
      <c r="AF8" s="827"/>
      <c r="AG8" s="828"/>
    </row>
    <row r="9" spans="2:43" ht="17.25" customHeight="1">
      <c r="N9" s="452"/>
      <c r="O9" s="826" t="s">
        <v>390</v>
      </c>
      <c r="P9" s="826"/>
      <c r="Q9" s="826"/>
      <c r="R9" s="826"/>
      <c r="S9" s="826"/>
      <c r="T9" s="826"/>
      <c r="U9" s="827">
        <f>'0_基本情報'!$D$5</f>
        <v>0</v>
      </c>
      <c r="V9" s="827"/>
      <c r="W9" s="827"/>
      <c r="X9" s="827"/>
      <c r="Y9" s="827"/>
      <c r="Z9" s="827"/>
      <c r="AA9" s="827"/>
      <c r="AB9" s="827"/>
      <c r="AC9" s="827"/>
      <c r="AD9" s="827"/>
      <c r="AE9" s="827"/>
      <c r="AF9" s="827"/>
      <c r="AG9" s="828"/>
    </row>
    <row r="10" spans="2:43" ht="17.25" customHeight="1" thickBot="1">
      <c r="N10" s="452"/>
      <c r="O10" s="829" t="s">
        <v>389</v>
      </c>
      <c r="P10" s="829"/>
      <c r="Q10" s="829"/>
      <c r="R10" s="829"/>
      <c r="S10" s="829"/>
      <c r="T10" s="829"/>
      <c r="U10" s="824">
        <f>'0_基本情報'!$D$3</f>
        <v>0</v>
      </c>
      <c r="V10" s="824"/>
      <c r="W10" s="824"/>
      <c r="X10" s="824"/>
      <c r="Y10" s="824"/>
      <c r="Z10" s="824"/>
      <c r="AA10" s="824"/>
      <c r="AB10" s="824"/>
      <c r="AC10" s="824"/>
      <c r="AD10" s="824"/>
      <c r="AE10" s="824"/>
      <c r="AF10" s="824"/>
      <c r="AG10" s="825"/>
    </row>
    <row r="11" spans="2:43" ht="17.25" customHeight="1">
      <c r="Q11" s="425"/>
      <c r="R11" s="425"/>
      <c r="S11" s="425"/>
      <c r="T11" s="425"/>
      <c r="U11" s="451"/>
      <c r="V11" s="425"/>
      <c r="W11" s="425"/>
      <c r="X11" s="425"/>
      <c r="Y11" s="425"/>
    </row>
    <row r="12" spans="2:43" ht="9.75" customHeight="1">
      <c r="Q12" s="425"/>
      <c r="R12" s="425"/>
      <c r="S12" s="425"/>
      <c r="T12" s="425"/>
      <c r="U12" s="425"/>
      <c r="V12" s="425"/>
      <c r="W12" s="425"/>
      <c r="X12" s="425"/>
      <c r="Y12" s="425"/>
    </row>
    <row r="13" spans="2:43" ht="9.75" customHeight="1">
      <c r="Q13" s="425"/>
      <c r="R13" s="425"/>
      <c r="S13" s="425"/>
      <c r="T13" s="425"/>
      <c r="U13" s="425"/>
      <c r="V13" s="425"/>
      <c r="W13" s="425"/>
      <c r="X13" s="425"/>
      <c r="Y13" s="425"/>
    </row>
    <row r="14" spans="2:43" ht="18.75" customHeight="1" thickBot="1">
      <c r="B14" s="434" t="s">
        <v>388</v>
      </c>
      <c r="D14" s="447"/>
      <c r="E14" s="447"/>
      <c r="F14" s="447"/>
      <c r="G14" s="447"/>
      <c r="H14" s="447"/>
      <c r="I14" s="447"/>
      <c r="J14" s="447"/>
      <c r="K14" s="447"/>
      <c r="L14" s="447"/>
      <c r="M14" s="447"/>
      <c r="N14" s="447"/>
      <c r="O14" s="447"/>
      <c r="P14" s="447"/>
      <c r="Q14" s="447"/>
      <c r="R14" s="447"/>
      <c r="S14" s="447"/>
      <c r="T14" s="447"/>
      <c r="U14" s="447"/>
      <c r="V14" s="447"/>
      <c r="W14" s="447"/>
      <c r="X14" s="447"/>
      <c r="Y14" s="447"/>
      <c r="Z14" s="450"/>
      <c r="AA14" s="447"/>
      <c r="AB14" s="447"/>
      <c r="AC14" s="447"/>
      <c r="AD14" s="447"/>
      <c r="AE14" s="447"/>
      <c r="AF14" s="447"/>
      <c r="AG14" s="447"/>
      <c r="AH14" s="447"/>
      <c r="AI14" s="447"/>
      <c r="AJ14" s="447"/>
      <c r="AK14" s="447"/>
      <c r="AL14" s="447"/>
      <c r="AM14" s="447"/>
      <c r="AN14" s="447"/>
    </row>
    <row r="15" spans="2:43" ht="10.5" customHeight="1" thickBot="1">
      <c r="B15" s="447"/>
      <c r="C15" s="832" t="s">
        <v>387</v>
      </c>
      <c r="D15" s="832"/>
      <c r="E15" s="832"/>
      <c r="F15" s="832"/>
      <c r="G15" s="832"/>
      <c r="H15" s="832"/>
      <c r="I15" s="832"/>
      <c r="J15" s="832"/>
      <c r="K15" s="832"/>
      <c r="L15" s="833"/>
      <c r="AA15" s="447"/>
    </row>
    <row r="16" spans="2:43" ht="34.5" customHeight="1">
      <c r="B16" s="447"/>
      <c r="C16" s="832"/>
      <c r="D16" s="832"/>
      <c r="E16" s="832"/>
      <c r="F16" s="832"/>
      <c r="G16" s="832"/>
      <c r="H16" s="832"/>
      <c r="I16" s="832"/>
      <c r="J16" s="832"/>
      <c r="K16" s="832"/>
      <c r="L16" s="833"/>
      <c r="AA16" s="447"/>
    </row>
    <row r="17" spans="2:34" ht="18.75" customHeight="1" thickBot="1">
      <c r="B17" s="447"/>
      <c r="C17" s="830" t="str">
        <f>IF('0_基本情報'!$D$22='【リスト】 (2)'!$C$2,"適","否")</f>
        <v>否</v>
      </c>
      <c r="D17" s="830"/>
      <c r="E17" s="830"/>
      <c r="F17" s="831">
        <f>IF(C17="適",加算率a,0)</f>
        <v>0</v>
      </c>
      <c r="G17" s="831"/>
      <c r="H17" s="831"/>
      <c r="I17" s="831"/>
      <c r="J17" s="831"/>
      <c r="K17" s="831"/>
      <c r="L17" s="449" t="s">
        <v>381</v>
      </c>
      <c r="AA17" s="447"/>
    </row>
    <row r="18" spans="2:34" ht="14.25">
      <c r="B18" s="447"/>
      <c r="C18" s="436" t="s">
        <v>380</v>
      </c>
      <c r="D18" s="448" t="s">
        <v>386</v>
      </c>
      <c r="E18" s="435"/>
      <c r="F18" s="435"/>
      <c r="G18" s="435"/>
      <c r="H18" s="435"/>
      <c r="I18" s="435"/>
      <c r="J18" s="435"/>
      <c r="K18" s="435"/>
      <c r="L18" s="435"/>
      <c r="M18" s="435"/>
      <c r="N18" s="435"/>
      <c r="O18" s="435"/>
      <c r="P18" s="435"/>
      <c r="Q18" s="435"/>
      <c r="R18" s="435"/>
      <c r="S18" s="435"/>
      <c r="T18" s="435"/>
      <c r="U18" s="435"/>
      <c r="V18" s="435"/>
      <c r="W18" s="435"/>
      <c r="X18" s="435"/>
      <c r="Y18" s="435"/>
      <c r="Z18" s="443"/>
      <c r="AA18" s="435"/>
      <c r="AB18" s="435"/>
      <c r="AC18" s="435"/>
      <c r="AD18" s="435"/>
      <c r="AE18" s="435"/>
      <c r="AF18" s="435"/>
      <c r="AG18" s="435"/>
      <c r="AH18" s="447"/>
    </row>
    <row r="19" spans="2:34" ht="14.25">
      <c r="B19" s="447"/>
      <c r="C19" s="436"/>
      <c r="D19" s="448"/>
      <c r="G19" s="435"/>
      <c r="H19" s="435"/>
      <c r="I19" s="435"/>
      <c r="J19" s="435"/>
      <c r="K19" s="435"/>
      <c r="L19" s="435"/>
      <c r="M19" s="435"/>
      <c r="N19" s="435"/>
      <c r="O19" s="435"/>
      <c r="P19" s="435"/>
      <c r="Q19" s="435"/>
      <c r="R19" s="435"/>
      <c r="S19" s="435"/>
      <c r="T19" s="435"/>
      <c r="U19" s="435"/>
      <c r="V19" s="435"/>
      <c r="W19" s="435"/>
      <c r="X19" s="435"/>
      <c r="Y19" s="435"/>
      <c r="Z19" s="443"/>
      <c r="AA19" s="435"/>
      <c r="AB19" s="435"/>
      <c r="AC19" s="435"/>
      <c r="AD19" s="435"/>
      <c r="AE19" s="435"/>
      <c r="AF19" s="435"/>
      <c r="AG19" s="435"/>
      <c r="AH19" s="447"/>
    </row>
    <row r="20" spans="2:34" ht="18.75" customHeight="1">
      <c r="B20" s="434" t="s">
        <v>385</v>
      </c>
      <c r="C20" s="432"/>
      <c r="D20" s="432"/>
      <c r="E20" s="432"/>
      <c r="F20" s="432"/>
      <c r="G20" s="432"/>
      <c r="H20" s="432"/>
      <c r="I20" s="432"/>
      <c r="J20" s="432"/>
      <c r="K20" s="433"/>
      <c r="L20" s="433"/>
      <c r="M20" s="433"/>
      <c r="N20" s="432"/>
      <c r="O20" s="432"/>
      <c r="P20" s="432"/>
      <c r="Q20" s="432"/>
      <c r="R20" s="432"/>
      <c r="S20" s="432"/>
      <c r="T20" s="432"/>
      <c r="U20" s="433"/>
    </row>
    <row r="21" spans="2:34" ht="33.75" customHeight="1">
      <c r="C21" s="435" t="s">
        <v>384</v>
      </c>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row>
    <row r="22" spans="2:34" ht="1.5" customHeight="1">
      <c r="C22" s="444"/>
      <c r="D22" s="435"/>
      <c r="E22" s="435"/>
      <c r="F22" s="435"/>
      <c r="G22" s="435"/>
      <c r="H22" s="435"/>
      <c r="I22" s="435"/>
      <c r="J22" s="435"/>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row>
    <row r="23" spans="2:34" ht="1.5" customHeight="1">
      <c r="C23" s="444"/>
      <c r="D23" s="435"/>
      <c r="E23" s="435"/>
      <c r="F23" s="435"/>
      <c r="G23" s="435"/>
      <c r="H23" s="435"/>
      <c r="I23" s="435"/>
      <c r="J23" s="435"/>
      <c r="K23" s="433"/>
      <c r="L23" s="444"/>
      <c r="M23" s="444"/>
      <c r="N23" s="444"/>
      <c r="O23" s="444"/>
      <c r="P23" s="444"/>
      <c r="Q23" s="433"/>
      <c r="R23" s="444"/>
      <c r="S23" s="444"/>
      <c r="T23" s="444"/>
      <c r="U23" s="444"/>
      <c r="V23" s="444"/>
      <c r="W23" s="444"/>
      <c r="X23" s="444"/>
      <c r="Y23" s="444"/>
      <c r="Z23" s="444"/>
      <c r="AA23" s="444"/>
      <c r="AB23" s="444"/>
      <c r="AC23" s="444"/>
      <c r="AD23" s="444"/>
      <c r="AE23" s="444"/>
      <c r="AF23" s="444"/>
      <c r="AG23" s="444"/>
    </row>
    <row r="24" spans="2:34" ht="1.5" customHeight="1">
      <c r="C24" s="444"/>
      <c r="D24" s="442"/>
      <c r="E24" s="442"/>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row>
    <row r="25" spans="2:34" ht="1.5" customHeight="1">
      <c r="C25" s="444"/>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row>
    <row r="26" spans="2:34" ht="1.5" customHeight="1">
      <c r="C26" s="444"/>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row>
    <row r="27" spans="2:34" ht="1.5" customHeight="1">
      <c r="C27" s="444"/>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row>
    <row r="28" spans="2:34" ht="1.5" customHeight="1">
      <c r="C28" s="444"/>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row>
    <row r="29" spans="2:34" ht="1.5" customHeight="1">
      <c r="C29" s="444"/>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row>
    <row r="30" spans="2:34" ht="1.5" customHeight="1">
      <c r="C30" s="444"/>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row>
    <row r="31" spans="2:34" ht="1.5" customHeight="1">
      <c r="C31" s="444"/>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row>
    <row r="32" spans="2:34" ht="1.5" customHeight="1">
      <c r="C32" s="444"/>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row>
    <row r="33" spans="2:33" ht="1.5" customHeight="1">
      <c r="C33" s="444"/>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row>
    <row r="34" spans="2:33" ht="1.5" customHeight="1">
      <c r="C34" s="444"/>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row>
    <row r="35" spans="2:33" ht="1.5" customHeight="1">
      <c r="C35" s="444"/>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row>
    <row r="36" spans="2:33" ht="1.5" customHeight="1">
      <c r="C36" s="444"/>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row>
    <row r="37" spans="2:33" ht="1.5" customHeight="1">
      <c r="C37" s="444"/>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row>
    <row r="38" spans="2:33" ht="1.5" customHeight="1">
      <c r="C38" s="444"/>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row>
    <row r="39" spans="2:33" ht="1.5" customHeight="1">
      <c r="C39" s="444"/>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row>
    <row r="40" spans="2:33" ht="1.5" customHeight="1">
      <c r="C40" s="444"/>
      <c r="D40" s="446"/>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row>
    <row r="41" spans="2:33" ht="1.5" customHeight="1">
      <c r="C41" s="444"/>
      <c r="D41" s="444"/>
      <c r="E41" s="444"/>
      <c r="F41" s="444"/>
      <c r="G41" s="444"/>
      <c r="H41" s="435"/>
      <c r="I41" s="435"/>
      <c r="J41" s="435"/>
      <c r="K41" s="444"/>
      <c r="L41" s="444"/>
      <c r="M41" s="444"/>
      <c r="N41" s="444"/>
      <c r="O41" s="444"/>
      <c r="P41" s="444"/>
      <c r="Q41" s="444"/>
      <c r="R41" s="444"/>
      <c r="S41" s="444"/>
      <c r="T41" s="444"/>
      <c r="U41" s="444"/>
      <c r="V41" s="444"/>
      <c r="W41" s="435"/>
      <c r="X41" s="435"/>
      <c r="Y41" s="435"/>
      <c r="Z41" s="435"/>
    </row>
    <row r="42" spans="2:33" ht="1.5" customHeight="1">
      <c r="C42" s="444"/>
      <c r="D42" s="444"/>
      <c r="E42" s="444"/>
      <c r="F42" s="444"/>
      <c r="G42" s="444"/>
      <c r="H42" s="435"/>
      <c r="I42" s="435"/>
      <c r="J42" s="435"/>
      <c r="K42" s="444"/>
      <c r="L42" s="444"/>
      <c r="M42" s="444"/>
      <c r="N42" s="444"/>
      <c r="O42" s="444"/>
      <c r="P42" s="444"/>
      <c r="Q42" s="444"/>
      <c r="R42" s="444"/>
      <c r="S42" s="444"/>
      <c r="T42" s="444"/>
      <c r="U42" s="444"/>
      <c r="V42" s="444"/>
      <c r="W42" s="435"/>
      <c r="X42" s="435"/>
      <c r="Y42" s="435"/>
      <c r="Z42" s="435"/>
    </row>
    <row r="43" spans="2:33" ht="1.5" customHeight="1">
      <c r="C43" s="445"/>
      <c r="D43" s="445"/>
      <c r="E43" s="445"/>
      <c r="F43" s="445"/>
      <c r="G43" s="445"/>
      <c r="H43" s="445"/>
      <c r="I43" s="445"/>
      <c r="J43" s="445"/>
      <c r="K43" s="445"/>
      <c r="L43" s="445"/>
      <c r="M43" s="445"/>
      <c r="N43" s="445"/>
      <c r="O43" s="445"/>
      <c r="P43" s="444"/>
      <c r="Q43" s="444"/>
      <c r="R43" s="444"/>
      <c r="S43" s="444"/>
      <c r="T43" s="444"/>
      <c r="U43" s="442"/>
      <c r="V43" s="442"/>
      <c r="W43" s="442"/>
      <c r="X43" s="442"/>
      <c r="Y43" s="442"/>
      <c r="Z43" s="443"/>
      <c r="AA43" s="442"/>
      <c r="AB43" s="442"/>
      <c r="AC43" s="442"/>
      <c r="AD43" s="435"/>
      <c r="AE43" s="435"/>
      <c r="AF43" s="435"/>
      <c r="AG43" s="435"/>
    </row>
    <row r="44" spans="2:33" ht="1.5" customHeight="1">
      <c r="C44" s="440"/>
      <c r="D44" s="441"/>
      <c r="E44" s="441"/>
      <c r="F44" s="439"/>
      <c r="G44" s="439"/>
      <c r="H44" s="439"/>
      <c r="I44" s="439"/>
      <c r="J44" s="439"/>
      <c r="K44" s="439"/>
      <c r="L44" s="439"/>
      <c r="M44" s="439"/>
      <c r="N44" s="439"/>
      <c r="O44" s="439"/>
      <c r="P44" s="439"/>
      <c r="Q44" s="439"/>
      <c r="R44" s="439"/>
      <c r="S44" s="439"/>
      <c r="T44" s="439"/>
      <c r="U44" s="439"/>
      <c r="V44" s="439"/>
      <c r="W44" s="439"/>
      <c r="X44" s="439"/>
      <c r="Y44" s="439"/>
      <c r="Z44" s="440"/>
      <c r="AA44" s="439"/>
      <c r="AB44" s="439"/>
      <c r="AC44" s="439"/>
      <c r="AD44" s="439"/>
      <c r="AE44" s="439"/>
      <c r="AF44" s="439"/>
      <c r="AG44" s="439"/>
    </row>
    <row r="45" spans="2:33" ht="1.5" customHeight="1">
      <c r="C45" s="440"/>
      <c r="D45" s="441"/>
      <c r="E45" s="441"/>
      <c r="F45" s="439"/>
      <c r="G45" s="439"/>
      <c r="H45" s="439"/>
      <c r="I45" s="439"/>
      <c r="J45" s="439"/>
      <c r="K45" s="439"/>
      <c r="L45" s="439"/>
      <c r="M45" s="439"/>
      <c r="N45" s="439"/>
      <c r="O45" s="439"/>
      <c r="P45" s="439"/>
      <c r="Q45" s="439"/>
      <c r="R45" s="439"/>
      <c r="S45" s="439"/>
      <c r="T45" s="439"/>
      <c r="U45" s="439"/>
      <c r="V45" s="439"/>
      <c r="W45" s="439"/>
      <c r="X45" s="439"/>
      <c r="Y45" s="439"/>
      <c r="Z45" s="440"/>
      <c r="AA45" s="439"/>
      <c r="AB45" s="439"/>
      <c r="AC45" s="439"/>
      <c r="AD45" s="439"/>
      <c r="AE45" s="439"/>
      <c r="AF45" s="439"/>
      <c r="AG45" s="439"/>
    </row>
    <row r="46" spans="2:33" ht="1.5" customHeight="1">
      <c r="C46" s="423"/>
    </row>
    <row r="47" spans="2:33" ht="1.5" customHeight="1">
      <c r="C47" s="423"/>
    </row>
    <row r="48" spans="2:33" ht="18.75" customHeight="1" thickBot="1">
      <c r="B48" s="434" t="s">
        <v>383</v>
      </c>
      <c r="C48" s="432"/>
      <c r="D48" s="432"/>
      <c r="E48" s="432"/>
      <c r="F48" s="432"/>
      <c r="G48" s="432"/>
      <c r="H48" s="432"/>
      <c r="I48" s="432"/>
      <c r="J48" s="432"/>
      <c r="K48" s="433"/>
      <c r="L48" s="433"/>
      <c r="M48" s="433"/>
      <c r="N48" s="432"/>
      <c r="O48" s="432"/>
      <c r="P48" s="432"/>
      <c r="Q48" s="432"/>
      <c r="R48" s="438"/>
      <c r="S48" s="432"/>
      <c r="T48" s="432"/>
      <c r="U48" s="433"/>
    </row>
    <row r="49" spans="2:21" ht="18.75" customHeight="1">
      <c r="B49" s="434"/>
      <c r="C49" s="832" t="s">
        <v>382</v>
      </c>
      <c r="D49" s="834"/>
      <c r="E49" s="834"/>
      <c r="F49" s="834"/>
      <c r="G49" s="834"/>
      <c r="H49" s="834"/>
      <c r="I49" s="834"/>
      <c r="J49" s="834"/>
      <c r="K49" s="834"/>
      <c r="L49" s="834"/>
      <c r="M49" s="834"/>
      <c r="N49" s="834"/>
      <c r="O49" s="834"/>
      <c r="P49" s="835"/>
      <c r="Q49" s="432"/>
      <c r="R49" s="432"/>
      <c r="S49" s="432"/>
      <c r="T49" s="432"/>
      <c r="U49" s="433"/>
    </row>
    <row r="50" spans="2:21" ht="24" customHeight="1">
      <c r="B50" s="434"/>
      <c r="C50" s="836"/>
      <c r="D50" s="837"/>
      <c r="E50" s="837"/>
      <c r="F50" s="837"/>
      <c r="G50" s="837"/>
      <c r="H50" s="837"/>
      <c r="I50" s="837"/>
      <c r="J50" s="837"/>
      <c r="K50" s="837"/>
      <c r="L50" s="837"/>
      <c r="M50" s="837"/>
      <c r="N50" s="837"/>
      <c r="O50" s="837"/>
      <c r="P50" s="838"/>
      <c r="Q50" s="432"/>
      <c r="R50" s="432"/>
      <c r="S50" s="432"/>
      <c r="T50" s="432"/>
      <c r="U50" s="433"/>
    </row>
    <row r="51" spans="2:21" ht="18.75" customHeight="1" thickBot="1">
      <c r="B51" s="434"/>
      <c r="C51" s="830" t="str">
        <f>IF('0_基本情報'!$D$23='【リスト】 (2)'!$C$2,"適","否")</f>
        <v>否</v>
      </c>
      <c r="D51" s="830"/>
      <c r="E51" s="830"/>
      <c r="F51" s="831">
        <f>IF(C51="適",加算率b,0)</f>
        <v>0</v>
      </c>
      <c r="G51" s="831"/>
      <c r="H51" s="831"/>
      <c r="I51" s="831"/>
      <c r="J51" s="831"/>
      <c r="K51" s="831"/>
      <c r="L51" s="720" t="s">
        <v>381</v>
      </c>
      <c r="M51" s="719"/>
      <c r="N51" s="719"/>
      <c r="O51" s="719"/>
      <c r="P51" s="718"/>
      <c r="Q51" s="432"/>
      <c r="R51" s="432"/>
      <c r="S51" s="432"/>
      <c r="T51" s="432"/>
      <c r="U51" s="433"/>
    </row>
    <row r="52" spans="2:21" ht="18.75" customHeight="1">
      <c r="B52" s="434"/>
      <c r="C52" s="436" t="s">
        <v>380</v>
      </c>
      <c r="D52" s="422" t="s">
        <v>379</v>
      </c>
      <c r="E52" s="435"/>
      <c r="F52" s="435"/>
      <c r="G52" s="432"/>
      <c r="H52" s="432"/>
      <c r="I52" s="432"/>
      <c r="J52" s="432"/>
      <c r="K52" s="433"/>
      <c r="L52" s="433"/>
      <c r="M52" s="433"/>
      <c r="N52" s="432"/>
      <c r="O52" s="432"/>
      <c r="P52" s="432"/>
      <c r="Q52" s="432"/>
      <c r="R52" s="432"/>
      <c r="S52" s="432"/>
      <c r="T52" s="432"/>
      <c r="U52" s="433"/>
    </row>
    <row r="53" spans="2:21" ht="18.75" customHeight="1">
      <c r="B53" s="434"/>
      <c r="C53" s="436"/>
      <c r="D53" s="422"/>
      <c r="E53" s="435"/>
      <c r="F53" s="435"/>
      <c r="G53" s="432"/>
      <c r="H53" s="432"/>
      <c r="I53" s="432"/>
      <c r="J53" s="432"/>
      <c r="K53" s="433"/>
      <c r="L53" s="433"/>
      <c r="M53" s="433"/>
      <c r="N53" s="432"/>
      <c r="O53" s="432"/>
      <c r="P53" s="432"/>
      <c r="Q53" s="432"/>
      <c r="R53" s="432"/>
      <c r="S53" s="432"/>
      <c r="T53" s="432"/>
      <c r="U53" s="433"/>
    </row>
    <row r="54" spans="2:21" ht="18.75" customHeight="1">
      <c r="B54" s="434"/>
      <c r="C54" s="436"/>
      <c r="D54" s="422"/>
      <c r="E54" s="435"/>
      <c r="F54" s="435"/>
      <c r="G54" s="432"/>
      <c r="H54" s="432"/>
      <c r="I54" s="432"/>
      <c r="J54" s="432"/>
      <c r="K54" s="433"/>
      <c r="L54" s="433"/>
      <c r="M54" s="433"/>
      <c r="N54" s="432"/>
      <c r="O54" s="432"/>
      <c r="P54" s="432"/>
      <c r="Q54" s="432"/>
      <c r="R54" s="432"/>
      <c r="S54" s="432"/>
      <c r="T54" s="432"/>
      <c r="U54" s="433"/>
    </row>
  </sheetData>
  <sheetProtection algorithmName="SHA-512" hashValue="7D4JeyrcBHK4r/mdMrF7mCzqBLZ85sS2jdiWFjTiF9DE4uWrNMVQse47iIHVUYNaGKCq4PULNBDuJBzdaoaGmQ==" saltValue="Edr5jjaAUY8gdkzeFA6YiQ==" spinCount="100000" sheet="1" insertRows="0"/>
  <mergeCells count="16">
    <mergeCell ref="C51:E51"/>
    <mergeCell ref="F51:K51"/>
    <mergeCell ref="C15:L16"/>
    <mergeCell ref="C17:E17"/>
    <mergeCell ref="F17:K17"/>
    <mergeCell ref="C49:P50"/>
    <mergeCell ref="B2:AG2"/>
    <mergeCell ref="F5:L5"/>
    <mergeCell ref="O7:T7"/>
    <mergeCell ref="U7:AG7"/>
    <mergeCell ref="U10:AG10"/>
    <mergeCell ref="O8:T8"/>
    <mergeCell ref="U8:AG8"/>
    <mergeCell ref="O9:T9"/>
    <mergeCell ref="U9:AG9"/>
    <mergeCell ref="O10:T10"/>
  </mergeCells>
  <phoneticPr fontId="4"/>
  <dataValidations count="1">
    <dataValidation type="list" allowBlank="1" showInputMessage="1" showErrorMessage="1" sqref="C17:E17 C51:E51" xr:uid="{E02821F2-C733-4BB4-9001-634D7F17A89C}">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28C4-90A0-4D91-8D6B-A71692E942AD}">
  <sheetPr>
    <pageSetUpPr fitToPage="1"/>
  </sheetPr>
  <dimension ref="B1:AM29"/>
  <sheetViews>
    <sheetView showGridLines="0" view="pageBreakPreview" zoomScale="85" zoomScaleNormal="100" zoomScaleSheetLayoutView="85" workbookViewId="0">
      <selection activeCell="L21" sqref="L21:AH21"/>
    </sheetView>
  </sheetViews>
  <sheetFormatPr defaultColWidth="9" defaultRowHeight="18" customHeight="1"/>
  <cols>
    <col min="1" max="1" width="2.5" style="420" customWidth="1"/>
    <col min="2" max="34" width="3" style="420" customWidth="1"/>
    <col min="35" max="35" width="2.5" style="420" customWidth="1"/>
    <col min="36" max="38" width="3" style="420" customWidth="1"/>
    <col min="39" max="39" width="13" style="420" hidden="1" customWidth="1"/>
    <col min="40" max="47" width="3" style="420" customWidth="1"/>
    <col min="48" max="16384" width="9" style="420"/>
  </cols>
  <sheetData>
    <row r="1" spans="2:34" ht="18" customHeight="1">
      <c r="B1" s="458" t="s">
        <v>421</v>
      </c>
    </row>
    <row r="2" spans="2:34" ht="18" customHeight="1">
      <c r="B2" s="819" t="str">
        <f>様式1!$AQ$1&amp;様式1!$AQ$2&amp;"年度キャリアパス要件届出書"</f>
        <v>令和８年度キャリアパス要件届出書</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row>
    <row r="3" spans="2:34" ht="18" customHeight="1">
      <c r="B3" s="845" t="s">
        <v>420</v>
      </c>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row>
    <row r="4" spans="2:34" ht="18" customHeight="1">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row>
    <row r="5" spans="2:34" ht="18" customHeight="1">
      <c r="F5" s="452"/>
      <c r="G5" s="452"/>
      <c r="M5" s="452"/>
      <c r="N5" s="452"/>
      <c r="O5" s="452"/>
    </row>
    <row r="6" spans="2:34" ht="17.25" customHeight="1">
      <c r="F6" s="820" t="s">
        <v>394</v>
      </c>
      <c r="G6" s="820"/>
      <c r="H6" s="820"/>
      <c r="I6" s="820"/>
      <c r="J6" s="820"/>
      <c r="K6" s="820"/>
      <c r="L6" s="820"/>
      <c r="M6" s="452"/>
      <c r="N6" s="452"/>
      <c r="O6" s="452"/>
    </row>
    <row r="7" spans="2:34" ht="17.25" customHeight="1" thickBot="1">
      <c r="F7" s="452"/>
      <c r="G7" s="452"/>
      <c r="H7" s="452"/>
      <c r="I7" s="452"/>
      <c r="J7" s="452"/>
      <c r="K7" s="452"/>
      <c r="L7" s="452"/>
      <c r="M7" s="452"/>
      <c r="N7" s="452"/>
      <c r="O7" s="452"/>
      <c r="V7" s="453"/>
      <c r="W7" s="453"/>
      <c r="X7" s="453"/>
      <c r="Y7" s="453"/>
      <c r="Z7" s="453"/>
      <c r="AA7" s="453"/>
      <c r="AB7" s="453"/>
      <c r="AC7" s="453"/>
      <c r="AD7" s="453"/>
      <c r="AE7" s="453"/>
      <c r="AF7" s="453"/>
      <c r="AG7" s="453"/>
      <c r="AH7" s="453"/>
    </row>
    <row r="8" spans="2:34" ht="17.25" customHeight="1">
      <c r="D8" s="452"/>
      <c r="E8" s="452"/>
      <c r="F8" s="452"/>
      <c r="G8" s="452"/>
      <c r="H8" s="452"/>
      <c r="I8" s="452"/>
      <c r="J8" s="452"/>
      <c r="K8" s="452"/>
      <c r="L8" s="452"/>
      <c r="M8" s="452"/>
      <c r="N8" s="452"/>
      <c r="P8" s="821" t="s">
        <v>393</v>
      </c>
      <c r="Q8" s="880"/>
      <c r="R8" s="880"/>
      <c r="S8" s="880"/>
      <c r="T8" s="880"/>
      <c r="U8" s="880"/>
      <c r="V8" s="881" t="str">
        <f>様式1!U7</f>
        <v>京都市</v>
      </c>
      <c r="W8" s="882"/>
      <c r="X8" s="882"/>
      <c r="Y8" s="882"/>
      <c r="Z8" s="882"/>
      <c r="AA8" s="882"/>
      <c r="AB8" s="882"/>
      <c r="AC8" s="882"/>
      <c r="AD8" s="882"/>
      <c r="AE8" s="882"/>
      <c r="AF8" s="882"/>
      <c r="AG8" s="882"/>
      <c r="AH8" s="883"/>
    </row>
    <row r="9" spans="2:34" ht="17.25" customHeight="1">
      <c r="D9" s="452"/>
      <c r="E9" s="452"/>
      <c r="F9" s="452"/>
      <c r="G9" s="452"/>
      <c r="H9" s="452"/>
      <c r="I9" s="452"/>
      <c r="J9" s="452"/>
      <c r="K9" s="452"/>
      <c r="L9" s="452"/>
      <c r="M9" s="452"/>
      <c r="N9" s="452"/>
      <c r="P9" s="826" t="s">
        <v>391</v>
      </c>
      <c r="Q9" s="846"/>
      <c r="R9" s="846"/>
      <c r="S9" s="846"/>
      <c r="T9" s="846"/>
      <c r="U9" s="846"/>
      <c r="V9" s="852">
        <f>様式1!U8</f>
        <v>0</v>
      </c>
      <c r="W9" s="853"/>
      <c r="X9" s="853"/>
      <c r="Y9" s="853"/>
      <c r="Z9" s="853"/>
      <c r="AA9" s="853"/>
      <c r="AB9" s="853"/>
      <c r="AC9" s="853"/>
      <c r="AD9" s="853"/>
      <c r="AE9" s="853"/>
      <c r="AF9" s="853"/>
      <c r="AG9" s="853"/>
      <c r="AH9" s="854"/>
    </row>
    <row r="10" spans="2:34" ht="17.25" customHeight="1">
      <c r="D10" s="452"/>
      <c r="E10" s="452"/>
      <c r="F10" s="452"/>
      <c r="G10" s="452"/>
      <c r="H10" s="452"/>
      <c r="I10" s="452"/>
      <c r="J10" s="452"/>
      <c r="K10" s="452"/>
      <c r="L10" s="452"/>
      <c r="M10" s="452"/>
      <c r="N10" s="452"/>
      <c r="P10" s="826" t="s">
        <v>390</v>
      </c>
      <c r="Q10" s="846"/>
      <c r="R10" s="846"/>
      <c r="S10" s="846"/>
      <c r="T10" s="846"/>
      <c r="U10" s="846"/>
      <c r="V10" s="852">
        <f>様式1!U9</f>
        <v>0</v>
      </c>
      <c r="W10" s="853"/>
      <c r="X10" s="853"/>
      <c r="Y10" s="853"/>
      <c r="Z10" s="853"/>
      <c r="AA10" s="853"/>
      <c r="AB10" s="853"/>
      <c r="AC10" s="853"/>
      <c r="AD10" s="853"/>
      <c r="AE10" s="853"/>
      <c r="AF10" s="853"/>
      <c r="AG10" s="853"/>
      <c r="AH10" s="854"/>
    </row>
    <row r="11" spans="2:34" ht="17.25" customHeight="1" thickBot="1">
      <c r="D11" s="452"/>
      <c r="E11" s="452"/>
      <c r="F11" s="452"/>
      <c r="G11" s="452"/>
      <c r="H11" s="452"/>
      <c r="I11" s="452"/>
      <c r="J11" s="452"/>
      <c r="K11" s="452"/>
      <c r="L11" s="452"/>
      <c r="M11" s="452"/>
      <c r="N11" s="452"/>
      <c r="O11" s="452"/>
      <c r="P11" s="829" t="s">
        <v>419</v>
      </c>
      <c r="Q11" s="855"/>
      <c r="R11" s="855"/>
      <c r="S11" s="855"/>
      <c r="T11" s="855"/>
      <c r="U11" s="855"/>
      <c r="V11" s="849">
        <f>様式1!U10</f>
        <v>0</v>
      </c>
      <c r="W11" s="850"/>
      <c r="X11" s="850"/>
      <c r="Y11" s="850"/>
      <c r="Z11" s="850"/>
      <c r="AA11" s="850"/>
      <c r="AB11" s="850"/>
      <c r="AC11" s="850"/>
      <c r="AD11" s="850"/>
      <c r="AE11" s="850"/>
      <c r="AF11" s="850"/>
      <c r="AG11" s="850"/>
      <c r="AH11" s="851"/>
    </row>
    <row r="12" spans="2:34" ht="18" customHeight="1">
      <c r="R12" s="425"/>
      <c r="S12" s="425"/>
      <c r="T12" s="425"/>
      <c r="U12" s="425"/>
      <c r="V12" s="425"/>
      <c r="W12" s="425"/>
      <c r="X12" s="425"/>
      <c r="Y12" s="425"/>
    </row>
    <row r="13" spans="2:34" ht="21.75" customHeight="1">
      <c r="B13" s="420" t="s">
        <v>418</v>
      </c>
    </row>
    <row r="14" spans="2:34" ht="9" customHeight="1"/>
    <row r="15" spans="2:34" ht="18.75" customHeight="1" thickBot="1"/>
    <row r="16" spans="2:34" ht="24" customHeight="1">
      <c r="C16" s="862" t="s">
        <v>417</v>
      </c>
      <c r="D16" s="465" t="s">
        <v>416</v>
      </c>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721"/>
      <c r="AC16" s="721"/>
      <c r="AD16" s="721"/>
      <c r="AE16" s="721"/>
      <c r="AF16" s="721"/>
      <c r="AG16" s="721"/>
      <c r="AH16" s="722"/>
    </row>
    <row r="17" spans="3:39" ht="17.25" customHeight="1">
      <c r="C17" s="863"/>
      <c r="D17" s="464" t="s">
        <v>415</v>
      </c>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35"/>
      <c r="AC17" s="435"/>
      <c r="AD17" s="435"/>
      <c r="AE17" s="435"/>
      <c r="AF17" s="435"/>
      <c r="AG17" s="435"/>
      <c r="AH17" s="723"/>
    </row>
    <row r="18" spans="3:39" ht="18" customHeight="1">
      <c r="C18" s="863"/>
      <c r="D18" s="450" t="s">
        <v>414</v>
      </c>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725"/>
      <c r="AC18" s="725"/>
      <c r="AD18" s="725"/>
      <c r="AE18" s="725"/>
      <c r="AF18" s="725"/>
      <c r="AG18" s="725"/>
      <c r="AH18" s="724"/>
      <c r="AM18" s="420" t="s">
        <v>413</v>
      </c>
    </row>
    <row r="19" spans="3:39" ht="18" customHeight="1" thickBot="1">
      <c r="C19" s="864"/>
      <c r="D19" s="462" t="s">
        <v>412</v>
      </c>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80"/>
      <c r="AM19" s="420" t="s">
        <v>411</v>
      </c>
    </row>
    <row r="20" spans="3:39" ht="24" customHeight="1">
      <c r="C20" s="865" t="s">
        <v>410</v>
      </c>
      <c r="D20" s="876" t="s">
        <v>409</v>
      </c>
      <c r="E20" s="877"/>
      <c r="F20" s="877"/>
      <c r="G20" s="877"/>
      <c r="H20" s="877"/>
      <c r="I20" s="877"/>
      <c r="J20" s="877"/>
      <c r="K20" s="877"/>
      <c r="L20" s="877"/>
      <c r="M20" s="877"/>
      <c r="N20" s="877"/>
      <c r="O20" s="877"/>
      <c r="P20" s="877"/>
      <c r="Q20" s="877"/>
      <c r="R20" s="877"/>
      <c r="S20" s="877"/>
      <c r="T20" s="877"/>
      <c r="U20" s="877"/>
      <c r="V20" s="877"/>
      <c r="W20" s="877"/>
      <c r="X20" s="877"/>
      <c r="Y20" s="877"/>
      <c r="Z20" s="877"/>
      <c r="AA20" s="877"/>
      <c r="AB20" s="726"/>
      <c r="AC20" s="726"/>
      <c r="AD20" s="726"/>
      <c r="AE20" s="726"/>
      <c r="AF20" s="726"/>
      <c r="AG20" s="726"/>
      <c r="AH20" s="727"/>
    </row>
    <row r="21" spans="3:39" ht="47.25" customHeight="1">
      <c r="C21" s="866"/>
      <c r="D21" s="460" t="s">
        <v>408</v>
      </c>
      <c r="E21" s="861" t="s">
        <v>407</v>
      </c>
      <c r="F21" s="861"/>
      <c r="G21" s="861"/>
      <c r="H21" s="861"/>
      <c r="I21" s="861"/>
      <c r="J21" s="861"/>
      <c r="K21" s="861"/>
      <c r="L21" s="857"/>
      <c r="M21" s="858"/>
      <c r="N21" s="858"/>
      <c r="O21" s="858"/>
      <c r="P21" s="858"/>
      <c r="Q21" s="858"/>
      <c r="R21" s="858"/>
      <c r="S21" s="858"/>
      <c r="T21" s="858"/>
      <c r="U21" s="858"/>
      <c r="V21" s="858"/>
      <c r="W21" s="858"/>
      <c r="X21" s="858"/>
      <c r="Y21" s="858"/>
      <c r="Z21" s="858"/>
      <c r="AA21" s="858"/>
      <c r="AB21" s="858"/>
      <c r="AC21" s="858"/>
      <c r="AD21" s="858"/>
      <c r="AE21" s="858"/>
      <c r="AF21" s="858"/>
      <c r="AG21" s="858"/>
      <c r="AH21" s="859"/>
    </row>
    <row r="22" spans="3:39" ht="30" customHeight="1">
      <c r="C22" s="866"/>
      <c r="D22" s="874" t="s">
        <v>406</v>
      </c>
      <c r="E22" s="872" t="s">
        <v>405</v>
      </c>
      <c r="F22" s="872"/>
      <c r="G22" s="872"/>
      <c r="H22" s="872"/>
      <c r="I22" s="872"/>
      <c r="J22" s="872"/>
      <c r="K22" s="872"/>
      <c r="L22" s="459" t="s">
        <v>404</v>
      </c>
      <c r="M22" s="868" t="s">
        <v>403</v>
      </c>
      <c r="N22" s="868"/>
      <c r="O22" s="868"/>
      <c r="P22" s="868"/>
      <c r="Q22" s="868"/>
      <c r="R22" s="868"/>
      <c r="S22" s="868"/>
      <c r="T22" s="868"/>
      <c r="U22" s="868"/>
      <c r="V22" s="868"/>
      <c r="W22" s="868"/>
      <c r="X22" s="868"/>
      <c r="Y22" s="868"/>
      <c r="Z22" s="868"/>
      <c r="AA22" s="868"/>
      <c r="AB22" s="868"/>
      <c r="AC22" s="868"/>
      <c r="AD22" s="868"/>
      <c r="AE22" s="868"/>
      <c r="AF22" s="868"/>
      <c r="AG22" s="868"/>
      <c r="AH22" s="869"/>
    </row>
    <row r="23" spans="3:39" ht="18" customHeight="1">
      <c r="C23" s="866"/>
      <c r="D23" s="874"/>
      <c r="E23" s="872"/>
      <c r="F23" s="872"/>
      <c r="G23" s="872"/>
      <c r="H23" s="872"/>
      <c r="I23" s="872"/>
      <c r="J23" s="872"/>
      <c r="K23" s="872"/>
      <c r="L23" s="878" t="s">
        <v>402</v>
      </c>
      <c r="M23" s="841" t="s">
        <v>401</v>
      </c>
      <c r="N23" s="842"/>
      <c r="O23" s="842"/>
      <c r="P23" s="842"/>
      <c r="Q23" s="842"/>
      <c r="R23" s="842"/>
      <c r="S23" s="842"/>
      <c r="T23" s="842"/>
      <c r="U23" s="842"/>
      <c r="V23" s="842"/>
      <c r="W23" s="842"/>
      <c r="X23" s="842"/>
      <c r="Y23" s="842"/>
      <c r="Z23" s="842"/>
      <c r="AA23" s="842"/>
      <c r="AB23" s="842"/>
      <c r="AC23" s="842"/>
      <c r="AD23" s="842"/>
      <c r="AE23" s="842"/>
      <c r="AF23" s="842"/>
      <c r="AG23" s="842"/>
      <c r="AH23" s="843"/>
    </row>
    <row r="24" spans="3:39" ht="47.25" customHeight="1" thickBot="1">
      <c r="C24" s="867"/>
      <c r="D24" s="875"/>
      <c r="E24" s="873"/>
      <c r="F24" s="873"/>
      <c r="G24" s="873"/>
      <c r="H24" s="873"/>
      <c r="I24" s="873"/>
      <c r="J24" s="873"/>
      <c r="K24" s="873"/>
      <c r="L24" s="879"/>
      <c r="M24" s="870"/>
      <c r="N24" s="870"/>
      <c r="O24" s="870"/>
      <c r="P24" s="870"/>
      <c r="Q24" s="870"/>
      <c r="R24" s="870"/>
      <c r="S24" s="870"/>
      <c r="T24" s="870"/>
      <c r="U24" s="870"/>
      <c r="V24" s="870"/>
      <c r="W24" s="870"/>
      <c r="X24" s="870"/>
      <c r="Y24" s="870"/>
      <c r="Z24" s="870"/>
      <c r="AA24" s="870"/>
      <c r="AB24" s="870"/>
      <c r="AC24" s="870"/>
      <c r="AD24" s="870"/>
      <c r="AE24" s="870"/>
      <c r="AF24" s="870"/>
      <c r="AG24" s="870"/>
      <c r="AH24" s="871"/>
    </row>
    <row r="25" spans="3:39" ht="18" customHeight="1">
      <c r="C25" s="420" t="s">
        <v>400</v>
      </c>
    </row>
    <row r="27" spans="3:39" ht="18" customHeight="1">
      <c r="Q27" s="856" t="s">
        <v>732</v>
      </c>
      <c r="R27" s="856"/>
      <c r="S27" s="856"/>
      <c r="T27" s="856"/>
      <c r="U27" s="856"/>
      <c r="V27" s="856"/>
      <c r="W27" s="856"/>
      <c r="X27" s="856"/>
      <c r="Y27" s="844"/>
      <c r="Z27" s="845"/>
      <c r="AA27" s="845"/>
      <c r="AB27" s="845"/>
      <c r="AC27" s="845"/>
      <c r="AD27" s="845"/>
      <c r="AE27" s="845"/>
      <c r="AF27" s="845"/>
      <c r="AG27" s="845"/>
      <c r="AH27" s="845"/>
    </row>
    <row r="28" spans="3:39" ht="18" customHeight="1">
      <c r="S28" s="847" t="s">
        <v>398</v>
      </c>
      <c r="T28" s="847"/>
      <c r="U28" s="847"/>
      <c r="V28" s="847"/>
      <c r="W28" s="847"/>
      <c r="X28" s="847"/>
      <c r="Y28" s="848"/>
      <c r="Z28" s="848"/>
      <c r="AA28" s="848"/>
      <c r="AB28" s="848"/>
      <c r="AC28" s="848"/>
      <c r="AD28" s="848"/>
      <c r="AE28" s="848"/>
      <c r="AF28" s="848"/>
      <c r="AG28" s="848"/>
      <c r="AH28" s="848"/>
    </row>
    <row r="29" spans="3:39" ht="18" customHeight="1">
      <c r="S29" s="839" t="s">
        <v>397</v>
      </c>
      <c r="T29" s="839"/>
      <c r="U29" s="839"/>
      <c r="V29" s="839"/>
      <c r="W29" s="839"/>
      <c r="X29" s="839"/>
      <c r="Y29" s="840"/>
      <c r="Z29" s="840"/>
      <c r="AA29" s="840"/>
      <c r="AB29" s="840"/>
      <c r="AC29" s="840"/>
      <c r="AD29" s="840"/>
      <c r="AE29" s="840"/>
      <c r="AF29" s="840"/>
      <c r="AG29" s="840"/>
      <c r="AH29" s="840"/>
    </row>
  </sheetData>
  <sheetProtection algorithmName="SHA-512" hashValue="49gDYLQTV3DefHGJEyEXiFfCtuULy4OlV/fpnP9YHtFr4ESnlA8KYFJkUazXCX9ky/O42eBSMh8k8eyZQwvDLw==" saltValue="FkesoW8rmCuqpd7WNyyu4Q==" spinCount="100000" sheet="1" insertRows="0"/>
  <mergeCells count="28">
    <mergeCell ref="B3:AH3"/>
    <mergeCell ref="B2:AH2"/>
    <mergeCell ref="E21:K21"/>
    <mergeCell ref="C16:C19"/>
    <mergeCell ref="C20:C24"/>
    <mergeCell ref="M22:AH22"/>
    <mergeCell ref="M24:AH24"/>
    <mergeCell ref="E22:K24"/>
    <mergeCell ref="D22:D24"/>
    <mergeCell ref="D20:AA20"/>
    <mergeCell ref="F6:L6"/>
    <mergeCell ref="L23:L24"/>
    <mergeCell ref="P8:U8"/>
    <mergeCell ref="V8:AH8"/>
    <mergeCell ref="S29:X29"/>
    <mergeCell ref="Y29:AH29"/>
    <mergeCell ref="M23:AH23"/>
    <mergeCell ref="Y27:AH27"/>
    <mergeCell ref="P9:U9"/>
    <mergeCell ref="S28:X28"/>
    <mergeCell ref="Y28:AH28"/>
    <mergeCell ref="V11:AH11"/>
    <mergeCell ref="V9:AH9"/>
    <mergeCell ref="P11:U11"/>
    <mergeCell ref="P10:U10"/>
    <mergeCell ref="V10:AH10"/>
    <mergeCell ref="Q27:X27"/>
    <mergeCell ref="L21:AH21"/>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A68F-110B-4697-B4BE-97980E73F69B}">
  <sheetPr>
    <pageSetUpPr fitToPage="1"/>
  </sheetPr>
  <dimension ref="A1:AN103"/>
  <sheetViews>
    <sheetView showGridLines="0" view="pageBreakPreview" zoomScale="85" zoomScaleNormal="100" zoomScaleSheetLayoutView="85" workbookViewId="0">
      <selection activeCell="AA21" sqref="AA21:AG22"/>
    </sheetView>
  </sheetViews>
  <sheetFormatPr defaultColWidth="9" defaultRowHeight="18" customHeight="1"/>
  <cols>
    <col min="1" max="1" width="1.375" style="420" customWidth="1"/>
    <col min="2" max="23" width="3" style="420" customWidth="1"/>
    <col min="24" max="24" width="3.875" style="420" customWidth="1"/>
    <col min="25" max="33" width="3" style="420" customWidth="1"/>
    <col min="34" max="34" width="1.375" style="420" customWidth="1"/>
    <col min="35" max="36" width="3.375" style="420" customWidth="1"/>
    <col min="37" max="37" width="3.375" style="420" hidden="1" customWidth="1"/>
    <col min="38" max="38" width="7.5" style="420" hidden="1" customWidth="1"/>
    <col min="39" max="52" width="3.375" style="420" customWidth="1"/>
    <col min="53" max="16384" width="9" style="420"/>
  </cols>
  <sheetData>
    <row r="1" spans="2:40" ht="12.75" customHeight="1">
      <c r="R1" s="489"/>
      <c r="AK1" s="420" t="s">
        <v>465</v>
      </c>
      <c r="AL1" s="420" t="s">
        <v>464</v>
      </c>
    </row>
    <row r="2" spans="2:40" ht="18" customHeight="1">
      <c r="B2" s="458" t="s">
        <v>463</v>
      </c>
      <c r="AL2" s="420" t="s">
        <v>462</v>
      </c>
    </row>
    <row r="3" spans="2:40" ht="18" customHeight="1">
      <c r="B3" s="899" t="str">
        <f>様式1!$AQ$1&amp;様式1!$AQ$2&amp;"年度加算算定対象人数等認定申請書（区分３（質の向上分））"</f>
        <v>令和８年度加算算定対象人数等認定申請書（区分３（質の向上分））</v>
      </c>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row>
    <row r="4" spans="2:40" ht="18" customHeight="1">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row>
    <row r="5" spans="2:40" ht="17.25" customHeight="1">
      <c r="E5" s="452"/>
      <c r="F5" s="452"/>
      <c r="L5" s="452"/>
      <c r="M5" s="452"/>
      <c r="N5" s="452"/>
      <c r="O5" s="452"/>
    </row>
    <row r="6" spans="2:40" ht="17.25" customHeight="1">
      <c r="E6" s="820" t="s">
        <v>394</v>
      </c>
      <c r="F6" s="820"/>
      <c r="G6" s="820"/>
      <c r="H6" s="820"/>
      <c r="I6" s="820"/>
      <c r="J6" s="820"/>
      <c r="K6" s="820"/>
      <c r="L6" s="452"/>
      <c r="M6" s="452"/>
      <c r="N6" s="452"/>
    </row>
    <row r="7" spans="2:40" ht="17.25" customHeight="1" thickBot="1">
      <c r="E7" s="452"/>
      <c r="F7" s="452"/>
      <c r="G7" s="452"/>
      <c r="H7" s="452"/>
      <c r="I7" s="452"/>
      <c r="J7" s="452"/>
      <c r="K7" s="452"/>
      <c r="L7" s="452"/>
      <c r="M7" s="452"/>
      <c r="N7" s="452"/>
      <c r="O7" s="452"/>
      <c r="U7" s="453"/>
      <c r="V7" s="453"/>
      <c r="W7" s="453"/>
      <c r="X7" s="453"/>
      <c r="Y7" s="453"/>
      <c r="Z7" s="453"/>
      <c r="AA7" s="453"/>
      <c r="AB7" s="453"/>
      <c r="AC7" s="453"/>
      <c r="AD7" s="453"/>
      <c r="AE7" s="453"/>
      <c r="AF7" s="453"/>
      <c r="AG7" s="453"/>
    </row>
    <row r="8" spans="2:40" ht="17.25" customHeight="1">
      <c r="E8" s="452"/>
      <c r="F8" s="452"/>
      <c r="N8" s="452"/>
      <c r="O8" s="821" t="s">
        <v>393</v>
      </c>
      <c r="P8" s="880"/>
      <c r="Q8" s="880"/>
      <c r="R8" s="880"/>
      <c r="S8" s="880"/>
      <c r="T8" s="880"/>
      <c r="U8" s="900" t="str">
        <f>様式1!U7</f>
        <v>京都市</v>
      </c>
      <c r="V8" s="900"/>
      <c r="W8" s="900"/>
      <c r="X8" s="900"/>
      <c r="Y8" s="900"/>
      <c r="Z8" s="900"/>
      <c r="AA8" s="900"/>
      <c r="AB8" s="900"/>
      <c r="AC8" s="900"/>
      <c r="AD8" s="900"/>
      <c r="AE8" s="900"/>
      <c r="AF8" s="900"/>
      <c r="AG8" s="901"/>
    </row>
    <row r="9" spans="2:40" ht="17.25" customHeight="1">
      <c r="E9" s="452"/>
      <c r="F9" s="452"/>
      <c r="N9" s="452"/>
      <c r="O9" s="826" t="s">
        <v>391</v>
      </c>
      <c r="P9" s="846"/>
      <c r="Q9" s="846"/>
      <c r="R9" s="846"/>
      <c r="S9" s="846"/>
      <c r="T9" s="846"/>
      <c r="U9" s="902">
        <f>様式1!U8</f>
        <v>0</v>
      </c>
      <c r="V9" s="902"/>
      <c r="W9" s="902"/>
      <c r="X9" s="902"/>
      <c r="Y9" s="902"/>
      <c r="Z9" s="902"/>
      <c r="AA9" s="902"/>
      <c r="AB9" s="902"/>
      <c r="AC9" s="902"/>
      <c r="AD9" s="902"/>
      <c r="AE9" s="902"/>
      <c r="AF9" s="902"/>
      <c r="AG9" s="903"/>
    </row>
    <row r="10" spans="2:40" ht="17.25" customHeight="1">
      <c r="E10" s="452"/>
      <c r="F10" s="452"/>
      <c r="N10" s="452"/>
      <c r="O10" s="826" t="s">
        <v>390</v>
      </c>
      <c r="P10" s="846"/>
      <c r="Q10" s="846"/>
      <c r="R10" s="846"/>
      <c r="S10" s="846"/>
      <c r="T10" s="846"/>
      <c r="U10" s="902">
        <f>様式1!U9</f>
        <v>0</v>
      </c>
      <c r="V10" s="902"/>
      <c r="W10" s="902"/>
      <c r="X10" s="902"/>
      <c r="Y10" s="902"/>
      <c r="Z10" s="902"/>
      <c r="AA10" s="902"/>
      <c r="AB10" s="902"/>
      <c r="AC10" s="902"/>
      <c r="AD10" s="902"/>
      <c r="AE10" s="902"/>
      <c r="AF10" s="902"/>
      <c r="AG10" s="903"/>
    </row>
    <row r="11" spans="2:40" ht="17.25" customHeight="1" thickBot="1">
      <c r="E11" s="452"/>
      <c r="F11" s="452"/>
      <c r="N11" s="452"/>
      <c r="O11" s="829" t="s">
        <v>419</v>
      </c>
      <c r="P11" s="855"/>
      <c r="Q11" s="855"/>
      <c r="R11" s="855"/>
      <c r="S11" s="855"/>
      <c r="T11" s="855"/>
      <c r="U11" s="884">
        <f>様式1!U10</f>
        <v>0</v>
      </c>
      <c r="V11" s="885"/>
      <c r="W11" s="885"/>
      <c r="X11" s="885"/>
      <c r="Y11" s="885"/>
      <c r="Z11" s="885"/>
      <c r="AA11" s="885"/>
      <c r="AB11" s="885"/>
      <c r="AC11" s="885"/>
      <c r="AD11" s="885"/>
      <c r="AE11" s="885"/>
      <c r="AF11" s="885"/>
      <c r="AG11" s="886"/>
    </row>
    <row r="12" spans="2:40" ht="18" customHeight="1">
      <c r="O12" s="435"/>
      <c r="P12" s="435"/>
      <c r="Q12" s="435"/>
      <c r="R12" s="435"/>
      <c r="S12" s="435"/>
      <c r="T12" s="435"/>
      <c r="U12" s="487"/>
      <c r="V12" s="487"/>
      <c r="W12" s="487"/>
      <c r="X12" s="487"/>
      <c r="Y12" s="487"/>
      <c r="Z12" s="487"/>
      <c r="AA12" s="487"/>
      <c r="AB12" s="487"/>
      <c r="AC12" s="487"/>
      <c r="AD12" s="487"/>
      <c r="AE12" s="487"/>
      <c r="AF12" s="487"/>
      <c r="AG12" s="487"/>
    </row>
    <row r="13" spans="2:40" ht="18" customHeight="1">
      <c r="O13" s="488"/>
      <c r="P13" s="488"/>
      <c r="Q13" s="488"/>
      <c r="R13" s="488"/>
      <c r="S13" s="488"/>
      <c r="T13" s="488"/>
      <c r="U13" s="487"/>
      <c r="V13" s="487"/>
      <c r="W13" s="487"/>
      <c r="X13" s="487"/>
      <c r="Y13" s="487"/>
      <c r="Z13" s="487"/>
      <c r="AA13" s="487"/>
      <c r="AB13" s="487"/>
      <c r="AC13" s="487"/>
      <c r="AD13" s="487"/>
      <c r="AE13" s="487"/>
      <c r="AF13" s="487"/>
      <c r="AG13" s="487"/>
    </row>
    <row r="14" spans="2:40" ht="18" customHeight="1" thickBot="1">
      <c r="B14" s="420" t="s">
        <v>461</v>
      </c>
      <c r="C14" s="479"/>
      <c r="D14" s="479"/>
      <c r="E14" s="479"/>
      <c r="F14" s="479"/>
      <c r="G14" s="479"/>
      <c r="H14" s="479"/>
      <c r="I14" s="479"/>
      <c r="J14" s="479"/>
      <c r="K14" s="479"/>
      <c r="L14" s="479"/>
      <c r="M14" s="479"/>
      <c r="N14" s="479"/>
      <c r="O14" s="479"/>
      <c r="P14" s="479"/>
      <c r="Q14" s="479"/>
      <c r="R14" s="479"/>
      <c r="S14" s="479"/>
      <c r="T14" s="605"/>
      <c r="U14" s="605"/>
      <c r="V14" s="605"/>
      <c r="W14" s="606"/>
      <c r="X14" s="606"/>
      <c r="Y14" s="606"/>
      <c r="Z14" s="606"/>
      <c r="AA14" s="606"/>
      <c r="AB14" s="606"/>
      <c r="AC14" s="606"/>
      <c r="AD14" s="606"/>
      <c r="AE14" s="606"/>
      <c r="AF14" s="606"/>
      <c r="AG14" s="606"/>
    </row>
    <row r="15" spans="2:40" ht="18" customHeight="1" thickBot="1">
      <c r="B15" s="904" t="s">
        <v>460</v>
      </c>
      <c r="C15" s="905"/>
      <c r="D15" s="905"/>
      <c r="E15" s="905"/>
      <c r="F15" s="905"/>
      <c r="G15" s="956"/>
      <c r="H15" s="904" t="s">
        <v>459</v>
      </c>
      <c r="I15" s="905"/>
      <c r="J15" s="905"/>
      <c r="K15" s="905"/>
      <c r="L15" s="914">
        <f>Q16+Q18</f>
        <v>0</v>
      </c>
      <c r="M15" s="914"/>
      <c r="N15" s="914"/>
      <c r="O15" s="486" t="s">
        <v>428</v>
      </c>
      <c r="P15" s="904" t="s">
        <v>458</v>
      </c>
      <c r="Q15" s="905"/>
      <c r="R15" s="905"/>
      <c r="S15" s="905"/>
      <c r="T15" s="914">
        <f>Q17</f>
        <v>0</v>
      </c>
      <c r="U15" s="914"/>
      <c r="V15" s="914"/>
      <c r="W15" s="469" t="s">
        <v>428</v>
      </c>
      <c r="Y15" s="953" t="s">
        <v>457</v>
      </c>
      <c r="Z15" s="954"/>
      <c r="AA15" s="954"/>
      <c r="AB15" s="954"/>
      <c r="AC15" s="954"/>
      <c r="AD15" s="954"/>
      <c r="AE15" s="955"/>
      <c r="AF15" s="485" t="str">
        <f>IFERROR(IF(T15+L15&gt;=1,"○","×"),"")</f>
        <v>×</v>
      </c>
      <c r="AG15" s="606"/>
      <c r="AM15" s="590" t="str">
        <f>IF(AND($L$15&gt;=$AA$94,$T$15&gt;=$AA$95),"","「区分3計算表」の内容と人数A・人数Bの数値が一致しません。確認してください。")</f>
        <v>「区分3計算表」の内容と人数A・人数Bの数値が一致しません。確認してください。</v>
      </c>
    </row>
    <row r="16" spans="2:40" ht="18" customHeight="1">
      <c r="B16" s="427" t="s">
        <v>456</v>
      </c>
      <c r="C16" s="426"/>
      <c r="D16" s="426"/>
      <c r="E16" s="426"/>
      <c r="F16" s="426"/>
      <c r="G16" s="426"/>
      <c r="H16" s="426"/>
      <c r="I16" s="426"/>
      <c r="J16" s="426"/>
      <c r="K16" s="426"/>
      <c r="L16" s="426"/>
      <c r="M16" s="426"/>
      <c r="N16" s="426"/>
      <c r="O16" s="426"/>
      <c r="P16" s="484"/>
      <c r="Q16" s="906"/>
      <c r="R16" s="907"/>
      <c r="S16" s="907"/>
      <c r="T16" s="907"/>
      <c r="U16" s="907"/>
      <c r="V16" s="907"/>
      <c r="W16" s="468" t="s">
        <v>428</v>
      </c>
      <c r="Z16" s="483"/>
      <c r="AA16" s="483"/>
      <c r="AB16" s="483"/>
      <c r="AC16" s="483"/>
      <c r="AD16" s="483"/>
      <c r="AE16" s="429"/>
      <c r="AN16" s="420">
        <f>COUNTIFS(様式4別添1!$B$11:$B$60,"&lt;&gt;",様式4別添1!$Y$11:$Y$60,様式4別添1!$Y$79)</f>
        <v>0</v>
      </c>
    </row>
    <row r="17" spans="1:40" ht="18" customHeight="1">
      <c r="B17" s="430" t="s">
        <v>455</v>
      </c>
      <c r="C17" s="428"/>
      <c r="D17" s="428"/>
      <c r="E17" s="428"/>
      <c r="F17" s="428"/>
      <c r="G17" s="428"/>
      <c r="H17" s="428"/>
      <c r="I17" s="428"/>
      <c r="J17" s="428"/>
      <c r="K17" s="428"/>
      <c r="L17" s="428"/>
      <c r="M17" s="428"/>
      <c r="N17" s="428"/>
      <c r="O17" s="428"/>
      <c r="P17" s="482"/>
      <c r="Q17" s="931"/>
      <c r="R17" s="932"/>
      <c r="S17" s="932"/>
      <c r="T17" s="932"/>
      <c r="U17" s="932"/>
      <c r="V17" s="932"/>
      <c r="W17" s="481" t="s">
        <v>428</v>
      </c>
      <c r="AN17" s="420">
        <f>COUNTIFS(様式4別添1!$B$11:$B$60,"&lt;&gt;",様式4別添1!$Y$11:$Y$60,様式4別添1!$Y$80)</f>
        <v>0</v>
      </c>
    </row>
    <row r="18" spans="1:40" ht="34.15" customHeight="1" thickBot="1">
      <c r="B18" s="933" t="s">
        <v>454</v>
      </c>
      <c r="C18" s="934"/>
      <c r="D18" s="934"/>
      <c r="E18" s="934"/>
      <c r="F18" s="934"/>
      <c r="G18" s="934"/>
      <c r="H18" s="934"/>
      <c r="I18" s="934"/>
      <c r="J18" s="934"/>
      <c r="K18" s="934"/>
      <c r="L18" s="934"/>
      <c r="M18" s="934"/>
      <c r="N18" s="934"/>
      <c r="O18" s="934"/>
      <c r="P18" s="935"/>
      <c r="Q18" s="936"/>
      <c r="R18" s="937"/>
      <c r="S18" s="937"/>
      <c r="T18" s="937"/>
      <c r="U18" s="937"/>
      <c r="V18" s="937"/>
      <c r="W18" s="480" t="s">
        <v>428</v>
      </c>
    </row>
    <row r="19" spans="1:40" ht="18" customHeight="1" thickBot="1">
      <c r="B19" s="429"/>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605"/>
      <c r="AA19" s="606"/>
      <c r="AB19" s="606"/>
      <c r="AC19" s="606"/>
      <c r="AD19" s="606"/>
      <c r="AE19" s="606"/>
      <c r="AF19" s="606"/>
      <c r="AG19" s="606"/>
      <c r="AH19" s="607"/>
    </row>
    <row r="20" spans="1:40" ht="18" customHeight="1" thickBot="1">
      <c r="B20" s="926" t="s">
        <v>453</v>
      </c>
      <c r="C20" s="927"/>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927"/>
      <c r="AB20" s="927"/>
      <c r="AC20" s="927"/>
      <c r="AD20" s="927"/>
      <c r="AE20" s="927"/>
      <c r="AF20" s="927"/>
      <c r="AG20" s="928"/>
    </row>
    <row r="21" spans="1:40" ht="18" customHeight="1">
      <c r="B21" s="929"/>
      <c r="C21" s="950" t="s">
        <v>452</v>
      </c>
      <c r="D21" s="951"/>
      <c r="E21" s="951"/>
      <c r="F21" s="951"/>
      <c r="G21" s="951"/>
      <c r="H21" s="951"/>
      <c r="I21" s="951"/>
      <c r="J21" s="951"/>
      <c r="K21" s="951"/>
      <c r="L21" s="951"/>
      <c r="M21" s="951"/>
      <c r="N21" s="951"/>
      <c r="O21" s="951"/>
      <c r="P21" s="951"/>
      <c r="Q21" s="951"/>
      <c r="R21" s="951"/>
      <c r="S21" s="951"/>
      <c r="T21" s="951"/>
      <c r="U21" s="951"/>
      <c r="V21" s="951"/>
      <c r="W21" s="951"/>
      <c r="X21" s="951"/>
      <c r="Y21" s="951"/>
      <c r="Z21" s="951"/>
      <c r="AA21" s="887"/>
      <c r="AB21" s="888"/>
      <c r="AC21" s="888"/>
      <c r="AD21" s="888"/>
      <c r="AE21" s="888"/>
      <c r="AF21" s="888"/>
      <c r="AG21" s="889"/>
    </row>
    <row r="22" spans="1:40" ht="18" customHeight="1" thickBot="1">
      <c r="B22" s="930"/>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890"/>
      <c r="AB22" s="891"/>
      <c r="AC22" s="891"/>
      <c r="AD22" s="891"/>
      <c r="AE22" s="891"/>
      <c r="AF22" s="891"/>
      <c r="AG22" s="892"/>
    </row>
    <row r="23" spans="1:40" ht="21.6" customHeight="1">
      <c r="B23" s="429"/>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605"/>
      <c r="AA23" s="606"/>
      <c r="AB23" s="606"/>
      <c r="AC23" s="606"/>
      <c r="AD23" s="606"/>
      <c r="AE23" s="606"/>
      <c r="AF23" s="606"/>
      <c r="AG23" s="606"/>
    </row>
    <row r="24" spans="1:40" ht="21.75" customHeight="1" thickBot="1">
      <c r="B24" s="420" t="s">
        <v>451</v>
      </c>
      <c r="C24" s="467"/>
      <c r="D24" s="467"/>
      <c r="E24" s="467"/>
      <c r="F24" s="467"/>
      <c r="G24" s="425"/>
      <c r="H24" s="425"/>
      <c r="I24" s="425"/>
      <c r="J24" s="424"/>
      <c r="K24" s="424"/>
      <c r="L24" s="424"/>
      <c r="M24" s="424"/>
      <c r="N24" s="424"/>
      <c r="O24" s="424"/>
      <c r="P24" s="424"/>
      <c r="Q24" s="424"/>
      <c r="R24" s="424"/>
      <c r="S24" s="425"/>
      <c r="T24" s="425"/>
      <c r="U24" s="425"/>
      <c r="V24" s="424"/>
      <c r="W24" s="424"/>
      <c r="X24" s="424"/>
      <c r="Y24" s="424"/>
      <c r="Z24" s="424"/>
      <c r="AA24" s="424"/>
      <c r="AB24" s="424"/>
      <c r="AC24" s="424"/>
      <c r="AD24" s="424"/>
      <c r="AE24" s="425"/>
      <c r="AF24" s="425"/>
      <c r="AG24" s="425"/>
    </row>
    <row r="25" spans="1:40" ht="27.75" customHeight="1" thickBot="1">
      <c r="B25" s="896" t="s">
        <v>450</v>
      </c>
      <c r="C25" s="897"/>
      <c r="D25" s="897"/>
      <c r="E25" s="897"/>
      <c r="F25" s="898"/>
      <c r="G25" s="898"/>
      <c r="H25" s="898"/>
      <c r="I25" s="898"/>
      <c r="J25" s="898"/>
      <c r="K25" s="898"/>
      <c r="L25" s="898"/>
      <c r="M25" s="947">
        <f>IF('3_区分3計算表'!$E$7="あり",SUM('3_区分3計算表'!$F$8,'3_区分3計算表'!J8),'3_区分3計算表'!$F$8)</f>
        <v>0</v>
      </c>
      <c r="N25" s="948"/>
      <c r="O25" s="948"/>
      <c r="P25" s="948"/>
      <c r="Q25" s="948"/>
      <c r="R25" s="948"/>
      <c r="S25" s="948"/>
      <c r="T25" s="948"/>
      <c r="U25" s="478" t="s">
        <v>428</v>
      </c>
      <c r="V25" s="424"/>
      <c r="W25" s="424"/>
      <c r="X25" s="424"/>
      <c r="Y25" s="424"/>
      <c r="Z25" s="424"/>
      <c r="AA25" s="424"/>
      <c r="AB25" s="424"/>
      <c r="AC25" s="424"/>
      <c r="AD25" s="424"/>
      <c r="AE25" s="425"/>
      <c r="AF25" s="425"/>
      <c r="AG25" s="425"/>
    </row>
    <row r="26" spans="1:40" s="472" customFormat="1" ht="21" customHeight="1">
      <c r="A26" s="473"/>
      <c r="B26" s="1008" t="s">
        <v>449</v>
      </c>
      <c r="C26" s="1009"/>
      <c r="D26" s="1009"/>
      <c r="E26" s="1010"/>
      <c r="F26" s="949" t="s">
        <v>448</v>
      </c>
      <c r="G26" s="894"/>
      <c r="H26" s="894"/>
      <c r="I26" s="894"/>
      <c r="J26" s="894"/>
      <c r="K26" s="894"/>
      <c r="L26" s="894"/>
      <c r="M26" s="893" t="s">
        <v>28</v>
      </c>
      <c r="N26" s="894"/>
      <c r="O26" s="894"/>
      <c r="P26" s="894"/>
      <c r="Q26" s="894"/>
      <c r="R26" s="894"/>
      <c r="S26" s="894"/>
      <c r="T26" s="893" t="s">
        <v>447</v>
      </c>
      <c r="U26" s="894"/>
      <c r="V26" s="894"/>
      <c r="W26" s="894"/>
      <c r="X26" s="894"/>
      <c r="Y26" s="894"/>
      <c r="Z26" s="894"/>
      <c r="AA26" s="893" t="s">
        <v>446</v>
      </c>
      <c r="AB26" s="894"/>
      <c r="AC26" s="894"/>
      <c r="AD26" s="894"/>
      <c r="AE26" s="894"/>
      <c r="AF26" s="894"/>
      <c r="AG26" s="895"/>
      <c r="AH26" s="473"/>
    </row>
    <row r="27" spans="1:40" s="472" customFormat="1" ht="21" customHeight="1">
      <c r="A27" s="473"/>
      <c r="B27" s="1011"/>
      <c r="C27" s="1012"/>
      <c r="D27" s="1012"/>
      <c r="E27" s="1013"/>
      <c r="F27" s="962">
        <f>IF('3_区分3計算表'!$E$7="あり",SUM('3_区分3計算表'!$F$10,'3_区分3計算表'!J10),'3_区分3計算表'!$F$10)</f>
        <v>0</v>
      </c>
      <c r="G27" s="942"/>
      <c r="H27" s="942"/>
      <c r="I27" s="942"/>
      <c r="J27" s="942"/>
      <c r="K27" s="942"/>
      <c r="L27" s="938" t="s">
        <v>428</v>
      </c>
      <c r="M27" s="941">
        <f>IF('3_区分3計算表'!$E$7="あり",SUM('3_区分3計算表'!$F$11,'3_区分3計算表'!J11),'3_区分3計算表'!$F$11)</f>
        <v>0</v>
      </c>
      <c r="N27" s="971"/>
      <c r="O27" s="971"/>
      <c r="P27" s="971"/>
      <c r="Q27" s="971"/>
      <c r="R27" s="971"/>
      <c r="S27" s="477" t="s">
        <v>428</v>
      </c>
      <c r="T27" s="941">
        <f>IF('3_区分3計算表'!$E$7="あり",SUM('3_区分3計算表'!$F$12,'3_区分3計算表'!J12),'3_区分3計算表'!$F$12)</f>
        <v>0</v>
      </c>
      <c r="U27" s="942"/>
      <c r="V27" s="942"/>
      <c r="W27" s="942"/>
      <c r="X27" s="942"/>
      <c r="Y27" s="942"/>
      <c r="Z27" s="938" t="s">
        <v>428</v>
      </c>
      <c r="AA27" s="941">
        <f>IF('3_区分3計算表'!$E$7="あり",SUM('3_区分3計算表'!$F$14,'3_区分3計算表'!J14),'3_区分3計算表'!$F$14)</f>
        <v>0</v>
      </c>
      <c r="AB27" s="942"/>
      <c r="AC27" s="942"/>
      <c r="AD27" s="942"/>
      <c r="AE27" s="942"/>
      <c r="AF27" s="942"/>
      <c r="AG27" s="957" t="s">
        <v>428</v>
      </c>
      <c r="AH27" s="473"/>
    </row>
    <row r="28" spans="1:40" s="472" customFormat="1" ht="18" customHeight="1">
      <c r="A28" s="473"/>
      <c r="B28" s="1011"/>
      <c r="C28" s="1012"/>
      <c r="D28" s="1012"/>
      <c r="E28" s="1013"/>
      <c r="F28" s="963"/>
      <c r="G28" s="944"/>
      <c r="H28" s="944"/>
      <c r="I28" s="944"/>
      <c r="J28" s="944"/>
      <c r="K28" s="944"/>
      <c r="L28" s="939"/>
      <c r="M28" s="476"/>
      <c r="N28" s="966" t="s">
        <v>445</v>
      </c>
      <c r="O28" s="967"/>
      <c r="P28" s="967"/>
      <c r="Q28" s="967"/>
      <c r="R28" s="967"/>
      <c r="S28" s="968"/>
      <c r="T28" s="943"/>
      <c r="U28" s="944"/>
      <c r="V28" s="944"/>
      <c r="W28" s="944"/>
      <c r="X28" s="944"/>
      <c r="Y28" s="944"/>
      <c r="Z28" s="939"/>
      <c r="AA28" s="943"/>
      <c r="AB28" s="944"/>
      <c r="AC28" s="944"/>
      <c r="AD28" s="944"/>
      <c r="AE28" s="944"/>
      <c r="AF28" s="944"/>
      <c r="AG28" s="958"/>
      <c r="AH28" s="473"/>
    </row>
    <row r="29" spans="1:40" s="472" customFormat="1" ht="21" customHeight="1" thickBot="1">
      <c r="A29" s="473"/>
      <c r="B29" s="1014"/>
      <c r="C29" s="1015"/>
      <c r="D29" s="1015"/>
      <c r="E29" s="1016"/>
      <c r="F29" s="964"/>
      <c r="G29" s="946"/>
      <c r="H29" s="946"/>
      <c r="I29" s="946"/>
      <c r="J29" s="946"/>
      <c r="K29" s="946"/>
      <c r="L29" s="940"/>
      <c r="M29" s="475"/>
      <c r="N29" s="965" t="s">
        <v>602</v>
      </c>
      <c r="O29" s="965"/>
      <c r="P29" s="965"/>
      <c r="Q29" s="965"/>
      <c r="R29" s="965"/>
      <c r="S29" s="474" t="s">
        <v>428</v>
      </c>
      <c r="T29" s="945"/>
      <c r="U29" s="946"/>
      <c r="V29" s="946"/>
      <c r="W29" s="946"/>
      <c r="X29" s="946"/>
      <c r="Y29" s="946"/>
      <c r="Z29" s="940"/>
      <c r="AA29" s="945"/>
      <c r="AB29" s="946"/>
      <c r="AC29" s="946"/>
      <c r="AD29" s="946"/>
      <c r="AE29" s="946"/>
      <c r="AF29" s="946"/>
      <c r="AG29" s="959"/>
      <c r="AH29" s="473"/>
    </row>
    <row r="30" spans="1:40" ht="28.5" customHeight="1">
      <c r="B30" s="832" t="s">
        <v>444</v>
      </c>
      <c r="C30" s="834"/>
      <c r="D30" s="834"/>
      <c r="E30" s="835"/>
      <c r="F30" s="981" t="s">
        <v>378</v>
      </c>
      <c r="G30" s="982"/>
      <c r="H30" s="608" t="s">
        <v>370</v>
      </c>
      <c r="I30" s="609"/>
      <c r="J30" s="609"/>
      <c r="K30" s="610"/>
      <c r="L30" s="610"/>
      <c r="M30" s="610"/>
      <c r="N30" s="610"/>
      <c r="O30" s="610"/>
      <c r="P30" s="610"/>
      <c r="Q30" s="610"/>
      <c r="R30" s="610"/>
      <c r="S30" s="611"/>
      <c r="T30" s="611"/>
      <c r="U30" s="611"/>
      <c r="V30" s="610"/>
      <c r="W30" s="610"/>
      <c r="X30" s="610"/>
      <c r="Y30" s="610"/>
      <c r="Z30" s="610"/>
      <c r="AA30" s="610"/>
      <c r="AB30" s="610"/>
      <c r="AC30" s="610"/>
      <c r="AD30" s="610"/>
      <c r="AE30" s="975"/>
      <c r="AF30" s="976"/>
      <c r="AG30" s="977"/>
    </row>
    <row r="31" spans="1:40" ht="28.5" customHeight="1">
      <c r="B31" s="908"/>
      <c r="C31" s="909"/>
      <c r="D31" s="909"/>
      <c r="E31" s="910"/>
      <c r="F31" s="983"/>
      <c r="G31" s="984"/>
      <c r="H31" s="612" t="s">
        <v>367</v>
      </c>
      <c r="I31" s="612"/>
      <c r="J31" s="612"/>
      <c r="K31" s="613"/>
      <c r="L31" s="613"/>
      <c r="M31" s="613"/>
      <c r="N31" s="613"/>
      <c r="O31" s="613"/>
      <c r="P31" s="613"/>
      <c r="Q31" s="613"/>
      <c r="R31" s="613"/>
      <c r="S31" s="614"/>
      <c r="T31" s="614"/>
      <c r="U31" s="614"/>
      <c r="V31" s="613"/>
      <c r="W31" s="613"/>
      <c r="X31" s="613"/>
      <c r="Y31" s="613"/>
      <c r="Z31" s="613"/>
      <c r="AA31" s="613"/>
      <c r="AB31" s="613"/>
      <c r="AC31" s="613"/>
      <c r="AD31" s="613"/>
      <c r="AE31" s="915"/>
      <c r="AF31" s="916"/>
      <c r="AG31" s="917"/>
    </row>
    <row r="32" spans="1:40" ht="28.5" customHeight="1">
      <c r="B32" s="908"/>
      <c r="C32" s="909"/>
      <c r="D32" s="909"/>
      <c r="E32" s="910"/>
      <c r="F32" s="983"/>
      <c r="G32" s="984"/>
      <c r="H32" s="615" t="s">
        <v>369</v>
      </c>
      <c r="I32" s="607"/>
      <c r="J32" s="607"/>
      <c r="K32" s="616"/>
      <c r="L32" s="616"/>
      <c r="M32" s="616"/>
      <c r="N32" s="616"/>
      <c r="O32" s="616"/>
      <c r="P32" s="616"/>
      <c r="Q32" s="616"/>
      <c r="R32" s="616"/>
      <c r="S32" s="617"/>
      <c r="T32" s="617"/>
      <c r="U32" s="617"/>
      <c r="V32" s="616"/>
      <c r="W32" s="616"/>
      <c r="X32" s="616"/>
      <c r="Y32" s="616"/>
      <c r="Z32" s="616"/>
      <c r="AA32" s="616"/>
      <c r="AB32" s="616"/>
      <c r="AC32" s="616"/>
      <c r="AD32" s="616"/>
      <c r="AE32" s="915"/>
      <c r="AF32" s="916"/>
      <c r="AG32" s="917"/>
    </row>
    <row r="33" spans="2:33" ht="28.5" customHeight="1">
      <c r="B33" s="908"/>
      <c r="C33" s="909"/>
      <c r="D33" s="909"/>
      <c r="E33" s="910"/>
      <c r="F33" s="983"/>
      <c r="G33" s="984"/>
      <c r="H33" s="612" t="s">
        <v>377</v>
      </c>
      <c r="I33" s="612"/>
      <c r="J33" s="612"/>
      <c r="K33" s="613"/>
      <c r="L33" s="613"/>
      <c r="M33" s="613"/>
      <c r="N33" s="613"/>
      <c r="O33" s="613"/>
      <c r="P33" s="613"/>
      <c r="Q33" s="613"/>
      <c r="R33" s="613"/>
      <c r="S33" s="614"/>
      <c r="T33" s="614"/>
      <c r="U33" s="614"/>
      <c r="V33" s="613"/>
      <c r="W33" s="613"/>
      <c r="X33" s="613"/>
      <c r="Y33" s="613"/>
      <c r="Z33" s="613"/>
      <c r="AA33" s="613"/>
      <c r="AB33" s="613"/>
      <c r="AC33" s="613"/>
      <c r="AD33" s="613"/>
      <c r="AE33" s="915"/>
      <c r="AF33" s="916"/>
      <c r="AG33" s="917"/>
    </row>
    <row r="34" spans="2:33" ht="28.5" customHeight="1">
      <c r="B34" s="908"/>
      <c r="C34" s="909"/>
      <c r="D34" s="909"/>
      <c r="E34" s="910"/>
      <c r="F34" s="983"/>
      <c r="G34" s="984"/>
      <c r="H34" s="612" t="s">
        <v>365</v>
      </c>
      <c r="I34" s="612"/>
      <c r="J34" s="612"/>
      <c r="K34" s="613"/>
      <c r="L34" s="613"/>
      <c r="M34" s="613"/>
      <c r="N34" s="613"/>
      <c r="O34" s="613"/>
      <c r="P34" s="613"/>
      <c r="Q34" s="613"/>
      <c r="R34" s="613"/>
      <c r="S34" s="614"/>
      <c r="T34" s="614"/>
      <c r="U34" s="614"/>
      <c r="V34" s="613"/>
      <c r="W34" s="613"/>
      <c r="X34" s="613"/>
      <c r="Y34" s="613"/>
      <c r="Z34" s="613"/>
      <c r="AA34" s="613"/>
      <c r="AB34" s="613"/>
      <c r="AC34" s="613"/>
      <c r="AD34" s="613"/>
      <c r="AE34" s="915"/>
      <c r="AF34" s="916"/>
      <c r="AG34" s="917"/>
    </row>
    <row r="35" spans="2:33" ht="28.5" customHeight="1">
      <c r="B35" s="908"/>
      <c r="C35" s="909"/>
      <c r="D35" s="909"/>
      <c r="E35" s="910"/>
      <c r="F35" s="983"/>
      <c r="G35" s="984"/>
      <c r="H35" s="612" t="s">
        <v>364</v>
      </c>
      <c r="I35" s="612"/>
      <c r="J35" s="612"/>
      <c r="K35" s="613"/>
      <c r="L35" s="613"/>
      <c r="M35" s="613"/>
      <c r="N35" s="613"/>
      <c r="O35" s="613"/>
      <c r="P35" s="613"/>
      <c r="Q35" s="613"/>
      <c r="R35" s="613"/>
      <c r="S35" s="614"/>
      <c r="T35" s="614"/>
      <c r="U35" s="614"/>
      <c r="V35" s="613"/>
      <c r="W35" s="613"/>
      <c r="X35" s="613"/>
      <c r="Y35" s="613"/>
      <c r="Z35" s="613"/>
      <c r="AA35" s="613"/>
      <c r="AB35" s="613"/>
      <c r="AC35" s="613"/>
      <c r="AD35" s="613"/>
      <c r="AE35" s="915"/>
      <c r="AF35" s="916"/>
      <c r="AG35" s="917"/>
    </row>
    <row r="36" spans="2:33" ht="28.5" customHeight="1">
      <c r="B36" s="908"/>
      <c r="C36" s="909"/>
      <c r="D36" s="909"/>
      <c r="E36" s="910"/>
      <c r="F36" s="983"/>
      <c r="G36" s="984"/>
      <c r="H36" s="618" t="s">
        <v>442</v>
      </c>
      <c r="I36" s="618"/>
      <c r="J36" s="618"/>
      <c r="K36" s="619"/>
      <c r="L36" s="619"/>
      <c r="M36" s="619"/>
      <c r="N36" s="613"/>
      <c r="O36" s="612"/>
      <c r="P36" s="620"/>
      <c r="Q36" s="620"/>
      <c r="R36" s="620"/>
      <c r="S36" s="612"/>
      <c r="T36" s="612"/>
      <c r="U36" s="612"/>
      <c r="V36" s="620"/>
      <c r="W36" s="620"/>
      <c r="X36" s="620"/>
      <c r="Y36" s="620"/>
      <c r="Z36" s="620"/>
      <c r="AA36" s="620"/>
      <c r="AB36" s="620"/>
      <c r="AC36" s="620"/>
      <c r="AD36" s="620"/>
      <c r="AE36" s="915"/>
      <c r="AF36" s="916"/>
      <c r="AG36" s="917"/>
    </row>
    <row r="37" spans="2:33" ht="28.5" customHeight="1">
      <c r="B37" s="908"/>
      <c r="C37" s="909"/>
      <c r="D37" s="909"/>
      <c r="E37" s="910"/>
      <c r="F37" s="983"/>
      <c r="G37" s="984"/>
      <c r="H37" s="612" t="s">
        <v>376</v>
      </c>
      <c r="I37" s="612"/>
      <c r="J37" s="612"/>
      <c r="K37" s="613"/>
      <c r="L37" s="613"/>
      <c r="M37" s="613"/>
      <c r="N37" s="613"/>
      <c r="O37" s="613"/>
      <c r="P37" s="613"/>
      <c r="Q37" s="613"/>
      <c r="R37" s="613"/>
      <c r="S37" s="614"/>
      <c r="T37" s="614"/>
      <c r="U37" s="614"/>
      <c r="V37" s="613"/>
      <c r="W37" s="613"/>
      <c r="X37" s="613"/>
      <c r="Y37" s="613"/>
      <c r="Z37" s="613"/>
      <c r="AA37" s="613"/>
      <c r="AB37" s="613"/>
      <c r="AC37" s="613"/>
      <c r="AD37" s="613"/>
      <c r="AE37" s="915"/>
      <c r="AF37" s="916"/>
      <c r="AG37" s="917"/>
    </row>
    <row r="38" spans="2:33" ht="28.5" customHeight="1">
      <c r="B38" s="908"/>
      <c r="C38" s="909"/>
      <c r="D38" s="909"/>
      <c r="E38" s="910"/>
      <c r="F38" s="983"/>
      <c r="G38" s="984"/>
      <c r="H38" s="621" t="s">
        <v>361</v>
      </c>
      <c r="I38" s="612"/>
      <c r="J38" s="612"/>
      <c r="K38" s="613"/>
      <c r="L38" s="613"/>
      <c r="M38" s="613"/>
      <c r="N38" s="613"/>
      <c r="O38" s="613"/>
      <c r="P38" s="613"/>
      <c r="Q38" s="613"/>
      <c r="R38" s="613"/>
      <c r="S38" s="614"/>
      <c r="T38" s="614"/>
      <c r="U38" s="614"/>
      <c r="V38" s="613"/>
      <c r="W38" s="613"/>
      <c r="X38" s="613"/>
      <c r="Y38" s="613"/>
      <c r="Z38" s="613"/>
      <c r="AA38" s="613"/>
      <c r="AB38" s="613"/>
      <c r="AC38" s="613"/>
      <c r="AD38" s="622"/>
      <c r="AE38" s="915"/>
      <c r="AF38" s="916"/>
      <c r="AG38" s="917"/>
    </row>
    <row r="39" spans="2:33" ht="28.5" customHeight="1">
      <c r="B39" s="908"/>
      <c r="C39" s="909"/>
      <c r="D39" s="909"/>
      <c r="E39" s="910"/>
      <c r="F39" s="983"/>
      <c r="G39" s="984"/>
      <c r="H39" s="615" t="s">
        <v>360</v>
      </c>
      <c r="I39" s="615"/>
      <c r="J39" s="615"/>
      <c r="K39" s="623"/>
      <c r="L39" s="623"/>
      <c r="M39" s="623"/>
      <c r="N39" s="623"/>
      <c r="O39" s="623"/>
      <c r="P39" s="623"/>
      <c r="Q39" s="623"/>
      <c r="R39" s="623"/>
      <c r="S39" s="624"/>
      <c r="T39" s="624"/>
      <c r="U39" s="624"/>
      <c r="V39" s="623"/>
      <c r="W39" s="623"/>
      <c r="X39" s="623"/>
      <c r="Y39" s="623"/>
      <c r="Z39" s="623"/>
      <c r="AA39" s="623"/>
      <c r="AB39" s="623"/>
      <c r="AC39" s="623"/>
      <c r="AD39" s="623"/>
      <c r="AE39" s="915"/>
      <c r="AF39" s="916"/>
      <c r="AG39" s="917"/>
    </row>
    <row r="40" spans="2:33" ht="28.5" customHeight="1">
      <c r="B40" s="908"/>
      <c r="C40" s="909"/>
      <c r="D40" s="909"/>
      <c r="E40" s="910"/>
      <c r="F40" s="983"/>
      <c r="G40" s="984"/>
      <c r="H40" s="625" t="s">
        <v>359</v>
      </c>
      <c r="I40" s="618"/>
      <c r="J40" s="618"/>
      <c r="K40" s="619"/>
      <c r="L40" s="619"/>
      <c r="M40" s="619"/>
      <c r="N40" s="619"/>
      <c r="O40" s="619"/>
      <c r="P40" s="619"/>
      <c r="Q40" s="619"/>
      <c r="R40" s="619"/>
      <c r="S40" s="626"/>
      <c r="T40" s="626"/>
      <c r="U40" s="626"/>
      <c r="V40" s="619"/>
      <c r="W40" s="619"/>
      <c r="X40" s="619"/>
      <c r="Y40" s="619"/>
      <c r="Z40" s="619"/>
      <c r="AA40" s="619"/>
      <c r="AB40" s="619"/>
      <c r="AC40" s="619"/>
      <c r="AD40" s="619"/>
      <c r="AE40" s="972"/>
      <c r="AF40" s="973"/>
      <c r="AG40" s="974"/>
    </row>
    <row r="41" spans="2:33" ht="28.5" customHeight="1">
      <c r="B41" s="908"/>
      <c r="C41" s="909"/>
      <c r="D41" s="909"/>
      <c r="E41" s="910"/>
      <c r="F41" s="983"/>
      <c r="G41" s="984"/>
      <c r="H41" s="621" t="s">
        <v>352</v>
      </c>
      <c r="I41" s="612"/>
      <c r="J41" s="612"/>
      <c r="K41" s="613"/>
      <c r="L41" s="613"/>
      <c r="M41" s="613"/>
      <c r="N41" s="613"/>
      <c r="O41" s="613"/>
      <c r="P41" s="613"/>
      <c r="Q41" s="613"/>
      <c r="R41" s="613"/>
      <c r="S41" s="614"/>
      <c r="T41" s="614"/>
      <c r="U41" s="614"/>
      <c r="V41" s="613"/>
      <c r="W41" s="613"/>
      <c r="X41" s="613"/>
      <c r="Y41" s="613"/>
      <c r="Z41" s="613"/>
      <c r="AA41" s="613"/>
      <c r="AB41" s="613"/>
      <c r="AC41" s="613"/>
      <c r="AD41" s="613"/>
      <c r="AE41" s="915"/>
      <c r="AF41" s="916"/>
      <c r="AG41" s="917"/>
    </row>
    <row r="42" spans="2:33" ht="28.5" customHeight="1">
      <c r="B42" s="908"/>
      <c r="C42" s="909"/>
      <c r="D42" s="909"/>
      <c r="E42" s="910"/>
      <c r="F42" s="983"/>
      <c r="G42" s="984"/>
      <c r="H42" s="627" t="s">
        <v>441</v>
      </c>
      <c r="I42" s="615"/>
      <c r="J42" s="615"/>
      <c r="K42" s="623"/>
      <c r="L42" s="623"/>
      <c r="M42" s="623"/>
      <c r="N42" s="623"/>
      <c r="O42" s="623"/>
      <c r="P42" s="623"/>
      <c r="Q42" s="623"/>
      <c r="R42" s="623"/>
      <c r="S42" s="624"/>
      <c r="T42" s="624"/>
      <c r="U42" s="624"/>
      <c r="V42" s="623"/>
      <c r="W42" s="623"/>
      <c r="X42" s="623"/>
      <c r="Y42" s="623"/>
      <c r="Z42" s="623"/>
      <c r="AA42" s="623"/>
      <c r="AB42" s="623"/>
      <c r="AC42" s="623"/>
      <c r="AD42" s="623"/>
      <c r="AE42" s="1024"/>
      <c r="AF42" s="924"/>
      <c r="AG42" s="925"/>
    </row>
    <row r="43" spans="2:33" ht="28.5" customHeight="1" thickBot="1">
      <c r="B43" s="911"/>
      <c r="C43" s="912"/>
      <c r="D43" s="912"/>
      <c r="E43" s="913"/>
      <c r="F43" s="1019"/>
      <c r="G43" s="1020"/>
      <c r="H43" s="628" t="s">
        <v>362</v>
      </c>
      <c r="I43" s="629"/>
      <c r="J43" s="629"/>
      <c r="K43" s="630"/>
      <c r="L43" s="630"/>
      <c r="M43" s="630"/>
      <c r="N43" s="630"/>
      <c r="O43" s="630"/>
      <c r="P43" s="630"/>
      <c r="Q43" s="630"/>
      <c r="R43" s="630"/>
      <c r="S43" s="631"/>
      <c r="T43" s="631"/>
      <c r="U43" s="631"/>
      <c r="V43" s="630"/>
      <c r="W43" s="630"/>
      <c r="X43" s="630"/>
      <c r="Y43" s="630"/>
      <c r="Z43" s="630"/>
      <c r="AA43" s="630"/>
      <c r="AB43" s="630"/>
      <c r="AC43" s="630"/>
      <c r="AD43" s="630"/>
      <c r="AE43" s="978"/>
      <c r="AF43" s="979"/>
      <c r="AG43" s="980"/>
    </row>
    <row r="44" spans="2:33" s="429" customFormat="1" ht="9.75" customHeight="1">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row>
    <row r="45" spans="2:33" s="429" customFormat="1" ht="9.75" customHeight="1" thickBot="1">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row>
    <row r="46" spans="2:33" ht="28.5" customHeight="1">
      <c r="B46" s="832" t="s">
        <v>440</v>
      </c>
      <c r="C46" s="834"/>
      <c r="D46" s="834"/>
      <c r="E46" s="835"/>
      <c r="F46" s="981" t="s">
        <v>375</v>
      </c>
      <c r="G46" s="982"/>
      <c r="H46" s="633" t="s">
        <v>370</v>
      </c>
      <c r="I46" s="608"/>
      <c r="J46" s="608"/>
      <c r="K46" s="634"/>
      <c r="L46" s="634"/>
      <c r="M46" s="634"/>
      <c r="N46" s="634"/>
      <c r="O46" s="634"/>
      <c r="P46" s="634"/>
      <c r="Q46" s="634"/>
      <c r="R46" s="634"/>
      <c r="S46" s="635"/>
      <c r="T46" s="635"/>
      <c r="U46" s="635"/>
      <c r="V46" s="634"/>
      <c r="W46" s="634"/>
      <c r="X46" s="634"/>
      <c r="Y46" s="634"/>
      <c r="Z46" s="634"/>
      <c r="AA46" s="634"/>
      <c r="AB46" s="634"/>
      <c r="AC46" s="634"/>
      <c r="AD46" s="636"/>
      <c r="AE46" s="921" t="str">
        <f>IF('3_区分3計算表'!$E24="あり","有","無")</f>
        <v>無</v>
      </c>
      <c r="AF46" s="921"/>
      <c r="AG46" s="922"/>
    </row>
    <row r="47" spans="2:33" ht="28.5" customHeight="1">
      <c r="B47" s="908"/>
      <c r="C47" s="909"/>
      <c r="D47" s="909"/>
      <c r="E47" s="910"/>
      <c r="F47" s="983"/>
      <c r="G47" s="984"/>
      <c r="H47" s="615" t="s">
        <v>369</v>
      </c>
      <c r="I47" s="615"/>
      <c r="J47" s="615"/>
      <c r="K47" s="623"/>
      <c r="L47" s="623"/>
      <c r="M47" s="623"/>
      <c r="N47" s="623"/>
      <c r="O47" s="623"/>
      <c r="P47" s="623"/>
      <c r="Q47" s="623"/>
      <c r="R47" s="623"/>
      <c r="S47" s="624"/>
      <c r="T47" s="624"/>
      <c r="U47" s="624"/>
      <c r="V47" s="623"/>
      <c r="W47" s="623"/>
      <c r="X47" s="623"/>
      <c r="Y47" s="623"/>
      <c r="Z47" s="623"/>
      <c r="AA47" s="623"/>
      <c r="AB47" s="623"/>
      <c r="AC47" s="623"/>
      <c r="AD47" s="637"/>
      <c r="AE47" s="969" t="str">
        <f>IF('3_区分3計算表'!$E22="あり","有","無")</f>
        <v>無</v>
      </c>
      <c r="AF47" s="969"/>
      <c r="AG47" s="970"/>
    </row>
    <row r="48" spans="2:33" ht="28.5" customHeight="1">
      <c r="B48" s="908"/>
      <c r="C48" s="909"/>
      <c r="D48" s="909"/>
      <c r="E48" s="910"/>
      <c r="F48" s="983"/>
      <c r="G48" s="984"/>
      <c r="H48" s="615" t="s">
        <v>368</v>
      </c>
      <c r="I48" s="615"/>
      <c r="J48" s="615"/>
      <c r="K48" s="623"/>
      <c r="L48" s="623"/>
      <c r="M48" s="623"/>
      <c r="N48" s="623"/>
      <c r="O48" s="623"/>
      <c r="P48" s="623"/>
      <c r="Q48" s="623"/>
      <c r="R48" s="623"/>
      <c r="S48" s="624"/>
      <c r="T48" s="624"/>
      <c r="U48" s="624"/>
      <c r="V48" s="623"/>
      <c r="W48" s="623"/>
      <c r="X48" s="623"/>
      <c r="Y48" s="623"/>
      <c r="Z48" s="623"/>
      <c r="AA48" s="623"/>
      <c r="AB48" s="623"/>
      <c r="AC48" s="623"/>
      <c r="AD48" s="637"/>
      <c r="AE48" s="969" t="str">
        <f>IF('3_区分3計算表'!$E26="あり","有","無")</f>
        <v>無</v>
      </c>
      <c r="AF48" s="969"/>
      <c r="AG48" s="970"/>
    </row>
    <row r="49" spans="2:33" ht="28.5" customHeight="1">
      <c r="B49" s="908"/>
      <c r="C49" s="909"/>
      <c r="D49" s="909"/>
      <c r="E49" s="910"/>
      <c r="F49" s="983"/>
      <c r="G49" s="984"/>
      <c r="H49" s="615" t="s">
        <v>439</v>
      </c>
      <c r="I49" s="615"/>
      <c r="J49" s="615"/>
      <c r="K49" s="623"/>
      <c r="L49" s="623"/>
      <c r="M49" s="623"/>
      <c r="N49" s="623"/>
      <c r="O49" s="623"/>
      <c r="P49" s="623"/>
      <c r="Q49" s="623"/>
      <c r="R49" s="623"/>
      <c r="S49" s="624"/>
      <c r="T49" s="624"/>
      <c r="U49" s="624"/>
      <c r="V49" s="623"/>
      <c r="W49" s="623"/>
      <c r="X49" s="623"/>
      <c r="Y49" s="623"/>
      <c r="Z49" s="623"/>
      <c r="AA49" s="623"/>
      <c r="AB49" s="623"/>
      <c r="AC49" s="623"/>
      <c r="AD49" s="637"/>
      <c r="AE49" s="969" t="str">
        <f>IF('3_区分3計算表'!$E29="あり","有","無")</f>
        <v>無</v>
      </c>
      <c r="AF49" s="969"/>
      <c r="AG49" s="970"/>
    </row>
    <row r="50" spans="2:33" ht="28.5" customHeight="1">
      <c r="B50" s="908"/>
      <c r="C50" s="909"/>
      <c r="D50" s="909"/>
      <c r="E50" s="910"/>
      <c r="F50" s="983"/>
      <c r="G50" s="984"/>
      <c r="H50" s="612" t="s">
        <v>373</v>
      </c>
      <c r="I50" s="612"/>
      <c r="J50" s="612"/>
      <c r="K50" s="613"/>
      <c r="L50" s="613"/>
      <c r="M50" s="613"/>
      <c r="N50" s="613"/>
      <c r="O50" s="613"/>
      <c r="P50" s="613"/>
      <c r="Q50" s="613"/>
      <c r="R50" s="613"/>
      <c r="S50" s="614"/>
      <c r="T50" s="614"/>
      <c r="U50" s="614"/>
      <c r="V50" s="613"/>
      <c r="W50" s="613"/>
      <c r="X50" s="613"/>
      <c r="Y50" s="613"/>
      <c r="Z50" s="613"/>
      <c r="AA50" s="613"/>
      <c r="AB50" s="613"/>
      <c r="AC50" s="613"/>
      <c r="AD50" s="638"/>
      <c r="AE50" s="960" t="str">
        <f>IF('3_区分3計算表'!$E30="あり","有","無")</f>
        <v>無</v>
      </c>
      <c r="AF50" s="960"/>
      <c r="AG50" s="961"/>
    </row>
    <row r="51" spans="2:33" ht="28.5" customHeight="1">
      <c r="B51" s="908"/>
      <c r="C51" s="909"/>
      <c r="D51" s="909"/>
      <c r="E51" s="910"/>
      <c r="F51" s="983"/>
      <c r="G51" s="984"/>
      <c r="H51" s="612" t="s">
        <v>372</v>
      </c>
      <c r="I51" s="612"/>
      <c r="J51" s="612"/>
      <c r="K51" s="613"/>
      <c r="L51" s="613"/>
      <c r="M51" s="613"/>
      <c r="N51" s="613"/>
      <c r="O51" s="613"/>
      <c r="P51" s="613"/>
      <c r="Q51" s="613"/>
      <c r="R51" s="613"/>
      <c r="S51" s="614"/>
      <c r="T51" s="614"/>
      <c r="U51" s="614"/>
      <c r="V51" s="613"/>
      <c r="W51" s="613"/>
      <c r="X51" s="613"/>
      <c r="Y51" s="613"/>
      <c r="Z51" s="613"/>
      <c r="AA51" s="613"/>
      <c r="AB51" s="613"/>
      <c r="AC51" s="613"/>
      <c r="AD51" s="638"/>
      <c r="AE51" s="960" t="str">
        <f>IF('3_区分3計算表'!$E31="あり","有","無")</f>
        <v>無</v>
      </c>
      <c r="AF51" s="960"/>
      <c r="AG51" s="961"/>
    </row>
    <row r="52" spans="2:33" ht="28.5" customHeight="1">
      <c r="B52" s="908"/>
      <c r="C52" s="909"/>
      <c r="D52" s="909"/>
      <c r="E52" s="910"/>
      <c r="F52" s="983"/>
      <c r="G52" s="984"/>
      <c r="H52" s="612" t="s">
        <v>355</v>
      </c>
      <c r="I52" s="612"/>
      <c r="J52" s="612"/>
      <c r="K52" s="613"/>
      <c r="L52" s="613"/>
      <c r="M52" s="613"/>
      <c r="N52" s="613"/>
      <c r="O52" s="613"/>
      <c r="P52" s="613"/>
      <c r="Q52" s="613"/>
      <c r="R52" s="613"/>
      <c r="S52" s="614"/>
      <c r="T52" s="614"/>
      <c r="U52" s="614"/>
      <c r="V52" s="613"/>
      <c r="W52" s="613"/>
      <c r="X52" s="613"/>
      <c r="Y52" s="613"/>
      <c r="Z52" s="613"/>
      <c r="AA52" s="613"/>
      <c r="AB52" s="613"/>
      <c r="AC52" s="613"/>
      <c r="AD52" s="638"/>
      <c r="AE52" s="960" t="str">
        <f>IF('3_区分3計算表'!$E32="あり","有","無")</f>
        <v>無</v>
      </c>
      <c r="AF52" s="960"/>
      <c r="AG52" s="961"/>
    </row>
    <row r="53" spans="2:33" ht="28.5" customHeight="1">
      <c r="B53" s="908"/>
      <c r="C53" s="909"/>
      <c r="D53" s="909"/>
      <c r="E53" s="910"/>
      <c r="F53" s="983"/>
      <c r="G53" s="984"/>
      <c r="H53" s="618" t="s">
        <v>374</v>
      </c>
      <c r="I53" s="618"/>
      <c r="J53" s="618"/>
      <c r="K53" s="619"/>
      <c r="L53" s="619"/>
      <c r="M53" s="619"/>
      <c r="N53" s="619"/>
      <c r="O53" s="619"/>
      <c r="P53" s="619"/>
      <c r="Q53" s="619"/>
      <c r="R53" s="619"/>
      <c r="S53" s="626"/>
      <c r="T53" s="626"/>
      <c r="U53" s="626"/>
      <c r="V53" s="619"/>
      <c r="W53" s="619"/>
      <c r="X53" s="619"/>
      <c r="Y53" s="619"/>
      <c r="Z53" s="619"/>
      <c r="AA53" s="619"/>
      <c r="AB53" s="619"/>
      <c r="AC53" s="619"/>
      <c r="AD53" s="639"/>
      <c r="AE53" s="960" t="str">
        <f>IF('3_区分3計算表'!$E33="あり","有","無")</f>
        <v>無</v>
      </c>
      <c r="AF53" s="960"/>
      <c r="AG53" s="961"/>
    </row>
    <row r="54" spans="2:33" ht="28.5" customHeight="1" thickBot="1">
      <c r="B54" s="908"/>
      <c r="C54" s="909"/>
      <c r="D54" s="909"/>
      <c r="E54" s="910"/>
      <c r="F54" s="985"/>
      <c r="G54" s="986"/>
      <c r="H54" s="640" t="s">
        <v>352</v>
      </c>
      <c r="I54" s="641"/>
      <c r="J54" s="641"/>
      <c r="K54" s="642"/>
      <c r="L54" s="642"/>
      <c r="M54" s="642"/>
      <c r="N54" s="642"/>
      <c r="O54" s="642"/>
      <c r="P54" s="642"/>
      <c r="Q54" s="642"/>
      <c r="R54" s="642"/>
      <c r="S54" s="643"/>
      <c r="T54" s="643"/>
      <c r="U54" s="643"/>
      <c r="V54" s="642"/>
      <c r="W54" s="642"/>
      <c r="X54" s="642"/>
      <c r="Y54" s="642"/>
      <c r="Z54" s="642"/>
      <c r="AA54" s="642"/>
      <c r="AB54" s="642"/>
      <c r="AC54" s="642"/>
      <c r="AD54" s="644"/>
      <c r="AE54" s="1017" t="str">
        <f>IF('3_区分3計算表'!$E34="あり","有","無")</f>
        <v>無</v>
      </c>
      <c r="AF54" s="1017"/>
      <c r="AG54" s="1018"/>
    </row>
    <row r="55" spans="2:33" ht="28.5" customHeight="1">
      <c r="B55" s="908"/>
      <c r="C55" s="909"/>
      <c r="D55" s="909"/>
      <c r="E55" s="910"/>
      <c r="F55" s="1034" t="s">
        <v>371</v>
      </c>
      <c r="G55" s="1035"/>
      <c r="H55" s="608" t="s">
        <v>370</v>
      </c>
      <c r="I55" s="608"/>
      <c r="J55" s="608"/>
      <c r="K55" s="634"/>
      <c r="L55" s="634"/>
      <c r="M55" s="634"/>
      <c r="N55" s="634"/>
      <c r="O55" s="634"/>
      <c r="P55" s="634"/>
      <c r="Q55" s="634"/>
      <c r="R55" s="634"/>
      <c r="S55" s="635"/>
      <c r="T55" s="635"/>
      <c r="U55" s="635"/>
      <c r="V55" s="634"/>
      <c r="W55" s="634"/>
      <c r="X55" s="634"/>
      <c r="Y55" s="634"/>
      <c r="Z55" s="634"/>
      <c r="AA55" s="634"/>
      <c r="AB55" s="634"/>
      <c r="AC55" s="634"/>
      <c r="AD55" s="636"/>
      <c r="AE55" s="918"/>
      <c r="AF55" s="919"/>
      <c r="AG55" s="920"/>
    </row>
    <row r="56" spans="2:33" ht="28.5" customHeight="1">
      <c r="B56" s="908"/>
      <c r="C56" s="909"/>
      <c r="D56" s="909"/>
      <c r="E56" s="910"/>
      <c r="F56" s="1036"/>
      <c r="G56" s="1037"/>
      <c r="H56" s="621" t="s">
        <v>369</v>
      </c>
      <c r="I56" s="612"/>
      <c r="J56" s="612"/>
      <c r="K56" s="613"/>
      <c r="L56" s="613"/>
      <c r="M56" s="613"/>
      <c r="N56" s="613"/>
      <c r="O56" s="613"/>
      <c r="P56" s="613"/>
      <c r="Q56" s="613"/>
      <c r="R56" s="613"/>
      <c r="S56" s="614"/>
      <c r="T56" s="614"/>
      <c r="U56" s="614"/>
      <c r="V56" s="613"/>
      <c r="W56" s="613"/>
      <c r="X56" s="613"/>
      <c r="Y56" s="613"/>
      <c r="Z56" s="613"/>
      <c r="AA56" s="613"/>
      <c r="AB56" s="613"/>
      <c r="AC56" s="613"/>
      <c r="AD56" s="638"/>
      <c r="AE56" s="992"/>
      <c r="AF56" s="916"/>
      <c r="AG56" s="917"/>
    </row>
    <row r="57" spans="2:33" ht="28.5" customHeight="1">
      <c r="B57" s="908"/>
      <c r="C57" s="909"/>
      <c r="D57" s="909"/>
      <c r="E57" s="910"/>
      <c r="F57" s="1036"/>
      <c r="G57" s="1037"/>
      <c r="H57" s="615" t="s">
        <v>368</v>
      </c>
      <c r="I57" s="615"/>
      <c r="J57" s="615"/>
      <c r="K57" s="623"/>
      <c r="L57" s="623"/>
      <c r="M57" s="623"/>
      <c r="N57" s="623"/>
      <c r="O57" s="623"/>
      <c r="P57" s="623"/>
      <c r="Q57" s="623"/>
      <c r="R57" s="623"/>
      <c r="S57" s="624"/>
      <c r="T57" s="624"/>
      <c r="U57" s="624"/>
      <c r="V57" s="623"/>
      <c r="W57" s="623"/>
      <c r="X57" s="623"/>
      <c r="Y57" s="623"/>
      <c r="Z57" s="623"/>
      <c r="AA57" s="623"/>
      <c r="AB57" s="623"/>
      <c r="AC57" s="623"/>
      <c r="AD57" s="637"/>
      <c r="AE57" s="923"/>
      <c r="AF57" s="924"/>
      <c r="AG57" s="925"/>
    </row>
    <row r="58" spans="2:33" ht="28.5" customHeight="1">
      <c r="B58" s="908"/>
      <c r="C58" s="909"/>
      <c r="D58" s="909"/>
      <c r="E58" s="910"/>
      <c r="F58" s="1036"/>
      <c r="G58" s="1037"/>
      <c r="H58" s="612" t="s">
        <v>367</v>
      </c>
      <c r="I58" s="612"/>
      <c r="J58" s="612"/>
      <c r="K58" s="613"/>
      <c r="L58" s="613"/>
      <c r="M58" s="613"/>
      <c r="N58" s="613"/>
      <c r="O58" s="613"/>
      <c r="P58" s="613"/>
      <c r="Q58" s="613"/>
      <c r="R58" s="613"/>
      <c r="S58" s="614"/>
      <c r="T58" s="614"/>
      <c r="U58" s="614"/>
      <c r="V58" s="613"/>
      <c r="W58" s="613"/>
      <c r="X58" s="613"/>
      <c r="Y58" s="613"/>
      <c r="Z58" s="613"/>
      <c r="AA58" s="613"/>
      <c r="AB58" s="613"/>
      <c r="AC58" s="613"/>
      <c r="AD58" s="638"/>
      <c r="AE58" s="992"/>
      <c r="AF58" s="916"/>
      <c r="AG58" s="917"/>
    </row>
    <row r="59" spans="2:33" ht="28.5" customHeight="1">
      <c r="B59" s="908"/>
      <c r="C59" s="909"/>
      <c r="D59" s="909"/>
      <c r="E59" s="910"/>
      <c r="F59" s="1036"/>
      <c r="G59" s="1037"/>
      <c r="H59" s="615" t="s">
        <v>439</v>
      </c>
      <c r="I59" s="615"/>
      <c r="J59" s="615"/>
      <c r="K59" s="623"/>
      <c r="L59" s="623"/>
      <c r="M59" s="623"/>
      <c r="N59" s="623"/>
      <c r="O59" s="623"/>
      <c r="P59" s="623"/>
      <c r="Q59" s="623"/>
      <c r="R59" s="623"/>
      <c r="S59" s="624"/>
      <c r="T59" s="624"/>
      <c r="U59" s="624"/>
      <c r="V59" s="623"/>
      <c r="W59" s="623"/>
      <c r="X59" s="623"/>
      <c r="Y59" s="623"/>
      <c r="Z59" s="623"/>
      <c r="AA59" s="623"/>
      <c r="AB59" s="623"/>
      <c r="AC59" s="623"/>
      <c r="AD59" s="637"/>
      <c r="AE59" s="992"/>
      <c r="AF59" s="916"/>
      <c r="AG59" s="917"/>
    </row>
    <row r="60" spans="2:33" ht="28.5" customHeight="1">
      <c r="B60" s="908"/>
      <c r="C60" s="909"/>
      <c r="D60" s="909"/>
      <c r="E60" s="910"/>
      <c r="F60" s="1036"/>
      <c r="G60" s="1037"/>
      <c r="H60" s="615" t="s">
        <v>443</v>
      </c>
      <c r="I60" s="615"/>
      <c r="J60" s="615"/>
      <c r="K60" s="623"/>
      <c r="L60" s="623"/>
      <c r="M60" s="623"/>
      <c r="N60" s="623"/>
      <c r="O60" s="623"/>
      <c r="P60" s="623"/>
      <c r="Q60" s="623"/>
      <c r="R60" s="623"/>
      <c r="S60" s="624"/>
      <c r="T60" s="624"/>
      <c r="U60" s="624"/>
      <c r="V60" s="623"/>
      <c r="W60" s="623"/>
      <c r="X60" s="623"/>
      <c r="Y60" s="623"/>
      <c r="Z60" s="623"/>
      <c r="AA60" s="623"/>
      <c r="AB60" s="623"/>
      <c r="AC60" s="623"/>
      <c r="AD60" s="637"/>
      <c r="AE60" s="992"/>
      <c r="AF60" s="916"/>
      <c r="AG60" s="917"/>
    </row>
    <row r="61" spans="2:33" ht="28.5" customHeight="1">
      <c r="B61" s="908"/>
      <c r="C61" s="909"/>
      <c r="D61" s="909"/>
      <c r="E61" s="910"/>
      <c r="F61" s="1036"/>
      <c r="G61" s="1037"/>
      <c r="H61" s="612" t="s">
        <v>366</v>
      </c>
      <c r="I61" s="612"/>
      <c r="J61" s="612"/>
      <c r="K61" s="613"/>
      <c r="L61" s="613"/>
      <c r="M61" s="613"/>
      <c r="N61" s="613"/>
      <c r="O61" s="613"/>
      <c r="P61" s="613"/>
      <c r="Q61" s="613"/>
      <c r="R61" s="613"/>
      <c r="S61" s="614"/>
      <c r="T61" s="614"/>
      <c r="U61" s="614"/>
      <c r="V61" s="613"/>
      <c r="W61" s="613"/>
      <c r="X61" s="613"/>
      <c r="Y61" s="613"/>
      <c r="Z61" s="613"/>
      <c r="AA61" s="613"/>
      <c r="AB61" s="613"/>
      <c r="AC61" s="613"/>
      <c r="AD61" s="638"/>
      <c r="AE61" s="992"/>
      <c r="AF61" s="916"/>
      <c r="AG61" s="917"/>
    </row>
    <row r="62" spans="2:33" ht="28.5" customHeight="1">
      <c r="B62" s="908"/>
      <c r="C62" s="909"/>
      <c r="D62" s="909"/>
      <c r="E62" s="910"/>
      <c r="F62" s="1036"/>
      <c r="G62" s="1037"/>
      <c r="H62" s="612" t="s">
        <v>365</v>
      </c>
      <c r="I62" s="612"/>
      <c r="J62" s="612"/>
      <c r="K62" s="613"/>
      <c r="L62" s="613"/>
      <c r="M62" s="613"/>
      <c r="N62" s="613"/>
      <c r="O62" s="613"/>
      <c r="P62" s="613"/>
      <c r="Q62" s="613"/>
      <c r="R62" s="613"/>
      <c r="S62" s="614"/>
      <c r="T62" s="614"/>
      <c r="U62" s="614"/>
      <c r="V62" s="613"/>
      <c r="W62" s="613"/>
      <c r="X62" s="613"/>
      <c r="Y62" s="613"/>
      <c r="Z62" s="613"/>
      <c r="AA62" s="613"/>
      <c r="AB62" s="613"/>
      <c r="AC62" s="613"/>
      <c r="AD62" s="638"/>
      <c r="AE62" s="992"/>
      <c r="AF62" s="916"/>
      <c r="AG62" s="917"/>
    </row>
    <row r="63" spans="2:33" ht="28.5" customHeight="1">
      <c r="B63" s="908"/>
      <c r="C63" s="909"/>
      <c r="D63" s="909"/>
      <c r="E63" s="910"/>
      <c r="F63" s="1036"/>
      <c r="G63" s="1037"/>
      <c r="H63" s="612" t="s">
        <v>364</v>
      </c>
      <c r="I63" s="612"/>
      <c r="J63" s="612"/>
      <c r="K63" s="613"/>
      <c r="L63" s="613"/>
      <c r="M63" s="613"/>
      <c r="N63" s="613"/>
      <c r="O63" s="613"/>
      <c r="P63" s="613"/>
      <c r="Q63" s="613"/>
      <c r="R63" s="613"/>
      <c r="S63" s="614"/>
      <c r="T63" s="614"/>
      <c r="U63" s="614"/>
      <c r="V63" s="613"/>
      <c r="W63" s="613"/>
      <c r="X63" s="613"/>
      <c r="Y63" s="613"/>
      <c r="Z63" s="613"/>
      <c r="AA63" s="613"/>
      <c r="AB63" s="613"/>
      <c r="AC63" s="613"/>
      <c r="AD63" s="638"/>
      <c r="AE63" s="992"/>
      <c r="AF63" s="916"/>
      <c r="AG63" s="917"/>
    </row>
    <row r="64" spans="2:33" ht="28.5" customHeight="1">
      <c r="B64" s="908"/>
      <c r="C64" s="909"/>
      <c r="D64" s="909"/>
      <c r="E64" s="910"/>
      <c r="F64" s="1036"/>
      <c r="G64" s="1037"/>
      <c r="H64" s="618" t="s">
        <v>442</v>
      </c>
      <c r="I64" s="618"/>
      <c r="J64" s="618"/>
      <c r="K64" s="619"/>
      <c r="L64" s="619"/>
      <c r="M64" s="619"/>
      <c r="N64" s="619"/>
      <c r="O64" s="612"/>
      <c r="P64" s="620"/>
      <c r="Q64" s="620"/>
      <c r="R64" s="620"/>
      <c r="S64" s="612"/>
      <c r="T64" s="612"/>
      <c r="U64" s="612"/>
      <c r="V64" s="620"/>
      <c r="W64" s="620"/>
      <c r="X64" s="620"/>
      <c r="Y64" s="620"/>
      <c r="Z64" s="620"/>
      <c r="AA64" s="620"/>
      <c r="AB64" s="620"/>
      <c r="AC64" s="620"/>
      <c r="AD64" s="645"/>
      <c r="AE64" s="992"/>
      <c r="AF64" s="916"/>
      <c r="AG64" s="917"/>
    </row>
    <row r="65" spans="2:34" ht="28.5" customHeight="1">
      <c r="B65" s="908"/>
      <c r="C65" s="909"/>
      <c r="D65" s="909"/>
      <c r="E65" s="910"/>
      <c r="F65" s="1036"/>
      <c r="G65" s="1037"/>
      <c r="H65" s="612" t="s">
        <v>355</v>
      </c>
      <c r="I65" s="612"/>
      <c r="J65" s="612"/>
      <c r="K65" s="613"/>
      <c r="L65" s="613"/>
      <c r="M65" s="613"/>
      <c r="N65" s="613"/>
      <c r="O65" s="613"/>
      <c r="P65" s="613"/>
      <c r="Q65" s="613"/>
      <c r="R65" s="613"/>
      <c r="S65" s="614"/>
      <c r="T65" s="614"/>
      <c r="U65" s="614"/>
      <c r="V65" s="613"/>
      <c r="W65" s="613"/>
      <c r="X65" s="613"/>
      <c r="Y65" s="613"/>
      <c r="Z65" s="613"/>
      <c r="AA65" s="613"/>
      <c r="AB65" s="613"/>
      <c r="AC65" s="613"/>
      <c r="AD65" s="638"/>
      <c r="AE65" s="992"/>
      <c r="AF65" s="916"/>
      <c r="AG65" s="917"/>
    </row>
    <row r="66" spans="2:34" ht="28.5" customHeight="1">
      <c r="B66" s="908"/>
      <c r="C66" s="909"/>
      <c r="D66" s="909"/>
      <c r="E66" s="910"/>
      <c r="F66" s="1036"/>
      <c r="G66" s="1037"/>
      <c r="H66" s="612" t="s">
        <v>361</v>
      </c>
      <c r="I66" s="618"/>
      <c r="J66" s="618"/>
      <c r="K66" s="619"/>
      <c r="L66" s="619"/>
      <c r="M66" s="619"/>
      <c r="N66" s="619"/>
      <c r="O66" s="619"/>
      <c r="P66" s="619"/>
      <c r="Q66" s="619"/>
      <c r="R66" s="619"/>
      <c r="S66" s="626"/>
      <c r="T66" s="626"/>
      <c r="U66" s="626"/>
      <c r="V66" s="619"/>
      <c r="W66" s="619"/>
      <c r="X66" s="619"/>
      <c r="Y66" s="619"/>
      <c r="Z66" s="619"/>
      <c r="AA66" s="619"/>
      <c r="AB66" s="619"/>
      <c r="AC66" s="619"/>
      <c r="AD66" s="639"/>
      <c r="AE66" s="992"/>
      <c r="AF66" s="916"/>
      <c r="AG66" s="917"/>
    </row>
    <row r="67" spans="2:34" ht="28.5" customHeight="1">
      <c r="B67" s="908"/>
      <c r="C67" s="909"/>
      <c r="D67" s="909"/>
      <c r="E67" s="910"/>
      <c r="F67" s="1036"/>
      <c r="G67" s="1037"/>
      <c r="H67" s="612" t="s">
        <v>360</v>
      </c>
      <c r="I67" s="612"/>
      <c r="J67" s="612"/>
      <c r="K67" s="613"/>
      <c r="L67" s="613"/>
      <c r="M67" s="613"/>
      <c r="N67" s="613"/>
      <c r="O67" s="613"/>
      <c r="P67" s="613"/>
      <c r="Q67" s="613"/>
      <c r="R67" s="613"/>
      <c r="S67" s="614"/>
      <c r="T67" s="614"/>
      <c r="U67" s="614"/>
      <c r="V67" s="613"/>
      <c r="W67" s="613"/>
      <c r="X67" s="613"/>
      <c r="Y67" s="613"/>
      <c r="Z67" s="613"/>
      <c r="AA67" s="613"/>
      <c r="AB67" s="613"/>
      <c r="AC67" s="613"/>
      <c r="AD67" s="638"/>
      <c r="AE67" s="992"/>
      <c r="AF67" s="916"/>
      <c r="AG67" s="917"/>
    </row>
    <row r="68" spans="2:34" ht="28.5" customHeight="1">
      <c r="B68" s="908"/>
      <c r="C68" s="909"/>
      <c r="D68" s="909"/>
      <c r="E68" s="910"/>
      <c r="F68" s="1036"/>
      <c r="G68" s="1037"/>
      <c r="H68" s="612" t="s">
        <v>359</v>
      </c>
      <c r="I68" s="618"/>
      <c r="J68" s="618"/>
      <c r="K68" s="619"/>
      <c r="L68" s="619"/>
      <c r="M68" s="619"/>
      <c r="N68" s="619"/>
      <c r="O68" s="619"/>
      <c r="P68" s="619"/>
      <c r="Q68" s="619"/>
      <c r="R68" s="619"/>
      <c r="S68" s="626"/>
      <c r="T68" s="626"/>
      <c r="U68" s="626"/>
      <c r="V68" s="619"/>
      <c r="W68" s="619"/>
      <c r="X68" s="619"/>
      <c r="Y68" s="619"/>
      <c r="Z68" s="619"/>
      <c r="AA68" s="619"/>
      <c r="AB68" s="619"/>
      <c r="AC68" s="619"/>
      <c r="AD68" s="639"/>
      <c r="AE68" s="992"/>
      <c r="AF68" s="916"/>
      <c r="AG68" s="917"/>
    </row>
    <row r="69" spans="2:34" ht="28.5" customHeight="1">
      <c r="B69" s="908"/>
      <c r="C69" s="909"/>
      <c r="D69" s="909"/>
      <c r="E69" s="910"/>
      <c r="F69" s="1036"/>
      <c r="G69" s="1037"/>
      <c r="H69" s="618" t="s">
        <v>352</v>
      </c>
      <c r="I69" s="618"/>
      <c r="J69" s="618"/>
      <c r="K69" s="619"/>
      <c r="L69" s="619"/>
      <c r="M69" s="619"/>
      <c r="N69" s="619"/>
      <c r="O69" s="619"/>
      <c r="P69" s="619"/>
      <c r="Q69" s="619"/>
      <c r="R69" s="619"/>
      <c r="S69" s="626"/>
      <c r="T69" s="626"/>
      <c r="U69" s="626"/>
      <c r="V69" s="619"/>
      <c r="W69" s="619"/>
      <c r="X69" s="619"/>
      <c r="Y69" s="619"/>
      <c r="Z69" s="619"/>
      <c r="AA69" s="619"/>
      <c r="AB69" s="619"/>
      <c r="AC69" s="619"/>
      <c r="AD69" s="639"/>
      <c r="AE69" s="1032"/>
      <c r="AF69" s="973"/>
      <c r="AG69" s="974"/>
    </row>
    <row r="70" spans="2:34" ht="28.5" customHeight="1">
      <c r="B70" s="908"/>
      <c r="C70" s="909"/>
      <c r="D70" s="909"/>
      <c r="E70" s="910"/>
      <c r="F70" s="1036"/>
      <c r="G70" s="1037"/>
      <c r="H70" s="621" t="s">
        <v>441</v>
      </c>
      <c r="I70" s="612"/>
      <c r="J70" s="612"/>
      <c r="K70" s="613"/>
      <c r="L70" s="613"/>
      <c r="M70" s="613"/>
      <c r="N70" s="613"/>
      <c r="O70" s="613"/>
      <c r="P70" s="613"/>
      <c r="Q70" s="613"/>
      <c r="R70" s="613"/>
      <c r="S70" s="614"/>
      <c r="T70" s="614"/>
      <c r="U70" s="614"/>
      <c r="V70" s="613"/>
      <c r="W70" s="613"/>
      <c r="X70" s="613"/>
      <c r="Y70" s="613"/>
      <c r="Z70" s="613"/>
      <c r="AA70" s="613"/>
      <c r="AB70" s="613"/>
      <c r="AC70" s="613"/>
      <c r="AD70" s="638"/>
      <c r="AE70" s="992"/>
      <c r="AF70" s="916"/>
      <c r="AG70" s="917"/>
    </row>
    <row r="71" spans="2:34" ht="28.5" customHeight="1">
      <c r="B71" s="908"/>
      <c r="C71" s="909"/>
      <c r="D71" s="909"/>
      <c r="E71" s="910"/>
      <c r="F71" s="1036"/>
      <c r="G71" s="1037"/>
      <c r="H71" s="999" t="s">
        <v>363</v>
      </c>
      <c r="I71" s="1000"/>
      <c r="J71" s="1000"/>
      <c r="K71" s="1000"/>
      <c r="L71" s="1000"/>
      <c r="M71" s="1000"/>
      <c r="N71" s="1000"/>
      <c r="O71" s="1000"/>
      <c r="P71" s="1000"/>
      <c r="Q71" s="1000"/>
      <c r="R71" s="1000"/>
      <c r="S71" s="1000"/>
      <c r="T71" s="1000"/>
      <c r="U71" s="1000"/>
      <c r="V71" s="1000"/>
      <c r="W71" s="1000"/>
      <c r="X71" s="1000"/>
      <c r="Y71" s="1000"/>
      <c r="Z71" s="1000"/>
      <c r="AA71" s="1000"/>
      <c r="AB71" s="1000"/>
      <c r="AC71" s="1000"/>
      <c r="AD71" s="1001"/>
      <c r="AE71" s="992"/>
      <c r="AF71" s="916"/>
      <c r="AG71" s="917"/>
    </row>
    <row r="72" spans="2:34" ht="28.5" customHeight="1">
      <c r="B72" s="908"/>
      <c r="C72" s="909"/>
      <c r="D72" s="909"/>
      <c r="E72" s="910"/>
      <c r="F72" s="1038"/>
      <c r="G72" s="1039"/>
      <c r="H72" s="640" t="s">
        <v>362</v>
      </c>
      <c r="I72" s="641"/>
      <c r="J72" s="641"/>
      <c r="K72" s="642"/>
      <c r="L72" s="642"/>
      <c r="M72" s="642"/>
      <c r="N72" s="642"/>
      <c r="O72" s="642"/>
      <c r="P72" s="642"/>
      <c r="Q72" s="642"/>
      <c r="R72" s="642"/>
      <c r="S72" s="643"/>
      <c r="T72" s="643"/>
      <c r="U72" s="643"/>
      <c r="V72" s="642"/>
      <c r="W72" s="642"/>
      <c r="X72" s="642"/>
      <c r="Y72" s="642"/>
      <c r="Z72" s="642"/>
      <c r="AA72" s="642"/>
      <c r="AB72" s="642"/>
      <c r="AC72" s="642"/>
      <c r="AD72" s="644"/>
      <c r="AE72" s="989"/>
      <c r="AF72" s="990"/>
      <c r="AG72" s="991"/>
    </row>
    <row r="73" spans="2:34" ht="28.5" customHeight="1">
      <c r="B73" s="908"/>
      <c r="C73" s="909"/>
      <c r="D73" s="909"/>
      <c r="E73" s="910"/>
      <c r="F73" s="1054" t="s">
        <v>358</v>
      </c>
      <c r="G73" s="1055"/>
      <c r="H73" s="627" t="s">
        <v>353</v>
      </c>
      <c r="I73" s="615"/>
      <c r="J73" s="615"/>
      <c r="K73" s="623"/>
      <c r="L73" s="623"/>
      <c r="M73" s="623"/>
      <c r="N73" s="623"/>
      <c r="O73" s="623"/>
      <c r="P73" s="623"/>
      <c r="Q73" s="623"/>
      <c r="R73" s="623"/>
      <c r="S73" s="624"/>
      <c r="T73" s="624"/>
      <c r="U73" s="624"/>
      <c r="V73" s="623"/>
      <c r="W73" s="623"/>
      <c r="X73" s="623"/>
      <c r="Y73" s="623"/>
      <c r="Z73" s="623"/>
      <c r="AA73" s="623"/>
      <c r="AB73" s="623"/>
      <c r="AC73" s="623"/>
      <c r="AD73" s="637"/>
      <c r="AE73" s="923"/>
      <c r="AF73" s="924"/>
      <c r="AG73" s="925"/>
    </row>
    <row r="74" spans="2:34" ht="28.5" customHeight="1">
      <c r="B74" s="908"/>
      <c r="C74" s="909"/>
      <c r="D74" s="909"/>
      <c r="E74" s="910"/>
      <c r="F74" s="1036"/>
      <c r="G74" s="1037"/>
      <c r="H74" s="627" t="s">
        <v>368</v>
      </c>
      <c r="I74" s="615"/>
      <c r="J74" s="615"/>
      <c r="K74" s="623"/>
      <c r="L74" s="623"/>
      <c r="M74" s="623"/>
      <c r="N74" s="623"/>
      <c r="O74" s="623"/>
      <c r="P74" s="623"/>
      <c r="Q74" s="623"/>
      <c r="R74" s="623"/>
      <c r="S74" s="624"/>
      <c r="T74" s="624"/>
      <c r="U74" s="624"/>
      <c r="V74" s="623"/>
      <c r="W74" s="623"/>
      <c r="X74" s="623"/>
      <c r="Y74" s="623"/>
      <c r="Z74" s="623"/>
      <c r="AA74" s="623"/>
      <c r="AB74" s="623"/>
      <c r="AC74" s="623"/>
      <c r="AD74" s="637"/>
      <c r="AE74" s="992"/>
      <c r="AF74" s="916"/>
      <c r="AG74" s="917"/>
    </row>
    <row r="75" spans="2:34" ht="28.5" customHeight="1">
      <c r="B75" s="908"/>
      <c r="C75" s="909"/>
      <c r="D75" s="909"/>
      <c r="E75" s="910"/>
      <c r="F75" s="1036"/>
      <c r="G75" s="1037"/>
      <c r="H75" s="627" t="s">
        <v>439</v>
      </c>
      <c r="I75" s="615"/>
      <c r="J75" s="615"/>
      <c r="K75" s="623"/>
      <c r="L75" s="623"/>
      <c r="M75" s="623"/>
      <c r="N75" s="623"/>
      <c r="O75" s="623"/>
      <c r="P75" s="623"/>
      <c r="Q75" s="623"/>
      <c r="R75" s="623"/>
      <c r="S75" s="624"/>
      <c r="T75" s="624"/>
      <c r="U75" s="624"/>
      <c r="V75" s="623"/>
      <c r="W75" s="623"/>
      <c r="X75" s="623"/>
      <c r="Y75" s="623"/>
      <c r="Z75" s="623"/>
      <c r="AA75" s="623"/>
      <c r="AB75" s="623"/>
      <c r="AC75" s="623"/>
      <c r="AD75" s="637"/>
      <c r="AE75" s="992"/>
      <c r="AF75" s="916"/>
      <c r="AG75" s="917"/>
    </row>
    <row r="76" spans="2:34" ht="28.5" customHeight="1">
      <c r="B76" s="908"/>
      <c r="C76" s="909"/>
      <c r="D76" s="909"/>
      <c r="E76" s="910"/>
      <c r="F76" s="1036"/>
      <c r="G76" s="1037"/>
      <c r="H76" s="646" t="s">
        <v>355</v>
      </c>
      <c r="I76" s="607"/>
      <c r="J76" s="607"/>
      <c r="K76" s="616"/>
      <c r="L76" s="616"/>
      <c r="M76" s="616"/>
      <c r="N76" s="616"/>
      <c r="O76" s="616"/>
      <c r="P76" s="616"/>
      <c r="Q76" s="616"/>
      <c r="R76" s="616"/>
      <c r="S76" s="617"/>
      <c r="T76" s="617"/>
      <c r="U76" s="617"/>
      <c r="V76" s="616"/>
      <c r="W76" s="616"/>
      <c r="X76" s="616"/>
      <c r="Y76" s="616"/>
      <c r="Z76" s="616"/>
      <c r="AA76" s="616"/>
      <c r="AB76" s="616"/>
      <c r="AC76" s="616"/>
      <c r="AD76" s="647"/>
      <c r="AE76" s="992"/>
      <c r="AF76" s="916"/>
      <c r="AG76" s="917"/>
    </row>
    <row r="77" spans="2:34" ht="28.5" customHeight="1">
      <c r="B77" s="908"/>
      <c r="C77" s="909"/>
      <c r="D77" s="909"/>
      <c r="E77" s="910"/>
      <c r="F77" s="1036"/>
      <c r="G77" s="1037"/>
      <c r="H77" s="625" t="s">
        <v>352</v>
      </c>
      <c r="I77" s="618"/>
      <c r="J77" s="618"/>
      <c r="K77" s="619"/>
      <c r="L77" s="619"/>
      <c r="M77" s="619"/>
      <c r="N77" s="619"/>
      <c r="O77" s="619"/>
      <c r="P77" s="619"/>
      <c r="Q77" s="619"/>
      <c r="R77" s="619"/>
      <c r="S77" s="626"/>
      <c r="T77" s="626"/>
      <c r="U77" s="626"/>
      <c r="V77" s="619"/>
      <c r="W77" s="619"/>
      <c r="X77" s="619"/>
      <c r="Y77" s="619"/>
      <c r="Z77" s="619"/>
      <c r="AA77" s="619"/>
      <c r="AB77" s="619"/>
      <c r="AC77" s="619"/>
      <c r="AD77" s="639"/>
      <c r="AE77" s="1032"/>
      <c r="AF77" s="973"/>
      <c r="AG77" s="974"/>
    </row>
    <row r="78" spans="2:34" ht="28.5" customHeight="1" thickBot="1">
      <c r="B78" s="911"/>
      <c r="C78" s="912"/>
      <c r="D78" s="912"/>
      <c r="E78" s="913"/>
      <c r="F78" s="1056"/>
      <c r="G78" s="1057"/>
      <c r="H78" s="1021" t="s">
        <v>438</v>
      </c>
      <c r="I78" s="1022"/>
      <c r="J78" s="1022"/>
      <c r="K78" s="1022"/>
      <c r="L78" s="1022"/>
      <c r="M78" s="1022"/>
      <c r="N78" s="1022"/>
      <c r="O78" s="1022"/>
      <c r="P78" s="1022"/>
      <c r="Q78" s="1022"/>
      <c r="R78" s="1022"/>
      <c r="S78" s="1022"/>
      <c r="T78" s="1022"/>
      <c r="U78" s="1022"/>
      <c r="V78" s="1022"/>
      <c r="W78" s="1022"/>
      <c r="X78" s="1022"/>
      <c r="Y78" s="1022"/>
      <c r="Z78" s="1022"/>
      <c r="AA78" s="1022"/>
      <c r="AB78" s="1022"/>
      <c r="AC78" s="1022"/>
      <c r="AD78" s="1033"/>
      <c r="AE78" s="1053"/>
      <c r="AF78" s="979"/>
      <c r="AG78" s="980"/>
    </row>
    <row r="79" spans="2:34" ht="9" customHeight="1">
      <c r="B79" s="429"/>
      <c r="C79" s="429"/>
      <c r="D79" s="429"/>
      <c r="E79" s="429"/>
      <c r="F79" s="632"/>
      <c r="G79" s="632"/>
      <c r="H79" s="632"/>
      <c r="I79" s="632"/>
      <c r="J79" s="632"/>
      <c r="K79" s="632"/>
      <c r="L79" s="632"/>
      <c r="M79" s="632"/>
      <c r="N79" s="632"/>
      <c r="O79" s="632"/>
      <c r="P79" s="632"/>
      <c r="Q79" s="632"/>
      <c r="R79" s="632"/>
      <c r="S79" s="632"/>
      <c r="T79" s="632"/>
      <c r="U79" s="632"/>
      <c r="V79" s="632"/>
      <c r="W79" s="632"/>
      <c r="X79" s="632"/>
      <c r="Y79" s="632"/>
      <c r="Z79" s="632"/>
      <c r="AA79" s="632"/>
      <c r="AB79" s="632"/>
      <c r="AC79" s="632"/>
      <c r="AD79" s="632"/>
      <c r="AE79" s="632"/>
      <c r="AF79" s="632"/>
      <c r="AG79" s="632"/>
      <c r="AH79" s="429"/>
    </row>
    <row r="80" spans="2:34" ht="9" customHeight="1" thickBot="1">
      <c r="B80" s="429"/>
      <c r="C80" s="429"/>
      <c r="D80" s="429"/>
      <c r="E80" s="429"/>
      <c r="F80" s="632"/>
      <c r="G80" s="632"/>
      <c r="H80" s="632"/>
      <c r="I80" s="632"/>
      <c r="J80" s="632"/>
      <c r="K80" s="632"/>
      <c r="L80" s="632"/>
      <c r="M80" s="632"/>
      <c r="N80" s="632"/>
      <c r="O80" s="632"/>
      <c r="P80" s="632"/>
      <c r="Q80" s="632"/>
      <c r="R80" s="632"/>
      <c r="S80" s="632"/>
      <c r="T80" s="632"/>
      <c r="U80" s="632"/>
      <c r="V80" s="632"/>
      <c r="W80" s="632"/>
      <c r="X80" s="632"/>
      <c r="Y80" s="632"/>
      <c r="Z80" s="632"/>
      <c r="AA80" s="632"/>
      <c r="AB80" s="632"/>
      <c r="AC80" s="632"/>
      <c r="AD80" s="632"/>
      <c r="AE80" s="632"/>
      <c r="AF80" s="632"/>
      <c r="AG80" s="632"/>
      <c r="AH80" s="429"/>
    </row>
    <row r="81" spans="2:33" ht="28.5" customHeight="1">
      <c r="B81" s="832" t="s">
        <v>440</v>
      </c>
      <c r="C81" s="834"/>
      <c r="D81" s="834"/>
      <c r="E81" s="835"/>
      <c r="F81" s="1034" t="s">
        <v>357</v>
      </c>
      <c r="G81" s="1035"/>
      <c r="H81" s="633" t="s">
        <v>353</v>
      </c>
      <c r="I81" s="608"/>
      <c r="J81" s="608"/>
      <c r="K81" s="634"/>
      <c r="L81" s="634"/>
      <c r="M81" s="634"/>
      <c r="N81" s="634"/>
      <c r="O81" s="634"/>
      <c r="P81" s="634"/>
      <c r="Q81" s="634"/>
      <c r="R81" s="634"/>
      <c r="S81" s="635"/>
      <c r="T81" s="635"/>
      <c r="U81" s="635"/>
      <c r="V81" s="634"/>
      <c r="W81" s="634"/>
      <c r="X81" s="634"/>
      <c r="Y81" s="634"/>
      <c r="Z81" s="634"/>
      <c r="AA81" s="634"/>
      <c r="AB81" s="634"/>
      <c r="AC81" s="634"/>
      <c r="AD81" s="648"/>
      <c r="AE81" s="1027"/>
      <c r="AF81" s="919"/>
      <c r="AG81" s="920"/>
    </row>
    <row r="82" spans="2:33" ht="28.5" customHeight="1">
      <c r="B82" s="908"/>
      <c r="C82" s="909"/>
      <c r="D82" s="909"/>
      <c r="E82" s="910"/>
      <c r="F82" s="1036"/>
      <c r="G82" s="1037"/>
      <c r="H82" s="646" t="s">
        <v>439</v>
      </c>
      <c r="I82" s="607"/>
      <c r="J82" s="607"/>
      <c r="K82" s="616"/>
      <c r="L82" s="616"/>
      <c r="M82" s="616"/>
      <c r="N82" s="616"/>
      <c r="O82" s="616"/>
      <c r="P82" s="616"/>
      <c r="Q82" s="616"/>
      <c r="R82" s="616"/>
      <c r="S82" s="617"/>
      <c r="T82" s="617"/>
      <c r="U82" s="617"/>
      <c r="V82" s="616"/>
      <c r="W82" s="616"/>
      <c r="X82" s="616"/>
      <c r="Y82" s="616"/>
      <c r="Z82" s="616"/>
      <c r="AA82" s="616"/>
      <c r="AB82" s="616"/>
      <c r="AC82" s="616"/>
      <c r="AD82" s="649"/>
      <c r="AE82" s="972"/>
      <c r="AF82" s="973"/>
      <c r="AG82" s="974"/>
    </row>
    <row r="83" spans="2:33" ht="28.5" customHeight="1">
      <c r="B83" s="908"/>
      <c r="C83" s="909"/>
      <c r="D83" s="909"/>
      <c r="E83" s="910"/>
      <c r="F83" s="1036"/>
      <c r="G83" s="1037"/>
      <c r="H83" s="625" t="s">
        <v>352</v>
      </c>
      <c r="I83" s="618"/>
      <c r="J83" s="618"/>
      <c r="K83" s="619"/>
      <c r="L83" s="619"/>
      <c r="M83" s="619"/>
      <c r="N83" s="619"/>
      <c r="O83" s="619"/>
      <c r="P83" s="619"/>
      <c r="Q83" s="619"/>
      <c r="R83" s="619"/>
      <c r="S83" s="626"/>
      <c r="T83" s="626"/>
      <c r="U83" s="626"/>
      <c r="V83" s="619"/>
      <c r="W83" s="619"/>
      <c r="X83" s="619"/>
      <c r="Y83" s="619"/>
      <c r="Z83" s="619"/>
      <c r="AA83" s="619"/>
      <c r="AB83" s="619"/>
      <c r="AC83" s="619"/>
      <c r="AD83" s="650"/>
      <c r="AE83" s="972"/>
      <c r="AF83" s="973"/>
      <c r="AG83" s="974"/>
    </row>
    <row r="84" spans="2:33" ht="28.5" customHeight="1">
      <c r="B84" s="908"/>
      <c r="C84" s="909"/>
      <c r="D84" s="909"/>
      <c r="E84" s="910"/>
      <c r="F84" s="1038"/>
      <c r="G84" s="1039"/>
      <c r="H84" s="1028" t="s">
        <v>438</v>
      </c>
      <c r="I84" s="1029"/>
      <c r="J84" s="1029"/>
      <c r="K84" s="1029"/>
      <c r="L84" s="1029"/>
      <c r="M84" s="1029"/>
      <c r="N84" s="1029"/>
      <c r="O84" s="1029"/>
      <c r="P84" s="1029"/>
      <c r="Q84" s="1029"/>
      <c r="R84" s="1029"/>
      <c r="S84" s="1029"/>
      <c r="T84" s="1029"/>
      <c r="U84" s="1029"/>
      <c r="V84" s="1029"/>
      <c r="W84" s="1029"/>
      <c r="X84" s="1029"/>
      <c r="Y84" s="1029"/>
      <c r="Z84" s="1029"/>
      <c r="AA84" s="1029"/>
      <c r="AB84" s="1029"/>
      <c r="AC84" s="1029"/>
      <c r="AD84" s="1030"/>
      <c r="AE84" s="1031"/>
      <c r="AF84" s="990"/>
      <c r="AG84" s="991"/>
    </row>
    <row r="85" spans="2:33" ht="28.5" customHeight="1">
      <c r="B85" s="908"/>
      <c r="C85" s="909"/>
      <c r="D85" s="909"/>
      <c r="E85" s="910"/>
      <c r="F85" s="1054" t="s">
        <v>356</v>
      </c>
      <c r="G85" s="1055"/>
      <c r="H85" s="627" t="s">
        <v>353</v>
      </c>
      <c r="I85" s="615"/>
      <c r="J85" s="615"/>
      <c r="K85" s="623"/>
      <c r="L85" s="623"/>
      <c r="M85" s="623"/>
      <c r="N85" s="623"/>
      <c r="O85" s="623"/>
      <c r="P85" s="623"/>
      <c r="Q85" s="623"/>
      <c r="R85" s="623"/>
      <c r="S85" s="624"/>
      <c r="T85" s="624"/>
      <c r="U85" s="624"/>
      <c r="V85" s="623"/>
      <c r="W85" s="623"/>
      <c r="X85" s="623"/>
      <c r="Y85" s="623"/>
      <c r="Z85" s="623"/>
      <c r="AA85" s="623"/>
      <c r="AB85" s="623"/>
      <c r="AC85" s="623"/>
      <c r="AD85" s="651"/>
      <c r="AE85" s="1024"/>
      <c r="AF85" s="924"/>
      <c r="AG85" s="925"/>
    </row>
    <row r="86" spans="2:33" ht="28.5" customHeight="1">
      <c r="B86" s="908"/>
      <c r="C86" s="909"/>
      <c r="D86" s="909"/>
      <c r="E86" s="910"/>
      <c r="F86" s="1036"/>
      <c r="G86" s="1037"/>
      <c r="H86" s="621" t="s">
        <v>368</v>
      </c>
      <c r="I86" s="612"/>
      <c r="J86" s="612"/>
      <c r="K86" s="613"/>
      <c r="L86" s="613"/>
      <c r="M86" s="613"/>
      <c r="N86" s="613"/>
      <c r="O86" s="613"/>
      <c r="P86" s="613"/>
      <c r="Q86" s="613"/>
      <c r="R86" s="613"/>
      <c r="S86" s="614"/>
      <c r="T86" s="614"/>
      <c r="U86" s="614"/>
      <c r="V86" s="613"/>
      <c r="W86" s="613"/>
      <c r="X86" s="613"/>
      <c r="Y86" s="613"/>
      <c r="Z86" s="613"/>
      <c r="AA86" s="613"/>
      <c r="AB86" s="613"/>
      <c r="AC86" s="613"/>
      <c r="AD86" s="622"/>
      <c r="AE86" s="915"/>
      <c r="AF86" s="916"/>
      <c r="AG86" s="917"/>
    </row>
    <row r="87" spans="2:33" ht="28.5" customHeight="1">
      <c r="B87" s="908"/>
      <c r="C87" s="909"/>
      <c r="D87" s="909"/>
      <c r="E87" s="910"/>
      <c r="F87" s="1036"/>
      <c r="G87" s="1037"/>
      <c r="H87" s="627" t="s">
        <v>439</v>
      </c>
      <c r="I87" s="615"/>
      <c r="J87" s="615"/>
      <c r="K87" s="623"/>
      <c r="L87" s="623"/>
      <c r="M87" s="623"/>
      <c r="N87" s="623"/>
      <c r="O87" s="623"/>
      <c r="P87" s="623"/>
      <c r="Q87" s="623"/>
      <c r="R87" s="623"/>
      <c r="S87" s="624"/>
      <c r="T87" s="624"/>
      <c r="U87" s="624"/>
      <c r="V87" s="623"/>
      <c r="W87" s="623"/>
      <c r="X87" s="623"/>
      <c r="Y87" s="623"/>
      <c r="Z87" s="623"/>
      <c r="AA87" s="623"/>
      <c r="AB87" s="623"/>
      <c r="AC87" s="623"/>
      <c r="AD87" s="651"/>
      <c r="AE87" s="1024"/>
      <c r="AF87" s="924"/>
      <c r="AG87" s="925"/>
    </row>
    <row r="88" spans="2:33" ht="28.5" customHeight="1">
      <c r="B88" s="908"/>
      <c r="C88" s="909"/>
      <c r="D88" s="909"/>
      <c r="E88" s="910"/>
      <c r="F88" s="1036"/>
      <c r="G88" s="1037"/>
      <c r="H88" s="625" t="s">
        <v>355</v>
      </c>
      <c r="I88" s="618"/>
      <c r="J88" s="618"/>
      <c r="K88" s="619"/>
      <c r="L88" s="619"/>
      <c r="M88" s="619"/>
      <c r="N88" s="619"/>
      <c r="O88" s="619"/>
      <c r="P88" s="619"/>
      <c r="Q88" s="619"/>
      <c r="R88" s="619"/>
      <c r="S88" s="626"/>
      <c r="T88" s="626"/>
      <c r="U88" s="626"/>
      <c r="V88" s="619"/>
      <c r="W88" s="619"/>
      <c r="X88" s="619"/>
      <c r="Y88" s="619"/>
      <c r="Z88" s="619"/>
      <c r="AA88" s="619"/>
      <c r="AB88" s="619"/>
      <c r="AC88" s="619"/>
      <c r="AD88" s="650"/>
      <c r="AE88" s="972"/>
      <c r="AF88" s="973"/>
      <c r="AG88" s="974"/>
    </row>
    <row r="89" spans="2:33" ht="28.5" customHeight="1">
      <c r="B89" s="908"/>
      <c r="C89" s="909"/>
      <c r="D89" s="909"/>
      <c r="E89" s="910"/>
      <c r="F89" s="1036"/>
      <c r="G89" s="1037"/>
      <c r="H89" s="625" t="s">
        <v>352</v>
      </c>
      <c r="I89" s="618"/>
      <c r="J89" s="618"/>
      <c r="K89" s="619"/>
      <c r="L89" s="619"/>
      <c r="M89" s="619"/>
      <c r="N89" s="619"/>
      <c r="O89" s="619"/>
      <c r="P89" s="619"/>
      <c r="Q89" s="619"/>
      <c r="R89" s="619"/>
      <c r="S89" s="626"/>
      <c r="T89" s="626"/>
      <c r="U89" s="626"/>
      <c r="V89" s="619"/>
      <c r="W89" s="619"/>
      <c r="X89" s="619"/>
      <c r="Y89" s="619"/>
      <c r="Z89" s="619"/>
      <c r="AA89" s="619"/>
      <c r="AB89" s="619"/>
      <c r="AC89" s="619"/>
      <c r="AD89" s="650"/>
      <c r="AE89" s="915"/>
      <c r="AF89" s="916"/>
      <c r="AG89" s="917"/>
    </row>
    <row r="90" spans="2:33" ht="28.5" customHeight="1" thickBot="1">
      <c r="B90" s="911"/>
      <c r="C90" s="912"/>
      <c r="D90" s="912"/>
      <c r="E90" s="913"/>
      <c r="F90" s="1056"/>
      <c r="G90" s="1057"/>
      <c r="H90" s="1021" t="s">
        <v>438</v>
      </c>
      <c r="I90" s="1022"/>
      <c r="J90" s="1022"/>
      <c r="K90" s="1022"/>
      <c r="L90" s="1022"/>
      <c r="M90" s="1022"/>
      <c r="N90" s="1022"/>
      <c r="O90" s="1022"/>
      <c r="P90" s="1022"/>
      <c r="Q90" s="1022"/>
      <c r="R90" s="1022"/>
      <c r="S90" s="1022"/>
      <c r="T90" s="1022"/>
      <c r="U90" s="1022"/>
      <c r="V90" s="1022"/>
      <c r="W90" s="1022"/>
      <c r="X90" s="1022"/>
      <c r="Y90" s="1022"/>
      <c r="Z90" s="1022"/>
      <c r="AA90" s="1022"/>
      <c r="AB90" s="1022"/>
      <c r="AC90" s="1022"/>
      <c r="AD90" s="1023"/>
      <c r="AE90" s="978"/>
      <c r="AF90" s="979"/>
      <c r="AG90" s="980"/>
    </row>
    <row r="91" spans="2:33" ht="31.5" customHeight="1">
      <c r="B91" s="1002" t="s">
        <v>437</v>
      </c>
      <c r="C91" s="951"/>
      <c r="D91" s="951"/>
      <c r="E91" s="1040"/>
      <c r="F91" s="1043" t="s">
        <v>354</v>
      </c>
      <c r="G91" s="1044"/>
      <c r="H91" s="1044"/>
      <c r="I91" s="1044"/>
      <c r="J91" s="1044"/>
      <c r="K91" s="1044"/>
      <c r="L91" s="1044"/>
      <c r="M91" s="1044"/>
      <c r="N91" s="1044"/>
      <c r="O91" s="1044"/>
      <c r="P91" s="1044"/>
      <c r="Q91" s="1044"/>
      <c r="R91" s="1044"/>
      <c r="S91" s="1044"/>
      <c r="T91" s="1044"/>
      <c r="U91" s="1044"/>
      <c r="V91" s="1044"/>
      <c r="W91" s="1044"/>
      <c r="X91" s="1044"/>
      <c r="Y91" s="1044"/>
      <c r="Z91" s="1045"/>
      <c r="AA91" s="1049" t="s">
        <v>436</v>
      </c>
      <c r="AB91" s="1050"/>
      <c r="AC91" s="1050"/>
      <c r="AD91" s="1050"/>
      <c r="AE91" s="995"/>
      <c r="AF91" s="996"/>
      <c r="AG91" s="652" t="s">
        <v>433</v>
      </c>
    </row>
    <row r="92" spans="2:33" ht="31.5" customHeight="1" thickBot="1">
      <c r="B92" s="1041"/>
      <c r="C92" s="952"/>
      <c r="D92" s="952"/>
      <c r="E92" s="1042"/>
      <c r="F92" s="1046" t="s">
        <v>435</v>
      </c>
      <c r="G92" s="1047"/>
      <c r="H92" s="1047"/>
      <c r="I92" s="1047"/>
      <c r="J92" s="1047"/>
      <c r="K92" s="1047"/>
      <c r="L92" s="1047"/>
      <c r="M92" s="1047"/>
      <c r="N92" s="1047"/>
      <c r="O92" s="1047"/>
      <c r="P92" s="1047"/>
      <c r="Q92" s="1047"/>
      <c r="R92" s="1047"/>
      <c r="S92" s="1047"/>
      <c r="T92" s="1047"/>
      <c r="U92" s="1047"/>
      <c r="V92" s="1047"/>
      <c r="W92" s="1047"/>
      <c r="X92" s="1047"/>
      <c r="Y92" s="1047"/>
      <c r="Z92" s="1048"/>
      <c r="AA92" s="1051" t="s">
        <v>434</v>
      </c>
      <c r="AB92" s="1052"/>
      <c r="AC92" s="1052"/>
      <c r="AD92" s="1052"/>
      <c r="AE92" s="997"/>
      <c r="AF92" s="998"/>
      <c r="AG92" s="653" t="s">
        <v>433</v>
      </c>
    </row>
    <row r="93" spans="2:33" ht="28.5" customHeight="1" thickBot="1">
      <c r="B93" s="471" t="s">
        <v>432</v>
      </c>
      <c r="C93" s="470"/>
      <c r="D93" s="470"/>
      <c r="E93" s="470"/>
      <c r="F93" s="654"/>
      <c r="G93" s="654"/>
      <c r="H93" s="654"/>
      <c r="I93" s="654"/>
      <c r="J93" s="654"/>
      <c r="K93" s="655"/>
      <c r="L93" s="655"/>
      <c r="M93" s="655"/>
      <c r="N93" s="655"/>
      <c r="O93" s="655"/>
      <c r="P93" s="655"/>
      <c r="Q93" s="655"/>
      <c r="R93" s="655"/>
      <c r="S93" s="656"/>
      <c r="T93" s="656"/>
      <c r="U93" s="656"/>
      <c r="V93" s="655"/>
      <c r="W93" s="655"/>
      <c r="X93" s="655"/>
      <c r="Y93" s="655"/>
      <c r="Z93" s="655"/>
      <c r="AA93" s="987">
        <f>SUM('3_区分3計算表'!$H$37,'3_区分3計算表'!$L$37)</f>
        <v>2</v>
      </c>
      <c r="AB93" s="988"/>
      <c r="AC93" s="988"/>
      <c r="AD93" s="988"/>
      <c r="AE93" s="988"/>
      <c r="AF93" s="988"/>
      <c r="AG93" s="657" t="s">
        <v>428</v>
      </c>
    </row>
    <row r="94" spans="2:33" ht="28.5" customHeight="1">
      <c r="B94" s="1002" t="s">
        <v>431</v>
      </c>
      <c r="C94" s="1003"/>
      <c r="D94" s="1003"/>
      <c r="E94" s="1004"/>
      <c r="F94" s="608" t="s">
        <v>430</v>
      </c>
      <c r="G94" s="608"/>
      <c r="H94" s="608"/>
      <c r="I94" s="608"/>
      <c r="J94" s="608"/>
      <c r="K94" s="634"/>
      <c r="L94" s="634"/>
      <c r="M94" s="634"/>
      <c r="N94" s="634"/>
      <c r="O94" s="634"/>
      <c r="P94" s="634"/>
      <c r="Q94" s="634"/>
      <c r="R94" s="634"/>
      <c r="S94" s="635"/>
      <c r="T94" s="635"/>
      <c r="U94" s="635"/>
      <c r="V94" s="634"/>
      <c r="W94" s="634"/>
      <c r="X94" s="634"/>
      <c r="Y94" s="634"/>
      <c r="Z94" s="634"/>
      <c r="AA94" s="1025" t="str">
        <f>【参考】計算結果!$D17</f>
        <v>実人数を入力してください。</v>
      </c>
      <c r="AB94" s="1026"/>
      <c r="AC94" s="1026"/>
      <c r="AD94" s="1026"/>
      <c r="AE94" s="1026"/>
      <c r="AF94" s="1026"/>
      <c r="AG94" s="658" t="s">
        <v>428</v>
      </c>
    </row>
    <row r="95" spans="2:33" ht="28.5" customHeight="1" thickBot="1">
      <c r="B95" s="1005"/>
      <c r="C95" s="1006"/>
      <c r="D95" s="1006"/>
      <c r="E95" s="1007"/>
      <c r="F95" s="659" t="s">
        <v>429</v>
      </c>
      <c r="G95" s="660"/>
      <c r="H95" s="660"/>
      <c r="I95" s="660"/>
      <c r="J95" s="661"/>
      <c r="K95" s="661"/>
      <c r="L95" s="661"/>
      <c r="M95" s="661"/>
      <c r="N95" s="661"/>
      <c r="O95" s="661"/>
      <c r="P95" s="661"/>
      <c r="Q95" s="661"/>
      <c r="R95" s="661"/>
      <c r="S95" s="660"/>
      <c r="T95" s="660"/>
      <c r="U95" s="660"/>
      <c r="V95" s="661"/>
      <c r="W95" s="661"/>
      <c r="X95" s="661"/>
      <c r="Y95" s="661"/>
      <c r="Z95" s="661"/>
      <c r="AA95" s="993" t="str">
        <f>【参考】計算結果!$D18</f>
        <v>実人数を入力してください。</v>
      </c>
      <c r="AB95" s="994"/>
      <c r="AC95" s="994"/>
      <c r="AD95" s="994"/>
      <c r="AE95" s="994"/>
      <c r="AF95" s="994"/>
      <c r="AG95" s="662" t="s">
        <v>428</v>
      </c>
    </row>
    <row r="96" spans="2:33" ht="15" customHeight="1">
      <c r="B96" s="450" t="s">
        <v>427</v>
      </c>
      <c r="C96" s="467"/>
      <c r="D96" s="467"/>
      <c r="E96" s="467"/>
      <c r="F96" s="663"/>
      <c r="G96" s="617"/>
      <c r="H96" s="617"/>
      <c r="I96" s="617"/>
      <c r="J96" s="616"/>
      <c r="K96" s="616"/>
      <c r="L96" s="616"/>
      <c r="M96" s="616"/>
      <c r="N96" s="616"/>
      <c r="O96" s="616"/>
      <c r="P96" s="616"/>
      <c r="Q96" s="616"/>
      <c r="R96" s="616"/>
      <c r="S96" s="617"/>
      <c r="T96" s="617"/>
      <c r="U96" s="617"/>
      <c r="V96" s="616"/>
      <c r="W96" s="616"/>
      <c r="X96" s="616"/>
      <c r="Y96" s="616"/>
      <c r="Z96" s="616"/>
      <c r="AA96" s="616"/>
      <c r="AB96" s="616"/>
      <c r="AC96" s="616"/>
      <c r="AD96" s="616"/>
      <c r="AE96" s="617"/>
      <c r="AF96" s="617"/>
      <c r="AG96" s="617"/>
    </row>
    <row r="97" spans="2:36" ht="15" customHeight="1">
      <c r="B97" s="450" t="s">
        <v>426</v>
      </c>
      <c r="C97" s="467"/>
      <c r="D97" s="467"/>
      <c r="E97" s="467"/>
      <c r="F97" s="663"/>
      <c r="G97" s="617"/>
      <c r="H97" s="617"/>
      <c r="I97" s="617"/>
      <c r="J97" s="616"/>
      <c r="K97" s="616"/>
      <c r="L97" s="616"/>
      <c r="M97" s="616"/>
      <c r="N97" s="616"/>
      <c r="O97" s="616"/>
      <c r="P97" s="616"/>
      <c r="Q97" s="616"/>
      <c r="R97" s="616"/>
      <c r="S97" s="617"/>
      <c r="T97" s="617"/>
      <c r="U97" s="617"/>
      <c r="V97" s="616"/>
      <c r="W97" s="616"/>
      <c r="X97" s="616"/>
      <c r="Y97" s="616"/>
      <c r="Z97" s="616"/>
      <c r="AA97" s="616"/>
      <c r="AB97" s="616"/>
      <c r="AC97" s="616"/>
      <c r="AD97" s="616"/>
      <c r="AE97" s="617"/>
      <c r="AF97" s="617"/>
      <c r="AG97" s="617"/>
    </row>
    <row r="98" spans="2:36" ht="15" customHeight="1">
      <c r="B98" s="450" t="s">
        <v>425</v>
      </c>
      <c r="C98" s="467"/>
      <c r="D98" s="467"/>
      <c r="E98" s="467"/>
      <c r="F98" s="663"/>
      <c r="G98" s="617"/>
      <c r="H98" s="617"/>
      <c r="I98" s="617"/>
      <c r="J98" s="616"/>
      <c r="K98" s="616"/>
      <c r="L98" s="616"/>
      <c r="M98" s="616"/>
      <c r="N98" s="616"/>
      <c r="O98" s="616"/>
      <c r="P98" s="616"/>
      <c r="Q98" s="616"/>
      <c r="R98" s="616"/>
      <c r="S98" s="617"/>
      <c r="T98" s="617"/>
      <c r="U98" s="617"/>
      <c r="V98" s="616"/>
      <c r="W98" s="616"/>
      <c r="X98" s="616"/>
      <c r="Y98" s="616"/>
      <c r="Z98" s="616"/>
      <c r="AA98" s="616"/>
      <c r="AB98" s="616"/>
      <c r="AC98" s="616"/>
      <c r="AD98" s="616"/>
      <c r="AE98" s="617"/>
      <c r="AF98" s="617"/>
      <c r="AG98" s="617"/>
    </row>
    <row r="99" spans="2:36" ht="15" customHeight="1">
      <c r="B99" s="447" t="s">
        <v>424</v>
      </c>
      <c r="F99" s="607"/>
      <c r="G99" s="607"/>
      <c r="H99" s="607"/>
      <c r="I99" s="607"/>
      <c r="J99" s="607"/>
      <c r="K99" s="607"/>
      <c r="L99" s="607"/>
      <c r="M99" s="607"/>
      <c r="N99" s="607"/>
      <c r="O99" s="607"/>
      <c r="P99" s="607"/>
      <c r="Q99" s="607"/>
      <c r="R99" s="607"/>
      <c r="S99" s="607"/>
      <c r="T99" s="607"/>
      <c r="U99" s="607"/>
      <c r="V99" s="607"/>
      <c r="W99" s="607"/>
      <c r="X99" s="607"/>
      <c r="Y99" s="607"/>
      <c r="Z99" s="607"/>
      <c r="AA99" s="607"/>
      <c r="AB99" s="607"/>
      <c r="AC99" s="607"/>
      <c r="AD99" s="607"/>
      <c r="AE99" s="607"/>
      <c r="AF99" s="607"/>
      <c r="AG99" s="607"/>
    </row>
    <row r="100" spans="2:36" ht="15" customHeight="1">
      <c r="B100" s="447" t="s">
        <v>423</v>
      </c>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607"/>
      <c r="AF100" s="607"/>
      <c r="AG100" s="607"/>
    </row>
    <row r="101" spans="2:36" ht="15" customHeight="1">
      <c r="B101" s="447" t="s">
        <v>422</v>
      </c>
      <c r="F101" s="607"/>
      <c r="G101" s="607"/>
      <c r="H101" s="607"/>
      <c r="I101" s="607"/>
      <c r="J101" s="607"/>
      <c r="K101" s="607"/>
      <c r="L101" s="607"/>
      <c r="M101" s="607"/>
      <c r="N101" s="607"/>
      <c r="O101" s="607"/>
      <c r="P101" s="607"/>
      <c r="Q101" s="607"/>
      <c r="R101" s="607"/>
      <c r="S101" s="607"/>
      <c r="T101" s="607"/>
      <c r="U101" s="607"/>
      <c r="V101" s="607"/>
      <c r="W101" s="607"/>
      <c r="X101" s="607"/>
      <c r="Y101" s="607"/>
      <c r="Z101" s="607"/>
      <c r="AA101" s="607"/>
      <c r="AB101" s="607"/>
      <c r="AC101" s="607"/>
      <c r="AD101" s="607"/>
      <c r="AE101" s="607"/>
      <c r="AF101" s="607"/>
      <c r="AG101" s="607"/>
    </row>
    <row r="102" spans="2:36" ht="20.25" customHeight="1">
      <c r="F102" s="607"/>
      <c r="G102" s="607"/>
      <c r="H102" s="607"/>
      <c r="I102" s="607"/>
      <c r="J102" s="607"/>
      <c r="K102" s="607"/>
      <c r="L102" s="607"/>
      <c r="M102" s="607"/>
      <c r="N102" s="607"/>
      <c r="O102" s="607"/>
      <c r="P102" s="607"/>
      <c r="Q102" s="607"/>
      <c r="R102" s="607"/>
      <c r="S102" s="607"/>
      <c r="T102" s="607"/>
      <c r="U102" s="607"/>
      <c r="V102" s="664"/>
      <c r="W102" s="664"/>
      <c r="X102" s="664"/>
      <c r="Y102" s="664"/>
      <c r="Z102" s="665"/>
      <c r="AA102" s="665"/>
      <c r="AB102" s="665"/>
      <c r="AC102" s="665"/>
      <c r="AD102" s="665"/>
      <c r="AE102" s="665"/>
      <c r="AF102" s="665"/>
      <c r="AG102" s="665"/>
    </row>
    <row r="103" spans="2:36" ht="20.25" customHeight="1">
      <c r="V103" s="466"/>
      <c r="W103" s="466"/>
      <c r="X103" s="666"/>
      <c r="Y103" s="666"/>
      <c r="Z103" s="667"/>
      <c r="AA103" s="667"/>
      <c r="AB103" s="667"/>
      <c r="AC103" s="667"/>
      <c r="AD103" s="667"/>
      <c r="AE103" s="667"/>
      <c r="AF103" s="667"/>
      <c r="AG103" s="667"/>
      <c r="AH103" s="607"/>
      <c r="AI103" s="607"/>
      <c r="AJ103" s="607"/>
    </row>
  </sheetData>
  <sheetProtection algorithmName="SHA-512" hashValue="sJ4souhcKC53vvJGFf8ng4AOkbyFcHShpbhjGcMeTNX4M62/WzGzDmCyBYx0N7U70zrAFUarjN9I2TnOAFSLtw==" saltValue="nwOKmVeUok7CpfAt5ssFuA==" spinCount="100000" sheet="1" objects="1" scenarios="1"/>
  <dataConsolidate/>
  <mergeCells count="121">
    <mergeCell ref="F81:G84"/>
    <mergeCell ref="B91:E92"/>
    <mergeCell ref="F91:Z91"/>
    <mergeCell ref="F92:Z92"/>
    <mergeCell ref="AA91:AD91"/>
    <mergeCell ref="AA92:AD92"/>
    <mergeCell ref="B81:E90"/>
    <mergeCell ref="AE63:AG63"/>
    <mergeCell ref="AE64:AG64"/>
    <mergeCell ref="AE66:AG66"/>
    <mergeCell ref="AE85:AG85"/>
    <mergeCell ref="AE71:AG71"/>
    <mergeCell ref="AE70:AG70"/>
    <mergeCell ref="AE86:AG86"/>
    <mergeCell ref="AE78:AG78"/>
    <mergeCell ref="F73:G78"/>
    <mergeCell ref="F85:G90"/>
    <mergeCell ref="AE89:AG89"/>
    <mergeCell ref="AE76:AG76"/>
    <mergeCell ref="AE82:AG82"/>
    <mergeCell ref="AE67:AG67"/>
    <mergeCell ref="AE69:AG69"/>
    <mergeCell ref="AE68:AG68"/>
    <mergeCell ref="F55:G72"/>
    <mergeCell ref="AE81:AG81"/>
    <mergeCell ref="AE83:AG83"/>
    <mergeCell ref="H84:AD84"/>
    <mergeCell ref="AE84:AG84"/>
    <mergeCell ref="AE75:AG75"/>
    <mergeCell ref="AE77:AG77"/>
    <mergeCell ref="H78:AD78"/>
    <mergeCell ref="AE74:AG74"/>
    <mergeCell ref="AE90:AG90"/>
    <mergeCell ref="AE87:AG87"/>
    <mergeCell ref="AA93:AF93"/>
    <mergeCell ref="AE72:AG72"/>
    <mergeCell ref="AE65:AG65"/>
    <mergeCell ref="AA95:AF95"/>
    <mergeCell ref="AE91:AF91"/>
    <mergeCell ref="AE92:AF92"/>
    <mergeCell ref="H71:AD71"/>
    <mergeCell ref="B94:E95"/>
    <mergeCell ref="B26:E29"/>
    <mergeCell ref="AE54:AG54"/>
    <mergeCell ref="F30:G43"/>
    <mergeCell ref="AE73:AG73"/>
    <mergeCell ref="AE35:AG35"/>
    <mergeCell ref="AE88:AG88"/>
    <mergeCell ref="H90:AD90"/>
    <mergeCell ref="AE34:AG34"/>
    <mergeCell ref="AE42:AG42"/>
    <mergeCell ref="AA94:AF94"/>
    <mergeCell ref="AE56:AG56"/>
    <mergeCell ref="AE60:AG60"/>
    <mergeCell ref="AE59:AG59"/>
    <mergeCell ref="AE62:AG62"/>
    <mergeCell ref="AE58:AG58"/>
    <mergeCell ref="AE61:AG61"/>
    <mergeCell ref="AG27:AG29"/>
    <mergeCell ref="AE53:AG53"/>
    <mergeCell ref="AE51:AG51"/>
    <mergeCell ref="AE37:AG37"/>
    <mergeCell ref="AE50:AG50"/>
    <mergeCell ref="AE32:AG32"/>
    <mergeCell ref="F27:K29"/>
    <mergeCell ref="N29:R29"/>
    <mergeCell ref="N28:S28"/>
    <mergeCell ref="AE33:AG33"/>
    <mergeCell ref="AE52:AG52"/>
    <mergeCell ref="AE48:AG48"/>
    <mergeCell ref="AE39:AG39"/>
    <mergeCell ref="M27:R27"/>
    <mergeCell ref="AE40:AG40"/>
    <mergeCell ref="AE30:AG30"/>
    <mergeCell ref="AE31:AG31"/>
    <mergeCell ref="AE36:AG36"/>
    <mergeCell ref="AE43:AG43"/>
    <mergeCell ref="AE47:AG47"/>
    <mergeCell ref="F46:G54"/>
    <mergeCell ref="AE49:AG49"/>
    <mergeCell ref="B30:E43"/>
    <mergeCell ref="B46:E78"/>
    <mergeCell ref="T15:V15"/>
    <mergeCell ref="AE41:AG41"/>
    <mergeCell ref="AE38:AG38"/>
    <mergeCell ref="AE55:AG55"/>
    <mergeCell ref="AE46:AG46"/>
    <mergeCell ref="AE57:AG57"/>
    <mergeCell ref="B20:AG20"/>
    <mergeCell ref="B21:B22"/>
    <mergeCell ref="Q17:V17"/>
    <mergeCell ref="B18:P18"/>
    <mergeCell ref="Q18:V18"/>
    <mergeCell ref="Z27:Z29"/>
    <mergeCell ref="L27:L29"/>
    <mergeCell ref="AA27:AF29"/>
    <mergeCell ref="T27:Y29"/>
    <mergeCell ref="M25:T25"/>
    <mergeCell ref="F26:L26"/>
    <mergeCell ref="C21:Z22"/>
    <mergeCell ref="Y15:AE15"/>
    <mergeCell ref="P15:S15"/>
    <mergeCell ref="L15:N15"/>
    <mergeCell ref="B15:G15"/>
    <mergeCell ref="E6:K6"/>
    <mergeCell ref="O11:T11"/>
    <mergeCell ref="U11:AG11"/>
    <mergeCell ref="AA21:AG22"/>
    <mergeCell ref="AA26:AG26"/>
    <mergeCell ref="B25:L25"/>
    <mergeCell ref="B3:AG3"/>
    <mergeCell ref="O8:T8"/>
    <mergeCell ref="U8:AG8"/>
    <mergeCell ref="O9:T9"/>
    <mergeCell ref="U9:AG9"/>
    <mergeCell ref="O10:T10"/>
    <mergeCell ref="U10:AG10"/>
    <mergeCell ref="H15:K15"/>
    <mergeCell ref="Q16:V16"/>
    <mergeCell ref="T26:Z26"/>
    <mergeCell ref="M26:S26"/>
  </mergeCells>
  <phoneticPr fontId="4"/>
  <dataValidations count="3">
    <dataValidation type="list" allowBlank="1" showInputMessage="1" showErrorMessage="1" sqref="AA21:AG22" xr:uid="{00000000-0002-0000-0200-000001000000}">
      <formula1>$AK$1</formula1>
    </dataValidation>
    <dataValidation type="list" allowBlank="1" showInputMessage="1" showErrorMessage="1" sqref="AF54:AG54 AE46:AE54 AF46:AG52 AE81:AG90 AE55:AG78 AE30:AG43" xr:uid="{00000000-0002-0000-0200-000000000000}">
      <formula1>$AL$1:$AL$2</formula1>
    </dataValidation>
    <dataValidation type="whole" allowBlank="1" showInputMessage="1" showErrorMessage="1" sqref="Q16:V18" xr:uid="{1AABF7F0-42FE-4228-80A4-0ECCBC2C5D3F}">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0_基本情報</vt:lpstr>
      <vt:lpstr>1-1_児童数計算表</vt:lpstr>
      <vt:lpstr>1-2_児童数計算表_分園</vt:lpstr>
      <vt:lpstr>2_区分12加算額計算表</vt:lpstr>
      <vt:lpstr>3_区分3計算表</vt:lpstr>
      <vt:lpstr>【参考】計算結果</vt:lpstr>
      <vt:lpstr>様式1</vt:lpstr>
      <vt:lpstr>様式2</vt:lpstr>
      <vt:lpstr>様式3</vt:lpstr>
      <vt:lpstr>様式4</vt:lpstr>
      <vt:lpstr>様式4別添1</vt:lpstr>
      <vt:lpstr>様式4別添2</vt:lpstr>
      <vt:lpstr>様式5</vt:lpstr>
      <vt:lpstr>様式7</vt:lpstr>
      <vt:lpstr>区分12計算</vt:lpstr>
      <vt:lpstr>保育所単価</vt:lpstr>
      <vt:lpstr>【リスト】 (2)</vt:lpstr>
      <vt:lpstr>【リスト】</vt:lpstr>
      <vt:lpstr>京都市集計用_共通</vt:lpstr>
      <vt:lpstr>京都市集計用_保育所</vt:lpstr>
      <vt:lpstr>'0_基本情報'!Print_Area</vt:lpstr>
      <vt:lpstr>'1-1_児童数計算表'!Print_Area</vt:lpstr>
      <vt:lpstr>'1-2_児童数計算表_分園'!Print_Area</vt:lpstr>
      <vt:lpstr>'2_区分12加算額計算表'!Print_Area</vt:lpstr>
      <vt:lpstr>'3_区分3計算表'!Print_Area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cp:lastPrinted>2025-05-30T04:46:18Z</cp:lastPrinted>
  <dcterms:created xsi:type="dcterms:W3CDTF">2025-05-03T04:15:18Z</dcterms:created>
  <dcterms:modified xsi:type="dcterms:W3CDTF">2026-07-24T01:53:32Z</dcterms:modified>
</cp:coreProperties>
</file>