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1F262F57-A48F-4202-9F87-B05FC724ECA7}" xr6:coauthVersionLast="47" xr6:coauthVersionMax="47" xr10:uidLastSave="{00000000-0000-0000-0000-000000000000}"/>
  <bookViews>
    <workbookView xWindow="-28920" yWindow="-4650" windowWidth="29040" windowHeight="15840" tabRatio="690" xr2:uid="{6A5CD568-D842-425B-9861-997982E8BD12}"/>
  </bookViews>
  <sheets>
    <sheet name="0_基本情報" sheetId="11" r:id="rId1"/>
    <sheet name="1-1_児童数計算表" sheetId="6" r:id="rId2"/>
    <sheet name="1-2_児童数計算表_分園" sheetId="7" r:id="rId3"/>
    <sheet name="2_区分12加算額計算表" sheetId="2" r:id="rId4"/>
    <sheet name="3_区分3計算表" sheetId="8" r:id="rId5"/>
    <sheet name="【参考】計算結果" sheetId="10" r:id="rId6"/>
    <sheet name="様式1" sheetId="13" r:id="rId7"/>
    <sheet name="様式2" sheetId="14" r:id="rId8"/>
    <sheet name="様式3" sheetId="15" r:id="rId9"/>
    <sheet name="様式4" sheetId="16" r:id="rId10"/>
    <sheet name="様式4別添1" sheetId="17" r:id="rId11"/>
    <sheet name="様式4別添2" sheetId="18" r:id="rId12"/>
    <sheet name="様式5" sheetId="19" r:id="rId13"/>
    <sheet name="様式7" sheetId="20" r:id="rId14"/>
    <sheet name="区分12計算" sheetId="5" r:id="rId15"/>
    <sheet name="保育所単価" sheetId="4" r:id="rId16"/>
    <sheet name="【リスト】 (2)" sheetId="12" r:id="rId17"/>
    <sheet name="【リスト】" sheetId="3" r:id="rId18"/>
    <sheet name="京都市集計用_共通" sheetId="21" r:id="rId19"/>
    <sheet name="京都市集計用_保育所" sheetId="22" r:id="rId20"/>
  </sheets>
  <definedNames>
    <definedName name="_Fill" localSheetId="1" hidden="1">#REF!</definedName>
    <definedName name="_Fill" localSheetId="2" hidden="1">#REF!</definedName>
    <definedName name="_Fill" hidden="1">#REF!</definedName>
    <definedName name="_Key1" localSheetId="1" hidden="1">#REF!</definedName>
    <definedName name="_Key1" localSheetId="2" hidden="1">#REF!</definedName>
    <definedName name="_Key1" hidden="1">#REF!</definedName>
    <definedName name="_Order1" hidden="1">255</definedName>
    <definedName name="_Sort" localSheetId="1" hidden="1">#REF!</definedName>
    <definedName name="_Sort" localSheetId="2" hidden="1">#REF!</definedName>
    <definedName name="_Sort" hidden="1">#REF!</definedName>
    <definedName name="FAS" hidden="1">#REF!</definedName>
    <definedName name="_xlnm.Print_Area" localSheetId="0">'0_基本情報'!$A$1:$I$47</definedName>
    <definedName name="_xlnm.Print_Area" localSheetId="1">'1-1_児童数計算表'!$A$1:$Q$55</definedName>
    <definedName name="_xlnm.Print_Area" localSheetId="2">'1-2_児童数計算表_分園'!$A$1:$Q$55</definedName>
    <definedName name="_xlnm.Print_Area" localSheetId="3">'2_区分12加算額計算表'!$A$1:$J$47</definedName>
    <definedName name="_xlnm.Print_Area" localSheetId="4">'3_区分3計算表'!$A$1:$L$46</definedName>
    <definedName name="_xlnm.Print_Area" localSheetId="6">様式1!$A$1:$AL$55</definedName>
    <definedName name="_xlnm.Print_Area" localSheetId="7">様式2!$A$1:$AI$29</definedName>
    <definedName name="_xlnm.Print_Area" localSheetId="8">様式3!$A$1:$AJ$103</definedName>
    <definedName name="_xlnm.Print_Area" localSheetId="9">様式4!$A$1:$AO$45</definedName>
    <definedName name="_xlnm.Print_Area" localSheetId="10">様式4別添1!$A$1:$AG$75</definedName>
    <definedName name="_xlnm.Print_Area" localSheetId="11">様式4別添2!$A$1:$F$20</definedName>
    <definedName name="_xlnm.Print_Area" localSheetId="12">様式5!$A$1:$AB$24</definedName>
    <definedName name="_xlnm.Print_Area" localSheetId="13">様式7!$A$1:$AL$30</definedName>
    <definedName name="_xlnm.Print_Titles" localSheetId="10">様式4別添1!$3:$10</definedName>
    <definedName name="加算率a">'2_区分12加算額計算表'!$F$37</definedName>
    <definedName name="加算率b">'2_区分12加算額計算表'!$F$38</definedName>
    <definedName name="実施月数">'2_区分12加算額計算表'!$C$41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2" l="1"/>
  <c r="B2" i="22"/>
  <c r="A2" i="22"/>
  <c r="N2" i="22" l="1"/>
  <c r="K2" i="22"/>
  <c r="T2" i="22"/>
  <c r="U2" i="22"/>
  <c r="H2" i="22"/>
  <c r="I2" i="22"/>
  <c r="J2" i="22"/>
  <c r="L2" i="22"/>
  <c r="M2" i="22"/>
  <c r="O2" i="22"/>
  <c r="P2" i="22"/>
  <c r="Q2" i="22"/>
  <c r="R2" i="22"/>
  <c r="S2" i="22"/>
  <c r="G2" i="22"/>
  <c r="BI2" i="21" l="1"/>
  <c r="BH2" i="21"/>
  <c r="AV2" i="21"/>
  <c r="AU2" i="21"/>
  <c r="AS2" i="21"/>
  <c r="AO2" i="21"/>
  <c r="AL2" i="21"/>
  <c r="AK2" i="21"/>
  <c r="AJ2" i="21"/>
  <c r="AI2" i="21"/>
  <c r="AH2" i="21"/>
  <c r="J2" i="21"/>
  <c r="I2" i="21"/>
  <c r="H2" i="21"/>
  <c r="G2" i="21"/>
  <c r="F2" i="21"/>
  <c r="E2" i="21"/>
  <c r="D2" i="21"/>
  <c r="C2" i="21"/>
  <c r="B2" i="21"/>
  <c r="A2" i="21"/>
  <c r="AX51" i="17"/>
  <c r="AW51" i="17"/>
  <c r="AV51" i="17"/>
  <c r="AU51" i="17"/>
  <c r="AT51" i="17"/>
  <c r="AS51" i="17"/>
  <c r="AR51" i="17"/>
  <c r="AQ51" i="17"/>
  <c r="AX50" i="17"/>
  <c r="AW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l="1"/>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BC2" i="21" l="1"/>
  <c r="BB2" i="21"/>
  <c r="BA2" i="21"/>
  <c r="AZ2" i="21"/>
  <c r="W13" i="16"/>
  <c r="S61" i="17"/>
  <c r="AN18" i="15" l="1"/>
  <c r="AN17" i="15"/>
  <c r="AN16" i="15"/>
  <c r="T80" i="17" l="1"/>
  <c r="BA20" i="16"/>
  <c r="Y8" i="20" l="1"/>
  <c r="A60" i="17" l="1"/>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l="1"/>
  <c r="T35" i="17"/>
  <c r="T34" i="17"/>
  <c r="T33" i="17"/>
  <c r="T32" i="17"/>
  <c r="T31" i="17"/>
  <c r="T30" i="17"/>
  <c r="T29" i="17"/>
  <c r="T28" i="17"/>
  <c r="T27" i="17"/>
  <c r="T26" i="17"/>
  <c r="T25" i="17"/>
  <c r="T24" i="17"/>
  <c r="T23" i="17"/>
  <c r="T22" i="17"/>
  <c r="T21" i="17"/>
  <c r="T20" i="17"/>
  <c r="T19" i="17"/>
  <c r="T18" i="17"/>
  <c r="T17" i="17"/>
  <c r="T16" i="17"/>
  <c r="H44" i="8" l="1"/>
  <c r="D17" i="10" l="1"/>
  <c r="AA94" i="15" l="1"/>
  <c r="AM2" i="21" s="1"/>
  <c r="AD2" i="21"/>
  <c r="B2" i="13"/>
  <c r="M51" i="13"/>
  <c r="C51" i="13"/>
  <c r="C17" i="13"/>
  <c r="F17" i="13" s="1"/>
  <c r="AF2" i="21" s="1"/>
  <c r="U10" i="13"/>
  <c r="Y11" i="20" s="1"/>
  <c r="U9" i="13"/>
  <c r="Y10" i="20" s="1"/>
  <c r="U8" i="13"/>
  <c r="Y9" i="20" s="1"/>
  <c r="X3" i="20" l="1"/>
  <c r="A2" i="19"/>
  <c r="E2" i="18"/>
  <c r="E18" i="18"/>
  <c r="N38" i="16" s="1"/>
  <c r="F18" i="18"/>
  <c r="N39" i="16" s="1"/>
  <c r="T11" i="17"/>
  <c r="T12" i="17"/>
  <c r="T13" i="17"/>
  <c r="T14" i="17"/>
  <c r="T15" i="17"/>
  <c r="T36" i="17"/>
  <c r="T37" i="17"/>
  <c r="T38" i="17"/>
  <c r="T39" i="17"/>
  <c r="T40" i="17"/>
  <c r="T41" i="17"/>
  <c r="T42" i="17"/>
  <c r="T43" i="17"/>
  <c r="T44" i="17"/>
  <c r="T45" i="17"/>
  <c r="T46" i="17"/>
  <c r="T47" i="17"/>
  <c r="T48" i="17"/>
  <c r="T49" i="17"/>
  <c r="T50" i="17"/>
  <c r="T51" i="17"/>
  <c r="T52" i="17"/>
  <c r="T53" i="17"/>
  <c r="T54" i="17"/>
  <c r="T55" i="17"/>
  <c r="T56" i="17"/>
  <c r="T57" i="17"/>
  <c r="T58" i="17"/>
  <c r="T59" i="17"/>
  <c r="AV50" i="17" s="1"/>
  <c r="T60" i="17"/>
  <c r="K61" i="17"/>
  <c r="Y25" i="16" s="1"/>
  <c r="O61" i="17"/>
  <c r="Y29" i="16" s="1"/>
  <c r="P61" i="17"/>
  <c r="Y30" i="16" s="1"/>
  <c r="U61" i="17"/>
  <c r="V61" i="17"/>
  <c r="W61" i="17"/>
  <c r="X61" i="17"/>
  <c r="W14" i="16" s="1"/>
  <c r="AA61" i="17"/>
  <c r="Y21" i="16" s="1"/>
  <c r="AC61" i="17"/>
  <c r="Y23" i="16" s="1"/>
  <c r="B2" i="16"/>
  <c r="X4" i="16"/>
  <c r="X5" i="16"/>
  <c r="AF1" i="17" s="1"/>
  <c r="X6" i="16"/>
  <c r="X7" i="16"/>
  <c r="Y19" i="16"/>
  <c r="Y22" i="16"/>
  <c r="Y26" i="16"/>
  <c r="Y27" i="16"/>
  <c r="Y28" i="16"/>
  <c r="B3" i="15"/>
  <c r="U8" i="15"/>
  <c r="O4" i="19" s="1"/>
  <c r="U9" i="15"/>
  <c r="O5" i="19" s="1"/>
  <c r="U10" i="15"/>
  <c r="O6" i="19" s="1"/>
  <c r="U11" i="15"/>
  <c r="O7" i="19" s="1"/>
  <c r="L15" i="15"/>
  <c r="T15" i="15"/>
  <c r="B2" i="14"/>
  <c r="V8" i="14"/>
  <c r="V9" i="14"/>
  <c r="V10" i="14"/>
  <c r="V11" i="14"/>
  <c r="M3" i="6"/>
  <c r="E13" i="11"/>
  <c r="E17" i="11"/>
  <c r="E21" i="11"/>
  <c r="D30" i="11"/>
  <c r="E33" i="11"/>
  <c r="B35" i="11"/>
  <c r="H37" i="11" l="1"/>
  <c r="M2" i="21" s="1"/>
  <c r="H36" i="11"/>
  <c r="L2" i="21" s="1"/>
  <c r="K2" i="21"/>
  <c r="T61" i="17"/>
  <c r="X63" i="17" s="1"/>
  <c r="Y63" i="17" s="1"/>
  <c r="BD2" i="21" s="1"/>
  <c r="Y24" i="16"/>
  <c r="Q61" i="17"/>
  <c r="AF15" i="15"/>
  <c r="AP2" i="21" s="1"/>
  <c r="H42" i="11"/>
  <c r="R2" i="21" s="1"/>
  <c r="H40" i="11"/>
  <c r="H47" i="11"/>
  <c r="U2" i="21" s="1"/>
  <c r="H39" i="11"/>
  <c r="O2" i="21" s="1"/>
  <c r="H38" i="11"/>
  <c r="N2" i="21" s="1"/>
  <c r="H43" i="11"/>
  <c r="A23" i="10"/>
  <c r="A22" i="10"/>
  <c r="E34" i="8"/>
  <c r="AE54" i="15" s="1"/>
  <c r="F33" i="8"/>
  <c r="E33" i="8"/>
  <c r="AE53" i="15" s="1"/>
  <c r="E32" i="8"/>
  <c r="AE52" i="15" s="1"/>
  <c r="E31" i="8"/>
  <c r="AE51" i="15" s="1"/>
  <c r="E30" i="8"/>
  <c r="AE50" i="15" s="1"/>
  <c r="E26" i="8"/>
  <c r="AE48" i="15" s="1"/>
  <c r="E24" i="8"/>
  <c r="AE46" i="15" s="1"/>
  <c r="H44" i="11" l="1"/>
  <c r="H45" i="11" s="1"/>
  <c r="S2" i="21"/>
  <c r="H41" i="11"/>
  <c r="Q2" i="21" s="1"/>
  <c r="P2" i="21"/>
  <c r="N14" i="16"/>
  <c r="AD61" i="17"/>
  <c r="AD63" i="17" s="1"/>
  <c r="BE2" i="21" s="1"/>
  <c r="Y20" i="16"/>
  <c r="Y18" i="16" s="1"/>
  <c r="AJ18" i="16" s="1"/>
  <c r="AY2" i="21" s="1"/>
  <c r="H46" i="11"/>
  <c r="T2" i="21" s="1"/>
  <c r="E22" i="8"/>
  <c r="P19" i="2"/>
  <c r="P14" i="2"/>
  <c r="P12" i="2"/>
  <c r="T22" i="8"/>
  <c r="J8" i="8"/>
  <c r="F8" i="8"/>
  <c r="H35" i="8" s="1"/>
  <c r="E7" i="8"/>
  <c r="D3" i="8"/>
  <c r="M3" i="7"/>
  <c r="H34" i="8"/>
  <c r="H33" i="8"/>
  <c r="H32" i="8"/>
  <c r="H31" i="8"/>
  <c r="H30" i="8"/>
  <c r="F27" i="8"/>
  <c r="G27" i="8" s="1"/>
  <c r="H27" i="8" s="1"/>
  <c r="I26" i="8"/>
  <c r="F25" i="8"/>
  <c r="G25" i="8" s="1"/>
  <c r="H25" i="8" s="1"/>
  <c r="I24" i="8"/>
  <c r="F23" i="8"/>
  <c r="G23" i="8" s="1"/>
  <c r="H23" i="8" s="1"/>
  <c r="F21" i="8"/>
  <c r="J9" i="8"/>
  <c r="F9" i="8"/>
  <c r="AR2" i="21" l="1"/>
  <c r="N13" i="16"/>
  <c r="AZ20" i="16"/>
  <c r="I22" i="8"/>
  <c r="AE47" i="15"/>
  <c r="AA27" i="15"/>
  <c r="M27" i="15"/>
  <c r="F27" i="15"/>
  <c r="M25" i="15"/>
  <c r="T27" i="15"/>
  <c r="I32" i="8"/>
  <c r="G21" i="8"/>
  <c r="H21" i="8" s="1"/>
  <c r="H28" i="8" s="1"/>
  <c r="I33" i="8"/>
  <c r="J25" i="8"/>
  <c r="I18" i="8"/>
  <c r="I34" i="8"/>
  <c r="J21" i="8"/>
  <c r="K21" i="8" s="1"/>
  <c r="L21" i="8" s="1"/>
  <c r="I31" i="8"/>
  <c r="L35" i="8"/>
  <c r="I30" i="8"/>
  <c r="J7" i="8"/>
  <c r="K25" i="8"/>
  <c r="L25" i="8" s="1"/>
  <c r="J23" i="8"/>
  <c r="K23" i="8" s="1"/>
  <c r="L23" i="8" s="1"/>
  <c r="J27" i="8"/>
  <c r="K27" i="8" s="1"/>
  <c r="L27" i="8" s="1"/>
  <c r="F2" i="22" l="1"/>
  <c r="L28" i="8"/>
  <c r="E51" i="7" l="1"/>
  <c r="H36" i="7"/>
  <c r="G36" i="7"/>
  <c r="F36" i="7"/>
  <c r="E36" i="7"/>
  <c r="H50" i="7"/>
  <c r="G50" i="7"/>
  <c r="F50" i="7"/>
  <c r="E50" i="7"/>
  <c r="B50" i="7"/>
  <c r="H49" i="7"/>
  <c r="G49" i="7"/>
  <c r="F49" i="7"/>
  <c r="E49" i="7"/>
  <c r="B49" i="7"/>
  <c r="H48" i="7"/>
  <c r="G48" i="7"/>
  <c r="F48" i="7"/>
  <c r="E48" i="7"/>
  <c r="B48" i="7"/>
  <c r="H47" i="7"/>
  <c r="H51" i="7" s="1"/>
  <c r="G47" i="7"/>
  <c r="F47" i="7"/>
  <c r="F51" i="7" s="1"/>
  <c r="E47" i="7"/>
  <c r="B47" i="7"/>
  <c r="H46" i="7"/>
  <c r="G46" i="7"/>
  <c r="F46" i="7"/>
  <c r="E46" i="7"/>
  <c r="Q46" i="7" s="1"/>
  <c r="P23" i="2" s="1"/>
  <c r="B46" i="7"/>
  <c r="H45" i="7"/>
  <c r="G45" i="7"/>
  <c r="F45" i="7"/>
  <c r="E45" i="7"/>
  <c r="B45" i="7"/>
  <c r="B35" i="7"/>
  <c r="B34" i="7"/>
  <c r="B33" i="7"/>
  <c r="B32" i="7"/>
  <c r="B31" i="7"/>
  <c r="B30" i="7"/>
  <c r="H24" i="7"/>
  <c r="G24" i="7"/>
  <c r="F24" i="7"/>
  <c r="E24" i="7"/>
  <c r="P23" i="7"/>
  <c r="P35" i="7" s="1"/>
  <c r="O23" i="7"/>
  <c r="O35" i="7" s="1"/>
  <c r="N23" i="7"/>
  <c r="N35" i="7" s="1"/>
  <c r="M23" i="7"/>
  <c r="M35" i="7" s="1"/>
  <c r="L23" i="7"/>
  <c r="L35" i="7" s="1"/>
  <c r="K23" i="7"/>
  <c r="K35" i="7" s="1"/>
  <c r="J23" i="7"/>
  <c r="J35" i="7" s="1"/>
  <c r="I23" i="7"/>
  <c r="I35" i="7" s="1"/>
  <c r="H23" i="7"/>
  <c r="G23" i="7"/>
  <c r="F23" i="7"/>
  <c r="Q22" i="7"/>
  <c r="P21" i="7"/>
  <c r="P34" i="7" s="1"/>
  <c r="O21" i="7"/>
  <c r="O34" i="7" s="1"/>
  <c r="N21" i="7"/>
  <c r="N34" i="7" s="1"/>
  <c r="M21" i="7"/>
  <c r="M34" i="7" s="1"/>
  <c r="L21" i="7"/>
  <c r="L34" i="7" s="1"/>
  <c r="K21" i="7"/>
  <c r="K34" i="7" s="1"/>
  <c r="J21" i="7"/>
  <c r="J34" i="7" s="1"/>
  <c r="I21" i="7"/>
  <c r="I34" i="7" s="1"/>
  <c r="H21" i="7"/>
  <c r="G21" i="7"/>
  <c r="F21" i="7"/>
  <c r="Q20" i="7"/>
  <c r="P19" i="7"/>
  <c r="P33" i="7" s="1"/>
  <c r="O19" i="7"/>
  <c r="O33" i="7" s="1"/>
  <c r="N19" i="7"/>
  <c r="N33" i="7" s="1"/>
  <c r="M19" i="7"/>
  <c r="M33" i="7" s="1"/>
  <c r="L19" i="7"/>
  <c r="L33" i="7" s="1"/>
  <c r="K19" i="7"/>
  <c r="K33" i="7" s="1"/>
  <c r="J19" i="7"/>
  <c r="J33" i="7" s="1"/>
  <c r="I19" i="7"/>
  <c r="I33" i="7" s="1"/>
  <c r="H19" i="7"/>
  <c r="G19" i="7"/>
  <c r="F19" i="7"/>
  <c r="Q18" i="7"/>
  <c r="P17" i="7"/>
  <c r="P32" i="7" s="1"/>
  <c r="O17" i="7"/>
  <c r="O32" i="7" s="1"/>
  <c r="N17" i="7"/>
  <c r="N32" i="7" s="1"/>
  <c r="M17" i="7"/>
  <c r="M32" i="7" s="1"/>
  <c r="L17" i="7"/>
  <c r="L32" i="7" s="1"/>
  <c r="K17" i="7"/>
  <c r="K32" i="7" s="1"/>
  <c r="J17" i="7"/>
  <c r="J32" i="7" s="1"/>
  <c r="I17" i="7"/>
  <c r="I32" i="7" s="1"/>
  <c r="H17" i="7"/>
  <c r="G17" i="7"/>
  <c r="F17" i="7"/>
  <c r="Q16" i="7"/>
  <c r="P15" i="7"/>
  <c r="P31" i="7" s="1"/>
  <c r="O15" i="7"/>
  <c r="O31" i="7" s="1"/>
  <c r="N15" i="7"/>
  <c r="N31" i="7" s="1"/>
  <c r="M15" i="7"/>
  <c r="M31" i="7" s="1"/>
  <c r="L15" i="7"/>
  <c r="L31" i="7" s="1"/>
  <c r="K15" i="7"/>
  <c r="K31" i="7" s="1"/>
  <c r="J15" i="7"/>
  <c r="J31" i="7" s="1"/>
  <c r="I15" i="7"/>
  <c r="I31" i="7" s="1"/>
  <c r="H15" i="7"/>
  <c r="G15" i="7"/>
  <c r="F15" i="7"/>
  <c r="Q14" i="7"/>
  <c r="P13" i="7"/>
  <c r="P30" i="7" s="1"/>
  <c r="O13" i="7"/>
  <c r="O30" i="7" s="1"/>
  <c r="N13" i="7"/>
  <c r="N30" i="7" s="1"/>
  <c r="M13" i="7"/>
  <c r="M30" i="7" s="1"/>
  <c r="L13" i="7"/>
  <c r="L30" i="7" s="1"/>
  <c r="K13" i="7"/>
  <c r="K30" i="7" s="1"/>
  <c r="J13" i="7"/>
  <c r="J30" i="7" s="1"/>
  <c r="I13" i="7"/>
  <c r="I30" i="7" s="1"/>
  <c r="H13" i="7"/>
  <c r="G13" i="7"/>
  <c r="F13" i="7"/>
  <c r="Q12" i="7"/>
  <c r="H36" i="6"/>
  <c r="G36" i="6"/>
  <c r="F36" i="6"/>
  <c r="E36" i="6"/>
  <c r="B32" i="6"/>
  <c r="H50" i="6"/>
  <c r="G50" i="6"/>
  <c r="F50" i="6"/>
  <c r="E50" i="6"/>
  <c r="B50" i="6"/>
  <c r="H49" i="6"/>
  <c r="G49" i="6"/>
  <c r="F49" i="6"/>
  <c r="E49" i="6"/>
  <c r="B49" i="6"/>
  <c r="H48" i="6"/>
  <c r="G48" i="6"/>
  <c r="F48" i="6"/>
  <c r="E48" i="6"/>
  <c r="B48" i="6"/>
  <c r="H47" i="6"/>
  <c r="G47" i="6"/>
  <c r="F47" i="6"/>
  <c r="E47" i="6"/>
  <c r="B47" i="6"/>
  <c r="H46" i="6"/>
  <c r="G46" i="6"/>
  <c r="F46" i="6"/>
  <c r="E46" i="6"/>
  <c r="B46" i="6"/>
  <c r="H45" i="6"/>
  <c r="G45" i="6"/>
  <c r="F45" i="6"/>
  <c r="E45" i="6"/>
  <c r="B45" i="6"/>
  <c r="B35" i="6"/>
  <c r="B34" i="6"/>
  <c r="B33" i="6"/>
  <c r="B31" i="6"/>
  <c r="B30" i="6"/>
  <c r="H24" i="6"/>
  <c r="G24" i="6"/>
  <c r="F24" i="6"/>
  <c r="E24" i="6"/>
  <c r="P23" i="6"/>
  <c r="P35" i="6" s="1"/>
  <c r="O23" i="6"/>
  <c r="O35" i="6" s="1"/>
  <c r="N23" i="6"/>
  <c r="N35" i="6" s="1"/>
  <c r="M23" i="6"/>
  <c r="M35" i="6" s="1"/>
  <c r="L23" i="6"/>
  <c r="L35" i="6" s="1"/>
  <c r="K23" i="6"/>
  <c r="K35" i="6" s="1"/>
  <c r="J23" i="6"/>
  <c r="J35" i="6" s="1"/>
  <c r="I23" i="6"/>
  <c r="I35" i="6" s="1"/>
  <c r="H23" i="6"/>
  <c r="G23" i="6"/>
  <c r="F23" i="6"/>
  <c r="Q22" i="6"/>
  <c r="P21" i="6"/>
  <c r="P34" i="6" s="1"/>
  <c r="O21" i="6"/>
  <c r="O34" i="6" s="1"/>
  <c r="N21" i="6"/>
  <c r="N34" i="6" s="1"/>
  <c r="M21" i="6"/>
  <c r="M34" i="6" s="1"/>
  <c r="L21" i="6"/>
  <c r="L34" i="6" s="1"/>
  <c r="K21" i="6"/>
  <c r="K34" i="6" s="1"/>
  <c r="J21" i="6"/>
  <c r="J34" i="6" s="1"/>
  <c r="I21" i="6"/>
  <c r="I34" i="6" s="1"/>
  <c r="H21" i="6"/>
  <c r="G21" i="6"/>
  <c r="F21" i="6"/>
  <c r="Q20" i="6"/>
  <c r="P19" i="6"/>
  <c r="P33" i="6" s="1"/>
  <c r="O19" i="6"/>
  <c r="O33" i="6" s="1"/>
  <c r="N19" i="6"/>
  <c r="N33" i="6" s="1"/>
  <c r="M19" i="6"/>
  <c r="M33" i="6" s="1"/>
  <c r="L19" i="6"/>
  <c r="L33" i="6" s="1"/>
  <c r="K19" i="6"/>
  <c r="K33" i="6" s="1"/>
  <c r="J19" i="6"/>
  <c r="J33" i="6" s="1"/>
  <c r="I19" i="6"/>
  <c r="I33" i="6" s="1"/>
  <c r="H19" i="6"/>
  <c r="G19" i="6"/>
  <c r="F19" i="6"/>
  <c r="Q18" i="6"/>
  <c r="P17" i="6"/>
  <c r="P32" i="6" s="1"/>
  <c r="O17" i="6"/>
  <c r="O32" i="6" s="1"/>
  <c r="N17" i="6"/>
  <c r="N32" i="6" s="1"/>
  <c r="M17" i="6"/>
  <c r="M32" i="6" s="1"/>
  <c r="L17" i="6"/>
  <c r="L32" i="6" s="1"/>
  <c r="K17" i="6"/>
  <c r="K32" i="6" s="1"/>
  <c r="J17" i="6"/>
  <c r="J32" i="6" s="1"/>
  <c r="I17" i="6"/>
  <c r="I32" i="6" s="1"/>
  <c r="H17" i="6"/>
  <c r="G17" i="6"/>
  <c r="F17" i="6"/>
  <c r="Q16" i="6"/>
  <c r="P15" i="6"/>
  <c r="P31" i="6" s="1"/>
  <c r="O15" i="6"/>
  <c r="O31" i="6" s="1"/>
  <c r="N15" i="6"/>
  <c r="N31" i="6" s="1"/>
  <c r="M15" i="6"/>
  <c r="M31" i="6" s="1"/>
  <c r="L15" i="6"/>
  <c r="L31" i="6" s="1"/>
  <c r="K15" i="6"/>
  <c r="K31" i="6" s="1"/>
  <c r="J15" i="6"/>
  <c r="J31" i="6" s="1"/>
  <c r="I15" i="6"/>
  <c r="I31" i="6" s="1"/>
  <c r="H15" i="6"/>
  <c r="G15" i="6"/>
  <c r="F15" i="6"/>
  <c r="Q14" i="6"/>
  <c r="P13" i="6"/>
  <c r="P30" i="6" s="1"/>
  <c r="O13" i="6"/>
  <c r="O30" i="6" s="1"/>
  <c r="N13" i="6"/>
  <c r="N30" i="6" s="1"/>
  <c r="M13" i="6"/>
  <c r="M30" i="6" s="1"/>
  <c r="L13" i="6"/>
  <c r="L30" i="6" s="1"/>
  <c r="K13" i="6"/>
  <c r="K30" i="6" s="1"/>
  <c r="J13" i="6"/>
  <c r="J30" i="6" s="1"/>
  <c r="I13" i="6"/>
  <c r="I30" i="6" s="1"/>
  <c r="H13" i="6"/>
  <c r="G13" i="6"/>
  <c r="F13" i="6"/>
  <c r="Q12" i="6"/>
  <c r="F38" i="2"/>
  <c r="F37" i="2"/>
  <c r="D5" i="10" s="1"/>
  <c r="V2" i="21" s="1"/>
  <c r="G51" i="7" l="1"/>
  <c r="D6" i="10"/>
  <c r="W2" i="21" s="1"/>
  <c r="F51" i="13"/>
  <c r="AG2" i="21" s="1"/>
  <c r="Q50" i="7"/>
  <c r="Q48" i="7"/>
  <c r="P21" i="2" s="1"/>
  <c r="Q45" i="7"/>
  <c r="Q47" i="7"/>
  <c r="Q49" i="7"/>
  <c r="Q24" i="7"/>
  <c r="Q31" i="7"/>
  <c r="Q34" i="7"/>
  <c r="Q32" i="7"/>
  <c r="Q33" i="7"/>
  <c r="Q35" i="7"/>
  <c r="Q30" i="7"/>
  <c r="Q32" i="6"/>
  <c r="Q24" i="6"/>
  <c r="Q50" i="6"/>
  <c r="H51" i="6"/>
  <c r="Q49" i="6"/>
  <c r="Q48" i="6"/>
  <c r="M21" i="2" s="1"/>
  <c r="Q45" i="6"/>
  <c r="M24" i="2" s="1"/>
  <c r="Q46" i="6"/>
  <c r="F51" i="6"/>
  <c r="G51" i="6"/>
  <c r="E51" i="6"/>
  <c r="Q35" i="6"/>
  <c r="Q31" i="6"/>
  <c r="Q34" i="6"/>
  <c r="Q33" i="6"/>
  <c r="M12" i="2" s="1"/>
  <c r="Q30" i="6"/>
  <c r="M15" i="2" s="1"/>
  <c r="Q47" i="6"/>
  <c r="A23" i="5"/>
  <c r="A21" i="5"/>
  <c r="C16" i="5"/>
  <c r="G23" i="2"/>
  <c r="AQ1" i="4"/>
  <c r="AP1" i="4"/>
  <c r="AO1" i="4"/>
  <c r="AN1" i="4"/>
  <c r="AK1" i="4"/>
  <c r="AJ1" i="4"/>
  <c r="AI1" i="4"/>
  <c r="AH1" i="4"/>
  <c r="AE1" i="4"/>
  <c r="AD1" i="4"/>
  <c r="AC1" i="4"/>
  <c r="AB1" i="4"/>
  <c r="Z1" i="4"/>
  <c r="Y1" i="4"/>
  <c r="X1" i="4"/>
  <c r="W1" i="4"/>
  <c r="V1" i="4"/>
  <c r="U1" i="4"/>
  <c r="T1" i="4"/>
  <c r="S1" i="4"/>
  <c r="R1" i="4"/>
  <c r="Q1" i="4"/>
  <c r="P1" i="4"/>
  <c r="O1" i="4"/>
  <c r="N1" i="4"/>
  <c r="M1" i="4"/>
  <c r="L1" i="4"/>
  <c r="K1" i="4"/>
  <c r="J1" i="4"/>
  <c r="I1" i="4"/>
  <c r="H1" i="4"/>
  <c r="G1" i="4"/>
  <c r="F1" i="4"/>
  <c r="T18" i="8" l="1"/>
  <c r="P24" i="2"/>
  <c r="T20" i="8"/>
  <c r="T21" i="8"/>
  <c r="P20" i="2"/>
  <c r="P22" i="2"/>
  <c r="T19" i="8"/>
  <c r="Q51" i="7"/>
  <c r="T14" i="8"/>
  <c r="P10" i="2"/>
  <c r="T12" i="8"/>
  <c r="T13" i="8"/>
  <c r="P11" i="2"/>
  <c r="T11" i="8"/>
  <c r="P13" i="2"/>
  <c r="T10" i="8"/>
  <c r="P15" i="2"/>
  <c r="Q36" i="7"/>
  <c r="P14" i="8"/>
  <c r="M10" i="2"/>
  <c r="P22" i="8"/>
  <c r="M19" i="2"/>
  <c r="M13" i="2"/>
  <c r="P11" i="8"/>
  <c r="P19" i="8"/>
  <c r="M22" i="2"/>
  <c r="P21" i="8"/>
  <c r="P20" i="8"/>
  <c r="M20" i="2"/>
  <c r="P13" i="8"/>
  <c r="M11" i="2"/>
  <c r="P12" i="8"/>
  <c r="P18" i="8"/>
  <c r="M23" i="2"/>
  <c r="Q51" i="6"/>
  <c r="P10" i="8"/>
  <c r="M14" i="2"/>
  <c r="Q36" i="6"/>
  <c r="B48" i="5"/>
  <c r="B47" i="5"/>
  <c r="B46" i="5"/>
  <c r="B45" i="5"/>
  <c r="B44" i="5"/>
  <c r="B43" i="5"/>
  <c r="A43" i="5"/>
  <c r="B42" i="5"/>
  <c r="B41" i="5"/>
  <c r="B40" i="5"/>
  <c r="C39" i="5"/>
  <c r="B39" i="5"/>
  <c r="A39" i="5"/>
  <c r="B38" i="5"/>
  <c r="B37" i="5"/>
  <c r="B36" i="5"/>
  <c r="B35" i="5"/>
  <c r="B34" i="5"/>
  <c r="B33" i="5"/>
  <c r="C32" i="5"/>
  <c r="B32" i="5"/>
  <c r="C31" i="5"/>
  <c r="B31" i="5"/>
  <c r="C30" i="5"/>
  <c r="B30" i="5"/>
  <c r="C29" i="5"/>
  <c r="B29" i="5"/>
  <c r="C24" i="5"/>
  <c r="C23" i="5"/>
  <c r="C45" i="5" s="1"/>
  <c r="C22" i="5"/>
  <c r="C44" i="5" s="1"/>
  <c r="C21" i="5"/>
  <c r="C20" i="5"/>
  <c r="A42" i="5"/>
  <c r="C18" i="5"/>
  <c r="C19" i="5" s="1"/>
  <c r="C41" i="5" s="1"/>
  <c r="C38" i="5"/>
  <c r="C15" i="5"/>
  <c r="C37" i="5" s="1"/>
  <c r="C14" i="5"/>
  <c r="C36" i="5" s="1"/>
  <c r="C13" i="5"/>
  <c r="C35" i="5" s="1"/>
  <c r="C12" i="5"/>
  <c r="C34" i="5" s="1"/>
  <c r="C11" i="5"/>
  <c r="C33" i="5" s="1"/>
  <c r="AA6" i="5"/>
  <c r="Z6" i="5"/>
  <c r="Y6" i="5"/>
  <c r="X6" i="5"/>
  <c r="W6" i="5"/>
  <c r="V6" i="5"/>
  <c r="U6" i="5"/>
  <c r="T6" i="5"/>
  <c r="S6" i="5"/>
  <c r="R6" i="5"/>
  <c r="Q6" i="5"/>
  <c r="P6" i="5"/>
  <c r="O6" i="5"/>
  <c r="N6" i="5"/>
  <c r="M6" i="5"/>
  <c r="L6" i="5"/>
  <c r="K6" i="5"/>
  <c r="J6" i="5"/>
  <c r="I6" i="5"/>
  <c r="H6" i="5"/>
  <c r="G6" i="5"/>
  <c r="F6" i="5"/>
  <c r="E6" i="5"/>
  <c r="D6" i="5"/>
  <c r="Y1" i="5"/>
  <c r="Z1" i="5" s="1"/>
  <c r="AA1" i="5" s="1"/>
  <c r="V1" i="5"/>
  <c r="W1" i="5" s="1"/>
  <c r="U1" i="5"/>
  <c r="Q1" i="5"/>
  <c r="R1" i="5" s="1"/>
  <c r="M1" i="5"/>
  <c r="N1" i="5" s="1"/>
  <c r="O1" i="5" s="1"/>
  <c r="I1" i="5"/>
  <c r="J1" i="5" s="1"/>
  <c r="E1" i="5"/>
  <c r="F1" i="5" s="1"/>
  <c r="C43" i="5" l="1"/>
  <c r="C40" i="5"/>
  <c r="G1" i="5"/>
  <c r="S1" i="5"/>
  <c r="K1" i="5"/>
  <c r="C42" i="5"/>
  <c r="A44" i="5"/>
  <c r="C46" i="5"/>
  <c r="F8" i="4"/>
  <c r="W27" i="4"/>
  <c r="X27" i="4"/>
  <c r="Y27" i="4"/>
  <c r="Z27" i="4"/>
  <c r="Z95" i="4"/>
  <c r="Z94" i="4"/>
  <c r="Z93" i="4"/>
  <c r="Z91" i="4"/>
  <c r="Z90" i="4"/>
  <c r="Z89" i="4"/>
  <c r="Z87" i="4"/>
  <c r="Z86" i="4"/>
  <c r="Z85" i="4"/>
  <c r="Z83" i="4"/>
  <c r="Z82" i="4"/>
  <c r="Z81" i="4"/>
  <c r="Z79" i="4"/>
  <c r="Z78" i="4"/>
  <c r="Z77" i="4"/>
  <c r="Z75" i="4"/>
  <c r="Z74" i="4"/>
  <c r="Z73" i="4"/>
  <c r="Z71" i="4"/>
  <c r="Z70" i="4"/>
  <c r="Z69" i="4"/>
  <c r="Z67" i="4"/>
  <c r="Z66" i="4"/>
  <c r="Z65" i="4"/>
  <c r="Z63" i="4"/>
  <c r="Z62" i="4"/>
  <c r="Z61" i="4"/>
  <c r="Z59" i="4"/>
  <c r="Z58" i="4"/>
  <c r="Z57" i="4"/>
  <c r="Z55" i="4"/>
  <c r="Z54" i="4"/>
  <c r="Z53" i="4"/>
  <c r="Z51" i="4"/>
  <c r="Z50" i="4"/>
  <c r="Z49" i="4"/>
  <c r="Z47" i="4"/>
  <c r="Z46" i="4"/>
  <c r="Z45" i="4"/>
  <c r="Z43" i="4"/>
  <c r="Z42" i="4"/>
  <c r="Z41" i="4"/>
  <c r="Z39" i="4"/>
  <c r="Z38" i="4"/>
  <c r="Z37" i="4"/>
  <c r="Z35" i="4"/>
  <c r="Z34" i="4"/>
  <c r="Z33" i="4"/>
  <c r="Z31" i="4"/>
  <c r="Z30" i="4"/>
  <c r="Z29" i="4"/>
  <c r="Z26" i="4"/>
  <c r="Z25" i="4"/>
  <c r="Z23" i="4"/>
  <c r="Z22" i="4"/>
  <c r="Z21" i="4"/>
  <c r="Z19" i="4"/>
  <c r="Z18" i="4"/>
  <c r="Z17" i="4"/>
  <c r="Y95" i="4"/>
  <c r="X95" i="4"/>
  <c r="W95" i="4"/>
  <c r="Y94" i="4"/>
  <c r="X94" i="4"/>
  <c r="W94" i="4"/>
  <c r="Y93" i="4"/>
  <c r="X93" i="4"/>
  <c r="W93" i="4"/>
  <c r="Y91" i="4"/>
  <c r="X91" i="4"/>
  <c r="W91" i="4"/>
  <c r="Y90" i="4"/>
  <c r="X90" i="4"/>
  <c r="W90" i="4"/>
  <c r="Y89" i="4"/>
  <c r="X89" i="4"/>
  <c r="W89" i="4"/>
  <c r="Y87" i="4"/>
  <c r="X87" i="4"/>
  <c r="W87" i="4"/>
  <c r="Y86" i="4"/>
  <c r="X86" i="4"/>
  <c r="W86" i="4"/>
  <c r="Y85" i="4"/>
  <c r="X85" i="4"/>
  <c r="W85" i="4"/>
  <c r="Y83" i="4"/>
  <c r="X83" i="4"/>
  <c r="W83" i="4"/>
  <c r="Y82" i="4"/>
  <c r="X82" i="4"/>
  <c r="W82" i="4"/>
  <c r="Y81" i="4"/>
  <c r="X81" i="4"/>
  <c r="W81" i="4"/>
  <c r="Y79" i="4"/>
  <c r="X79" i="4"/>
  <c r="W79" i="4"/>
  <c r="Y78" i="4"/>
  <c r="X78" i="4"/>
  <c r="W78" i="4"/>
  <c r="Y77" i="4"/>
  <c r="X77" i="4"/>
  <c r="W77" i="4"/>
  <c r="Y75" i="4"/>
  <c r="X75" i="4"/>
  <c r="W75" i="4"/>
  <c r="Y74" i="4"/>
  <c r="X74" i="4"/>
  <c r="W74" i="4"/>
  <c r="Y73" i="4"/>
  <c r="X73" i="4"/>
  <c r="W73" i="4"/>
  <c r="Y71" i="4"/>
  <c r="X71" i="4"/>
  <c r="W71" i="4"/>
  <c r="Y70" i="4"/>
  <c r="X70" i="4"/>
  <c r="W70" i="4"/>
  <c r="Y69" i="4"/>
  <c r="X69" i="4"/>
  <c r="W69" i="4"/>
  <c r="Y67" i="4"/>
  <c r="X67" i="4"/>
  <c r="W67" i="4"/>
  <c r="Y66" i="4"/>
  <c r="X66" i="4"/>
  <c r="W66" i="4"/>
  <c r="Y65" i="4"/>
  <c r="X65" i="4"/>
  <c r="W65" i="4"/>
  <c r="Y63" i="4"/>
  <c r="X63" i="4"/>
  <c r="W63" i="4"/>
  <c r="Y62" i="4"/>
  <c r="X62" i="4"/>
  <c r="W62" i="4"/>
  <c r="Y61" i="4"/>
  <c r="X61" i="4"/>
  <c r="W61" i="4"/>
  <c r="Y59" i="4"/>
  <c r="X59" i="4"/>
  <c r="W59" i="4"/>
  <c r="Y58" i="4"/>
  <c r="X58" i="4"/>
  <c r="W58" i="4"/>
  <c r="Y57" i="4"/>
  <c r="X57" i="4"/>
  <c r="W57" i="4"/>
  <c r="Y55" i="4"/>
  <c r="X55" i="4"/>
  <c r="W55" i="4"/>
  <c r="Y54" i="4"/>
  <c r="X54" i="4"/>
  <c r="W54" i="4"/>
  <c r="Y53" i="4"/>
  <c r="X53" i="4"/>
  <c r="W53" i="4"/>
  <c r="Y51" i="4"/>
  <c r="X51" i="4"/>
  <c r="W51" i="4"/>
  <c r="Y50" i="4"/>
  <c r="X50" i="4"/>
  <c r="W50" i="4"/>
  <c r="Y49" i="4"/>
  <c r="X49" i="4"/>
  <c r="W49" i="4"/>
  <c r="Y47" i="4"/>
  <c r="X47" i="4"/>
  <c r="W47" i="4"/>
  <c r="Y46" i="4"/>
  <c r="X46" i="4"/>
  <c r="W46" i="4"/>
  <c r="Y45" i="4"/>
  <c r="X45" i="4"/>
  <c r="W45" i="4"/>
  <c r="Y43" i="4"/>
  <c r="X43" i="4"/>
  <c r="W43" i="4"/>
  <c r="Y42" i="4"/>
  <c r="X42" i="4"/>
  <c r="W42" i="4"/>
  <c r="Y41" i="4"/>
  <c r="X41" i="4"/>
  <c r="W41" i="4"/>
  <c r="Y39" i="4"/>
  <c r="X39" i="4"/>
  <c r="W39" i="4"/>
  <c r="Y38" i="4"/>
  <c r="X38" i="4"/>
  <c r="W38" i="4"/>
  <c r="Y37" i="4"/>
  <c r="X37" i="4"/>
  <c r="W37" i="4"/>
  <c r="Y35" i="4"/>
  <c r="X35" i="4"/>
  <c r="W35" i="4"/>
  <c r="Y34" i="4"/>
  <c r="X34" i="4"/>
  <c r="W34" i="4"/>
  <c r="Y33" i="4"/>
  <c r="X33" i="4"/>
  <c r="W33" i="4"/>
  <c r="Y31" i="4"/>
  <c r="X31" i="4"/>
  <c r="W31" i="4"/>
  <c r="Y30" i="4"/>
  <c r="X30" i="4"/>
  <c r="W30" i="4"/>
  <c r="Y29" i="4"/>
  <c r="X29" i="4"/>
  <c r="W29" i="4"/>
  <c r="Y26" i="4"/>
  <c r="X26" i="4"/>
  <c r="W26" i="4"/>
  <c r="Y25" i="4"/>
  <c r="X25" i="4"/>
  <c r="W25" i="4"/>
  <c r="Y23" i="4"/>
  <c r="X23" i="4"/>
  <c r="W23" i="4"/>
  <c r="Y22" i="4"/>
  <c r="X22" i="4"/>
  <c r="W22" i="4"/>
  <c r="Y21" i="4"/>
  <c r="X21" i="4"/>
  <c r="W21" i="4"/>
  <c r="Y19" i="4"/>
  <c r="X19" i="4"/>
  <c r="W19" i="4"/>
  <c r="Y18" i="4"/>
  <c r="X18" i="4"/>
  <c r="W18" i="4"/>
  <c r="Y17" i="4"/>
  <c r="X17" i="4"/>
  <c r="W17" i="4"/>
  <c r="Z15" i="4"/>
  <c r="Y15" i="4"/>
  <c r="X15" i="4"/>
  <c r="W15" i="4"/>
  <c r="Z14" i="4"/>
  <c r="Y14" i="4"/>
  <c r="X14" i="4"/>
  <c r="W14" i="4"/>
  <c r="Z13" i="4"/>
  <c r="Y13" i="4"/>
  <c r="X13" i="4"/>
  <c r="W13" i="4"/>
  <c r="I26" i="2"/>
  <c r="V95" i="4" l="1"/>
  <c r="U95" i="4"/>
  <c r="V94" i="4"/>
  <c r="U94" i="4"/>
  <c r="V93" i="4"/>
  <c r="U93" i="4"/>
  <c r="V91" i="4"/>
  <c r="U91" i="4"/>
  <c r="V90" i="4"/>
  <c r="U90" i="4"/>
  <c r="V89" i="4"/>
  <c r="U89" i="4"/>
  <c r="V87" i="4"/>
  <c r="U87" i="4"/>
  <c r="V86" i="4"/>
  <c r="U86" i="4"/>
  <c r="V85" i="4"/>
  <c r="U85" i="4"/>
  <c r="V83" i="4"/>
  <c r="U83" i="4"/>
  <c r="V82" i="4"/>
  <c r="U82" i="4"/>
  <c r="V81" i="4"/>
  <c r="U81" i="4"/>
  <c r="V79" i="4"/>
  <c r="U79" i="4"/>
  <c r="V78" i="4"/>
  <c r="U78" i="4"/>
  <c r="V77" i="4"/>
  <c r="U77" i="4"/>
  <c r="V75" i="4"/>
  <c r="U75" i="4"/>
  <c r="V74" i="4"/>
  <c r="U74" i="4"/>
  <c r="V73" i="4"/>
  <c r="U73" i="4"/>
  <c r="V71" i="4"/>
  <c r="U71" i="4"/>
  <c r="V70" i="4"/>
  <c r="U70" i="4"/>
  <c r="V69" i="4"/>
  <c r="U69" i="4"/>
  <c r="V67" i="4"/>
  <c r="U67" i="4"/>
  <c r="V66" i="4"/>
  <c r="U66" i="4"/>
  <c r="V65" i="4"/>
  <c r="U65" i="4"/>
  <c r="V63" i="4"/>
  <c r="U63" i="4"/>
  <c r="V62" i="4"/>
  <c r="U62" i="4"/>
  <c r="V61" i="4"/>
  <c r="U61" i="4"/>
  <c r="V59" i="4"/>
  <c r="U59" i="4"/>
  <c r="V58" i="4"/>
  <c r="U58" i="4"/>
  <c r="V57" i="4"/>
  <c r="U57" i="4"/>
  <c r="V55" i="4"/>
  <c r="U55" i="4"/>
  <c r="V54" i="4"/>
  <c r="U54" i="4"/>
  <c r="V53" i="4"/>
  <c r="U53" i="4"/>
  <c r="V51" i="4"/>
  <c r="U51" i="4"/>
  <c r="V50" i="4"/>
  <c r="U50" i="4"/>
  <c r="V49" i="4"/>
  <c r="U49" i="4"/>
  <c r="V47" i="4"/>
  <c r="U47" i="4"/>
  <c r="V46" i="4"/>
  <c r="U46" i="4"/>
  <c r="V45" i="4"/>
  <c r="U45" i="4"/>
  <c r="V43" i="4"/>
  <c r="U43" i="4"/>
  <c r="V42" i="4"/>
  <c r="U42" i="4"/>
  <c r="V41" i="4"/>
  <c r="U41" i="4"/>
  <c r="V39" i="4"/>
  <c r="U39" i="4"/>
  <c r="V38" i="4"/>
  <c r="U38" i="4"/>
  <c r="V37" i="4"/>
  <c r="U37" i="4"/>
  <c r="V35" i="4"/>
  <c r="U35" i="4"/>
  <c r="V34" i="4"/>
  <c r="U34" i="4"/>
  <c r="V33" i="4"/>
  <c r="U33" i="4"/>
  <c r="V31" i="4"/>
  <c r="U31" i="4"/>
  <c r="V30" i="4"/>
  <c r="U30" i="4"/>
  <c r="V29" i="4"/>
  <c r="U29" i="4"/>
  <c r="V27" i="4"/>
  <c r="U27" i="4"/>
  <c r="V26" i="4"/>
  <c r="U26" i="4"/>
  <c r="V25" i="4"/>
  <c r="U25" i="4"/>
  <c r="V23" i="4"/>
  <c r="U23" i="4"/>
  <c r="V22" i="4"/>
  <c r="U22" i="4"/>
  <c r="V21" i="4"/>
  <c r="U21" i="4"/>
  <c r="V19" i="4"/>
  <c r="U19" i="4"/>
  <c r="V18" i="4"/>
  <c r="U18" i="4"/>
  <c r="V17" i="4"/>
  <c r="U17" i="4"/>
  <c r="V15" i="4"/>
  <c r="U15" i="4"/>
  <c r="V14" i="4"/>
  <c r="U14" i="4"/>
  <c r="V13" i="4"/>
  <c r="U13" i="4"/>
  <c r="I24" i="2"/>
  <c r="I18" i="2"/>
  <c r="H18" i="2"/>
  <c r="I29" i="8" s="1"/>
  <c r="L29" i="8" s="1"/>
  <c r="L36" i="8" s="1"/>
  <c r="L37" i="8" s="1"/>
  <c r="I4" i="3"/>
  <c r="I5" i="3" s="1"/>
  <c r="I6" i="3" s="1"/>
  <c r="I7" i="3" s="1"/>
  <c r="I8" i="3" s="1"/>
  <c r="I9" i="3" s="1"/>
  <c r="I10" i="3" s="1"/>
  <c r="I11" i="3" s="1"/>
  <c r="I12" i="3" s="1"/>
  <c r="A14" i="5"/>
  <c r="T95" i="4"/>
  <c r="S95" i="4"/>
  <c r="P95" i="4"/>
  <c r="O95" i="4"/>
  <c r="N95" i="4"/>
  <c r="M95" i="4"/>
  <c r="L95" i="4"/>
  <c r="K95" i="4"/>
  <c r="E95" i="4"/>
  <c r="D95" i="4"/>
  <c r="C95" i="4"/>
  <c r="T94" i="4"/>
  <c r="S94" i="4"/>
  <c r="P94" i="4"/>
  <c r="O94" i="4"/>
  <c r="N94" i="4"/>
  <c r="M94" i="4"/>
  <c r="L94" i="4"/>
  <c r="K94" i="4"/>
  <c r="E94" i="4"/>
  <c r="D94" i="4"/>
  <c r="C94" i="4"/>
  <c r="T93" i="4"/>
  <c r="S93" i="4"/>
  <c r="P93" i="4"/>
  <c r="O93" i="4"/>
  <c r="N93" i="4"/>
  <c r="M93" i="4"/>
  <c r="L93" i="4"/>
  <c r="K93" i="4"/>
  <c r="E93" i="4"/>
  <c r="D93" i="4"/>
  <c r="C93" i="4"/>
  <c r="P92" i="4"/>
  <c r="O92" i="4"/>
  <c r="N92" i="4"/>
  <c r="M92" i="4"/>
  <c r="L92" i="4"/>
  <c r="K92" i="4"/>
  <c r="E92" i="4"/>
  <c r="F92" i="4" s="1"/>
  <c r="C92" i="4"/>
  <c r="T91" i="4"/>
  <c r="S91" i="4"/>
  <c r="P91" i="4"/>
  <c r="O91" i="4"/>
  <c r="N91" i="4"/>
  <c r="M91" i="4"/>
  <c r="L91" i="4"/>
  <c r="K91" i="4"/>
  <c r="E91" i="4"/>
  <c r="D91" i="4"/>
  <c r="C91" i="4"/>
  <c r="T90" i="4"/>
  <c r="S90" i="4"/>
  <c r="P90" i="4"/>
  <c r="O90" i="4"/>
  <c r="N90" i="4"/>
  <c r="M90" i="4"/>
  <c r="L90" i="4"/>
  <c r="K90" i="4"/>
  <c r="E90" i="4"/>
  <c r="D90" i="4"/>
  <c r="C90" i="4"/>
  <c r="T89" i="4"/>
  <c r="S89" i="4"/>
  <c r="P89" i="4"/>
  <c r="O89" i="4"/>
  <c r="N89" i="4"/>
  <c r="M89" i="4"/>
  <c r="L89" i="4"/>
  <c r="K89" i="4"/>
  <c r="E89" i="4"/>
  <c r="D89" i="4"/>
  <c r="C89" i="4"/>
  <c r="P88" i="4"/>
  <c r="O88" i="4"/>
  <c r="N88" i="4"/>
  <c r="M88" i="4"/>
  <c r="L88" i="4"/>
  <c r="K88" i="4"/>
  <c r="E88" i="4"/>
  <c r="F88" i="4" s="1"/>
  <c r="C88" i="4"/>
  <c r="T87" i="4"/>
  <c r="S87" i="4"/>
  <c r="P87" i="4"/>
  <c r="O87" i="4"/>
  <c r="N87" i="4"/>
  <c r="M87" i="4"/>
  <c r="L87" i="4"/>
  <c r="K87" i="4"/>
  <c r="E87" i="4"/>
  <c r="D87" i="4"/>
  <c r="C87" i="4"/>
  <c r="T86" i="4"/>
  <c r="S86" i="4"/>
  <c r="P86" i="4"/>
  <c r="O86" i="4"/>
  <c r="N86" i="4"/>
  <c r="M86" i="4"/>
  <c r="L86" i="4"/>
  <c r="K86" i="4"/>
  <c r="E86" i="4"/>
  <c r="D86" i="4"/>
  <c r="C86" i="4"/>
  <c r="T85" i="4"/>
  <c r="S85" i="4"/>
  <c r="P85" i="4"/>
  <c r="O85" i="4"/>
  <c r="N85" i="4"/>
  <c r="M85" i="4"/>
  <c r="L85" i="4"/>
  <c r="K85" i="4"/>
  <c r="E85" i="4"/>
  <c r="D85" i="4"/>
  <c r="C85" i="4"/>
  <c r="P84" i="4"/>
  <c r="O84" i="4"/>
  <c r="N84" i="4"/>
  <c r="M84" i="4"/>
  <c r="L84" i="4"/>
  <c r="K84" i="4"/>
  <c r="E84" i="4"/>
  <c r="F84" i="4" s="1"/>
  <c r="C84" i="4"/>
  <c r="T83" i="4"/>
  <c r="S83" i="4"/>
  <c r="P83" i="4"/>
  <c r="O83" i="4"/>
  <c r="N83" i="4"/>
  <c r="M83" i="4"/>
  <c r="L83" i="4"/>
  <c r="K83" i="4"/>
  <c r="E83" i="4"/>
  <c r="D83" i="4"/>
  <c r="C83" i="4"/>
  <c r="T82" i="4"/>
  <c r="S82" i="4"/>
  <c r="P82" i="4"/>
  <c r="O82" i="4"/>
  <c r="N82" i="4"/>
  <c r="M82" i="4"/>
  <c r="L82" i="4"/>
  <c r="K82" i="4"/>
  <c r="E82" i="4"/>
  <c r="D82" i="4"/>
  <c r="C82" i="4"/>
  <c r="T81" i="4"/>
  <c r="S81" i="4"/>
  <c r="P81" i="4"/>
  <c r="O81" i="4"/>
  <c r="N81" i="4"/>
  <c r="M81" i="4"/>
  <c r="L81" i="4"/>
  <c r="K81" i="4"/>
  <c r="E81" i="4"/>
  <c r="D81" i="4"/>
  <c r="C81" i="4"/>
  <c r="P80" i="4"/>
  <c r="O80" i="4"/>
  <c r="N80" i="4"/>
  <c r="M80" i="4"/>
  <c r="L80" i="4"/>
  <c r="K80" i="4"/>
  <c r="E80" i="4"/>
  <c r="F80" i="4" s="1"/>
  <c r="C80" i="4"/>
  <c r="T79" i="4"/>
  <c r="S79" i="4"/>
  <c r="P79" i="4"/>
  <c r="O79" i="4"/>
  <c r="N79" i="4"/>
  <c r="M79" i="4"/>
  <c r="L79" i="4"/>
  <c r="K79" i="4"/>
  <c r="E79" i="4"/>
  <c r="D79" i="4"/>
  <c r="C79" i="4"/>
  <c r="T78" i="4"/>
  <c r="S78" i="4"/>
  <c r="P78" i="4"/>
  <c r="O78" i="4"/>
  <c r="N78" i="4"/>
  <c r="M78" i="4"/>
  <c r="L78" i="4"/>
  <c r="K78" i="4"/>
  <c r="E78" i="4"/>
  <c r="D78" i="4"/>
  <c r="C78" i="4"/>
  <c r="T77" i="4"/>
  <c r="S77" i="4"/>
  <c r="P77" i="4"/>
  <c r="O77" i="4"/>
  <c r="N77" i="4"/>
  <c r="M77" i="4"/>
  <c r="L77" i="4"/>
  <c r="K77" i="4"/>
  <c r="E77" i="4"/>
  <c r="D77" i="4"/>
  <c r="C77" i="4"/>
  <c r="P76" i="4"/>
  <c r="O76" i="4"/>
  <c r="N76" i="4"/>
  <c r="M76" i="4"/>
  <c r="L76" i="4"/>
  <c r="K76" i="4"/>
  <c r="E76" i="4"/>
  <c r="F76" i="4" s="1"/>
  <c r="C76" i="4"/>
  <c r="T75" i="4"/>
  <c r="S75" i="4"/>
  <c r="P75" i="4"/>
  <c r="O75" i="4"/>
  <c r="N75" i="4"/>
  <c r="M75" i="4"/>
  <c r="L75" i="4"/>
  <c r="K75" i="4"/>
  <c r="E75" i="4"/>
  <c r="D75" i="4"/>
  <c r="C75" i="4"/>
  <c r="T74" i="4"/>
  <c r="S74" i="4"/>
  <c r="P74" i="4"/>
  <c r="O74" i="4"/>
  <c r="N74" i="4"/>
  <c r="M74" i="4"/>
  <c r="L74" i="4"/>
  <c r="K74" i="4"/>
  <c r="E74" i="4"/>
  <c r="D74" i="4"/>
  <c r="C74" i="4"/>
  <c r="T73" i="4"/>
  <c r="S73" i="4"/>
  <c r="P73" i="4"/>
  <c r="O73" i="4"/>
  <c r="N73" i="4"/>
  <c r="M73" i="4"/>
  <c r="L73" i="4"/>
  <c r="K73" i="4"/>
  <c r="E73" i="4"/>
  <c r="D73" i="4"/>
  <c r="C73" i="4"/>
  <c r="P72" i="4"/>
  <c r="O72" i="4"/>
  <c r="N72" i="4"/>
  <c r="M72" i="4"/>
  <c r="L72" i="4"/>
  <c r="K72" i="4"/>
  <c r="E72" i="4"/>
  <c r="F72" i="4" s="1"/>
  <c r="C72" i="4"/>
  <c r="T71" i="4"/>
  <c r="S71" i="4"/>
  <c r="P71" i="4"/>
  <c r="O71" i="4"/>
  <c r="N71" i="4"/>
  <c r="M71" i="4"/>
  <c r="L71" i="4"/>
  <c r="K71" i="4"/>
  <c r="E71" i="4"/>
  <c r="D71" i="4"/>
  <c r="C71" i="4"/>
  <c r="T70" i="4"/>
  <c r="S70" i="4"/>
  <c r="P70" i="4"/>
  <c r="O70" i="4"/>
  <c r="N70" i="4"/>
  <c r="M70" i="4"/>
  <c r="L70" i="4"/>
  <c r="K70" i="4"/>
  <c r="E70" i="4"/>
  <c r="D70" i="4"/>
  <c r="C70" i="4"/>
  <c r="T69" i="4"/>
  <c r="S69" i="4"/>
  <c r="P69" i="4"/>
  <c r="O69" i="4"/>
  <c r="N69" i="4"/>
  <c r="M69" i="4"/>
  <c r="L69" i="4"/>
  <c r="K69" i="4"/>
  <c r="E69" i="4"/>
  <c r="D69" i="4"/>
  <c r="C69" i="4"/>
  <c r="P68" i="4"/>
  <c r="O68" i="4"/>
  <c r="N68" i="4"/>
  <c r="M68" i="4"/>
  <c r="L68" i="4"/>
  <c r="K68" i="4"/>
  <c r="E68" i="4"/>
  <c r="F68" i="4" s="1"/>
  <c r="C68" i="4"/>
  <c r="T67" i="4"/>
  <c r="S67" i="4"/>
  <c r="P67" i="4"/>
  <c r="O67" i="4"/>
  <c r="N67" i="4"/>
  <c r="M67" i="4"/>
  <c r="L67" i="4"/>
  <c r="K67" i="4"/>
  <c r="E67" i="4"/>
  <c r="D67" i="4"/>
  <c r="C67" i="4"/>
  <c r="T66" i="4"/>
  <c r="S66" i="4"/>
  <c r="P66" i="4"/>
  <c r="O66" i="4"/>
  <c r="N66" i="4"/>
  <c r="M66" i="4"/>
  <c r="L66" i="4"/>
  <c r="K66" i="4"/>
  <c r="E66" i="4"/>
  <c r="D66" i="4"/>
  <c r="C66" i="4"/>
  <c r="T65" i="4"/>
  <c r="S65" i="4"/>
  <c r="P65" i="4"/>
  <c r="O65" i="4"/>
  <c r="N65" i="4"/>
  <c r="M65" i="4"/>
  <c r="L65" i="4"/>
  <c r="K65" i="4"/>
  <c r="E65" i="4"/>
  <c r="D65" i="4"/>
  <c r="C65" i="4"/>
  <c r="P64" i="4"/>
  <c r="O64" i="4"/>
  <c r="N64" i="4"/>
  <c r="M64" i="4"/>
  <c r="L64" i="4"/>
  <c r="K64" i="4"/>
  <c r="E64" i="4"/>
  <c r="F64" i="4" s="1"/>
  <c r="C64" i="4"/>
  <c r="T63" i="4"/>
  <c r="S63" i="4"/>
  <c r="P63" i="4"/>
  <c r="O63" i="4"/>
  <c r="N63" i="4"/>
  <c r="M63" i="4"/>
  <c r="L63" i="4"/>
  <c r="K63" i="4"/>
  <c r="E63" i="4"/>
  <c r="D63" i="4"/>
  <c r="C63" i="4"/>
  <c r="T62" i="4"/>
  <c r="S62" i="4"/>
  <c r="P62" i="4"/>
  <c r="O62" i="4"/>
  <c r="N62" i="4"/>
  <c r="M62" i="4"/>
  <c r="L62" i="4"/>
  <c r="K62" i="4"/>
  <c r="E62" i="4"/>
  <c r="D62" i="4"/>
  <c r="C62" i="4"/>
  <c r="T61" i="4"/>
  <c r="S61" i="4"/>
  <c r="P61" i="4"/>
  <c r="O61" i="4"/>
  <c r="N61" i="4"/>
  <c r="M61" i="4"/>
  <c r="L61" i="4"/>
  <c r="K61" i="4"/>
  <c r="E61" i="4"/>
  <c r="D61" i="4"/>
  <c r="C61" i="4"/>
  <c r="P60" i="4"/>
  <c r="O60" i="4"/>
  <c r="N60" i="4"/>
  <c r="M60" i="4"/>
  <c r="L60" i="4"/>
  <c r="K60" i="4"/>
  <c r="E60" i="4"/>
  <c r="F60" i="4" s="1"/>
  <c r="C60" i="4"/>
  <c r="T59" i="4"/>
  <c r="S59" i="4"/>
  <c r="R59" i="4"/>
  <c r="Q59" i="4"/>
  <c r="P59" i="4"/>
  <c r="O59" i="4"/>
  <c r="N59" i="4"/>
  <c r="M59" i="4"/>
  <c r="L59" i="4"/>
  <c r="K59" i="4"/>
  <c r="E59" i="4"/>
  <c r="D59" i="4"/>
  <c r="C59" i="4"/>
  <c r="T58" i="4"/>
  <c r="S58" i="4"/>
  <c r="R58" i="4"/>
  <c r="Q58" i="4"/>
  <c r="P58" i="4"/>
  <c r="O58" i="4"/>
  <c r="N58" i="4"/>
  <c r="M58" i="4"/>
  <c r="L58" i="4"/>
  <c r="K58" i="4"/>
  <c r="E58" i="4"/>
  <c r="D58" i="4"/>
  <c r="C58" i="4"/>
  <c r="T57" i="4"/>
  <c r="S57" i="4"/>
  <c r="R57" i="4"/>
  <c r="Q57" i="4"/>
  <c r="P57" i="4"/>
  <c r="O57" i="4"/>
  <c r="N57" i="4"/>
  <c r="M57" i="4"/>
  <c r="L57" i="4"/>
  <c r="K57" i="4"/>
  <c r="E57" i="4"/>
  <c r="D57" i="4"/>
  <c r="C57" i="4"/>
  <c r="P56" i="4"/>
  <c r="O56" i="4"/>
  <c r="N56" i="4"/>
  <c r="M56" i="4"/>
  <c r="L56" i="4"/>
  <c r="K56" i="4"/>
  <c r="E56" i="4"/>
  <c r="F56" i="4" s="1"/>
  <c r="C56" i="4"/>
  <c r="T55" i="4"/>
  <c r="S55" i="4"/>
  <c r="R55" i="4"/>
  <c r="Q55" i="4"/>
  <c r="P55" i="4"/>
  <c r="O55" i="4"/>
  <c r="N55" i="4"/>
  <c r="M55" i="4"/>
  <c r="L55" i="4"/>
  <c r="K55" i="4"/>
  <c r="E55" i="4"/>
  <c r="D55" i="4"/>
  <c r="C55" i="4"/>
  <c r="T54" i="4"/>
  <c r="S54" i="4"/>
  <c r="R54" i="4"/>
  <c r="Q54" i="4"/>
  <c r="P54" i="4"/>
  <c r="O54" i="4"/>
  <c r="N54" i="4"/>
  <c r="M54" i="4"/>
  <c r="L54" i="4"/>
  <c r="K54" i="4"/>
  <c r="E54" i="4"/>
  <c r="D54" i="4"/>
  <c r="C54" i="4"/>
  <c r="T53" i="4"/>
  <c r="S53" i="4"/>
  <c r="R53" i="4"/>
  <c r="Q53" i="4"/>
  <c r="P53" i="4"/>
  <c r="O53" i="4"/>
  <c r="N53" i="4"/>
  <c r="M53" i="4"/>
  <c r="L53" i="4"/>
  <c r="K53" i="4"/>
  <c r="E53" i="4"/>
  <c r="D53" i="4"/>
  <c r="C53" i="4"/>
  <c r="P52" i="4"/>
  <c r="O52" i="4"/>
  <c r="N52" i="4"/>
  <c r="M52" i="4"/>
  <c r="L52" i="4"/>
  <c r="K52" i="4"/>
  <c r="E52" i="4"/>
  <c r="F52" i="4" s="1"/>
  <c r="C52" i="4"/>
  <c r="T51" i="4"/>
  <c r="S51" i="4"/>
  <c r="R51" i="4"/>
  <c r="Q51" i="4"/>
  <c r="P51" i="4"/>
  <c r="O51" i="4"/>
  <c r="N51" i="4"/>
  <c r="M51" i="4"/>
  <c r="L51" i="4"/>
  <c r="K51" i="4"/>
  <c r="E51" i="4"/>
  <c r="D51" i="4"/>
  <c r="C51" i="4"/>
  <c r="T50" i="4"/>
  <c r="S50" i="4"/>
  <c r="R50" i="4"/>
  <c r="Q50" i="4"/>
  <c r="P50" i="4"/>
  <c r="O50" i="4"/>
  <c r="N50" i="4"/>
  <c r="M50" i="4"/>
  <c r="L50" i="4"/>
  <c r="K50" i="4"/>
  <c r="E50" i="4"/>
  <c r="D50" i="4"/>
  <c r="C50" i="4"/>
  <c r="T49" i="4"/>
  <c r="S49" i="4"/>
  <c r="R49" i="4"/>
  <c r="Q49" i="4"/>
  <c r="P49" i="4"/>
  <c r="O49" i="4"/>
  <c r="N49" i="4"/>
  <c r="M49" i="4"/>
  <c r="L49" i="4"/>
  <c r="K49" i="4"/>
  <c r="E49" i="4"/>
  <c r="D49" i="4"/>
  <c r="C49" i="4"/>
  <c r="P48" i="4"/>
  <c r="O48" i="4"/>
  <c r="N48" i="4"/>
  <c r="M48" i="4"/>
  <c r="L48" i="4"/>
  <c r="K48" i="4"/>
  <c r="E48" i="4"/>
  <c r="F48" i="4" s="1"/>
  <c r="C48" i="4"/>
  <c r="T47" i="4"/>
  <c r="S47" i="4"/>
  <c r="R47" i="4"/>
  <c r="Q47" i="4"/>
  <c r="P47" i="4"/>
  <c r="O47" i="4"/>
  <c r="N47" i="4"/>
  <c r="M47" i="4"/>
  <c r="L47" i="4"/>
  <c r="K47" i="4"/>
  <c r="E47" i="4"/>
  <c r="D47" i="4"/>
  <c r="C47" i="4"/>
  <c r="T46" i="4"/>
  <c r="S46" i="4"/>
  <c r="R46" i="4"/>
  <c r="Q46" i="4"/>
  <c r="P46" i="4"/>
  <c r="O46" i="4"/>
  <c r="N46" i="4"/>
  <c r="M46" i="4"/>
  <c r="L46" i="4"/>
  <c r="K46" i="4"/>
  <c r="E46" i="4"/>
  <c r="D46" i="4"/>
  <c r="C46" i="4"/>
  <c r="T45" i="4"/>
  <c r="S45" i="4"/>
  <c r="R45" i="4"/>
  <c r="Q45" i="4"/>
  <c r="P45" i="4"/>
  <c r="O45" i="4"/>
  <c r="N45" i="4"/>
  <c r="M45" i="4"/>
  <c r="L45" i="4"/>
  <c r="K45" i="4"/>
  <c r="E45" i="4"/>
  <c r="D45" i="4"/>
  <c r="C45" i="4"/>
  <c r="P44" i="4"/>
  <c r="O44" i="4"/>
  <c r="N44" i="4"/>
  <c r="M44" i="4"/>
  <c r="L44" i="4"/>
  <c r="K44" i="4"/>
  <c r="E44" i="4"/>
  <c r="F44" i="4" s="1"/>
  <c r="C44" i="4"/>
  <c r="T43" i="4"/>
  <c r="S43" i="4"/>
  <c r="R43" i="4"/>
  <c r="Q43" i="4"/>
  <c r="P43" i="4"/>
  <c r="O43" i="4"/>
  <c r="N43" i="4"/>
  <c r="M43" i="4"/>
  <c r="L43" i="4"/>
  <c r="K43" i="4"/>
  <c r="E43" i="4"/>
  <c r="D43" i="4"/>
  <c r="C43" i="4"/>
  <c r="T42" i="4"/>
  <c r="S42" i="4"/>
  <c r="R42" i="4"/>
  <c r="Q42" i="4"/>
  <c r="P42" i="4"/>
  <c r="O42" i="4"/>
  <c r="N42" i="4"/>
  <c r="M42" i="4"/>
  <c r="L42" i="4"/>
  <c r="K42" i="4"/>
  <c r="E42" i="4"/>
  <c r="D42" i="4"/>
  <c r="C42" i="4"/>
  <c r="T41" i="4"/>
  <c r="S41" i="4"/>
  <c r="R41" i="4"/>
  <c r="Q41" i="4"/>
  <c r="P41" i="4"/>
  <c r="O41" i="4"/>
  <c r="N41" i="4"/>
  <c r="M41" i="4"/>
  <c r="L41" i="4"/>
  <c r="K41" i="4"/>
  <c r="E41" i="4"/>
  <c r="D41" i="4"/>
  <c r="C41" i="4"/>
  <c r="P40" i="4"/>
  <c r="O40" i="4"/>
  <c r="N40" i="4"/>
  <c r="M40" i="4"/>
  <c r="L40" i="4"/>
  <c r="K40" i="4"/>
  <c r="E40" i="4"/>
  <c r="F40" i="4" s="1"/>
  <c r="C40" i="4"/>
  <c r="T39" i="4"/>
  <c r="S39" i="4"/>
  <c r="R39" i="4"/>
  <c r="Q39" i="4"/>
  <c r="P39" i="4"/>
  <c r="O39" i="4"/>
  <c r="N39" i="4"/>
  <c r="M39" i="4"/>
  <c r="L39" i="4"/>
  <c r="K39" i="4"/>
  <c r="E39" i="4"/>
  <c r="D39" i="4"/>
  <c r="C39" i="4"/>
  <c r="T38" i="4"/>
  <c r="S38" i="4"/>
  <c r="R38" i="4"/>
  <c r="Q38" i="4"/>
  <c r="P38" i="4"/>
  <c r="O38" i="4"/>
  <c r="N38" i="4"/>
  <c r="M38" i="4"/>
  <c r="L38" i="4"/>
  <c r="K38" i="4"/>
  <c r="E38" i="4"/>
  <c r="D38" i="4"/>
  <c r="C38" i="4"/>
  <c r="T37" i="4"/>
  <c r="S37" i="4"/>
  <c r="R37" i="4"/>
  <c r="Q37" i="4"/>
  <c r="P37" i="4"/>
  <c r="O37" i="4"/>
  <c r="N37" i="4"/>
  <c r="M37" i="4"/>
  <c r="L37" i="4"/>
  <c r="K37" i="4"/>
  <c r="E37" i="4"/>
  <c r="D37" i="4"/>
  <c r="C37" i="4"/>
  <c r="P36" i="4"/>
  <c r="O36" i="4"/>
  <c r="N36" i="4"/>
  <c r="M36" i="4"/>
  <c r="L36" i="4"/>
  <c r="K36" i="4"/>
  <c r="E36" i="4"/>
  <c r="F36" i="4" s="1"/>
  <c r="C36" i="4"/>
  <c r="T35" i="4"/>
  <c r="S35" i="4"/>
  <c r="R35" i="4"/>
  <c r="Q35" i="4"/>
  <c r="P35" i="4"/>
  <c r="O35" i="4"/>
  <c r="N35" i="4"/>
  <c r="M35" i="4"/>
  <c r="L35" i="4"/>
  <c r="K35" i="4"/>
  <c r="E35" i="4"/>
  <c r="D35" i="4"/>
  <c r="C35" i="4"/>
  <c r="T34" i="4"/>
  <c r="S34" i="4"/>
  <c r="R34" i="4"/>
  <c r="Q34" i="4"/>
  <c r="P34" i="4"/>
  <c r="O34" i="4"/>
  <c r="N34" i="4"/>
  <c r="M34" i="4"/>
  <c r="L34" i="4"/>
  <c r="K34" i="4"/>
  <c r="E34" i="4"/>
  <c r="D34" i="4"/>
  <c r="C34" i="4"/>
  <c r="T33" i="4"/>
  <c r="S33" i="4"/>
  <c r="R33" i="4"/>
  <c r="Q33" i="4"/>
  <c r="P33" i="4"/>
  <c r="O33" i="4"/>
  <c r="N33" i="4"/>
  <c r="M33" i="4"/>
  <c r="L33" i="4"/>
  <c r="K33" i="4"/>
  <c r="E33" i="4"/>
  <c r="D33" i="4"/>
  <c r="C33" i="4"/>
  <c r="P32" i="4"/>
  <c r="O32" i="4"/>
  <c r="N32" i="4"/>
  <c r="M32" i="4"/>
  <c r="L32" i="4"/>
  <c r="K32" i="4"/>
  <c r="E32" i="4"/>
  <c r="F32" i="4" s="1"/>
  <c r="C32" i="4"/>
  <c r="T31" i="4"/>
  <c r="S31" i="4"/>
  <c r="R31" i="4"/>
  <c r="Q31" i="4"/>
  <c r="P31" i="4"/>
  <c r="O31" i="4"/>
  <c r="N31" i="4"/>
  <c r="M31" i="4"/>
  <c r="L31" i="4"/>
  <c r="K31" i="4"/>
  <c r="E31" i="4"/>
  <c r="D31" i="4"/>
  <c r="C31" i="4"/>
  <c r="T30" i="4"/>
  <c r="S30" i="4"/>
  <c r="R30" i="4"/>
  <c r="Q30" i="4"/>
  <c r="P30" i="4"/>
  <c r="O30" i="4"/>
  <c r="N30" i="4"/>
  <c r="M30" i="4"/>
  <c r="L30" i="4"/>
  <c r="K30" i="4"/>
  <c r="E30" i="4"/>
  <c r="D30" i="4"/>
  <c r="C30" i="4"/>
  <c r="T29" i="4"/>
  <c r="S29" i="4"/>
  <c r="R29" i="4"/>
  <c r="Q29" i="4"/>
  <c r="P29" i="4"/>
  <c r="O29" i="4"/>
  <c r="N29" i="4"/>
  <c r="M29" i="4"/>
  <c r="L29" i="4"/>
  <c r="K29" i="4"/>
  <c r="E29" i="4"/>
  <c r="D29" i="4"/>
  <c r="C29" i="4"/>
  <c r="P28" i="4"/>
  <c r="O28" i="4"/>
  <c r="N28" i="4"/>
  <c r="M28" i="4"/>
  <c r="L28" i="4"/>
  <c r="K28" i="4"/>
  <c r="E28" i="4"/>
  <c r="F28" i="4" s="1"/>
  <c r="C28" i="4"/>
  <c r="T27" i="4"/>
  <c r="S27" i="4"/>
  <c r="R27" i="4"/>
  <c r="Q27" i="4"/>
  <c r="P27" i="4"/>
  <c r="O27" i="4"/>
  <c r="N27" i="4"/>
  <c r="M27" i="4"/>
  <c r="L27" i="4"/>
  <c r="K27" i="4"/>
  <c r="E27" i="4"/>
  <c r="D27" i="4"/>
  <c r="C27" i="4"/>
  <c r="T26" i="4"/>
  <c r="S26" i="4"/>
  <c r="R26" i="4"/>
  <c r="Q26" i="4"/>
  <c r="P26" i="4"/>
  <c r="O26" i="4"/>
  <c r="N26" i="4"/>
  <c r="M26" i="4"/>
  <c r="L26" i="4"/>
  <c r="K26" i="4"/>
  <c r="E26" i="4"/>
  <c r="D26" i="4"/>
  <c r="C26" i="4"/>
  <c r="T25" i="4"/>
  <c r="S25" i="4"/>
  <c r="R25" i="4"/>
  <c r="Q25" i="4"/>
  <c r="P25" i="4"/>
  <c r="O25" i="4"/>
  <c r="N25" i="4"/>
  <c r="M25" i="4"/>
  <c r="L25" i="4"/>
  <c r="K25" i="4"/>
  <c r="E25" i="4"/>
  <c r="D25" i="4"/>
  <c r="C25" i="4"/>
  <c r="P24" i="4"/>
  <c r="O24" i="4"/>
  <c r="N24" i="4"/>
  <c r="M24" i="4"/>
  <c r="L24" i="4"/>
  <c r="K24" i="4"/>
  <c r="E24" i="4"/>
  <c r="F24" i="4" s="1"/>
  <c r="C24" i="4"/>
  <c r="T23" i="4"/>
  <c r="S23" i="4"/>
  <c r="R23" i="4"/>
  <c r="Q23" i="4"/>
  <c r="P23" i="4"/>
  <c r="O23" i="4"/>
  <c r="N23" i="4"/>
  <c r="M23" i="4"/>
  <c r="L23" i="4"/>
  <c r="K23" i="4"/>
  <c r="E23" i="4"/>
  <c r="D23" i="4"/>
  <c r="C23" i="4"/>
  <c r="T22" i="4"/>
  <c r="S22" i="4"/>
  <c r="R22" i="4"/>
  <c r="Q22" i="4"/>
  <c r="P22" i="4"/>
  <c r="O22" i="4"/>
  <c r="N22" i="4"/>
  <c r="M22" i="4"/>
  <c r="L22" i="4"/>
  <c r="K22" i="4"/>
  <c r="E22" i="4"/>
  <c r="D22" i="4"/>
  <c r="C22" i="4"/>
  <c r="T21" i="4"/>
  <c r="S21" i="4"/>
  <c r="R21" i="4"/>
  <c r="Q21" i="4"/>
  <c r="P21" i="4"/>
  <c r="O21" i="4"/>
  <c r="N21" i="4"/>
  <c r="M21" i="4"/>
  <c r="L21" i="4"/>
  <c r="K21" i="4"/>
  <c r="E21" i="4"/>
  <c r="D21" i="4"/>
  <c r="C21" i="4"/>
  <c r="P20" i="4"/>
  <c r="O20" i="4"/>
  <c r="N20" i="4"/>
  <c r="M20" i="4"/>
  <c r="L20" i="4"/>
  <c r="K20" i="4"/>
  <c r="E20" i="4"/>
  <c r="F20" i="4" s="1"/>
  <c r="C20" i="4"/>
  <c r="T19" i="4"/>
  <c r="S19" i="4"/>
  <c r="R19" i="4"/>
  <c r="Q19" i="4"/>
  <c r="P19" i="4"/>
  <c r="O19" i="4"/>
  <c r="N19" i="4"/>
  <c r="M19" i="4"/>
  <c r="L19" i="4"/>
  <c r="K19" i="4"/>
  <c r="E19" i="4"/>
  <c r="D19" i="4"/>
  <c r="C19" i="4"/>
  <c r="T18" i="4"/>
  <c r="S18" i="4"/>
  <c r="R18" i="4"/>
  <c r="Q18" i="4"/>
  <c r="P18" i="4"/>
  <c r="O18" i="4"/>
  <c r="N18" i="4"/>
  <c r="M18" i="4"/>
  <c r="L18" i="4"/>
  <c r="K18" i="4"/>
  <c r="E18" i="4"/>
  <c r="D18" i="4"/>
  <c r="C18" i="4"/>
  <c r="T17" i="4"/>
  <c r="S17" i="4"/>
  <c r="R17" i="4"/>
  <c r="Q17" i="4"/>
  <c r="P17" i="4"/>
  <c r="O17" i="4"/>
  <c r="N17" i="4"/>
  <c r="M17" i="4"/>
  <c r="L17" i="4"/>
  <c r="K17" i="4"/>
  <c r="E17" i="4"/>
  <c r="D17" i="4"/>
  <c r="C17" i="4"/>
  <c r="P16" i="4"/>
  <c r="O16" i="4"/>
  <c r="N16" i="4"/>
  <c r="M16" i="4"/>
  <c r="L16" i="4"/>
  <c r="K16" i="4"/>
  <c r="E16" i="4"/>
  <c r="F16" i="4" s="1"/>
  <c r="C16" i="4"/>
  <c r="T15" i="4"/>
  <c r="S15" i="4"/>
  <c r="R15" i="4"/>
  <c r="Q15" i="4"/>
  <c r="E15" i="4"/>
  <c r="D15" i="4"/>
  <c r="C15" i="4"/>
  <c r="T14" i="4"/>
  <c r="S14" i="4"/>
  <c r="R14" i="4"/>
  <c r="Q14" i="4"/>
  <c r="E14" i="4"/>
  <c r="D14" i="4"/>
  <c r="C14" i="4"/>
  <c r="T13" i="4"/>
  <c r="S13" i="4"/>
  <c r="R13" i="4"/>
  <c r="Q13" i="4"/>
  <c r="E13" i="4"/>
  <c r="D13" i="4"/>
  <c r="C13" i="4"/>
  <c r="E12" i="4"/>
  <c r="F12" i="4" s="1"/>
  <c r="C12" i="4"/>
  <c r="D11" i="4"/>
  <c r="F11" i="4" s="1"/>
  <c r="D10" i="4"/>
  <c r="F10" i="4" s="1"/>
  <c r="D9" i="4"/>
  <c r="F9" i="4" s="1"/>
  <c r="D8" i="2"/>
  <c r="D2" i="22" s="1"/>
  <c r="E18" i="2"/>
  <c r="D18" i="2"/>
  <c r="E29" i="8" s="1"/>
  <c r="AE49" i="15" l="1"/>
  <c r="H29" i="8"/>
  <c r="H36" i="8" s="1"/>
  <c r="H37" i="8" s="1"/>
  <c r="AA93" i="15" s="1"/>
  <c r="I13" i="3"/>
  <c r="I14" i="3" s="1"/>
  <c r="I15" i="3" s="1"/>
  <c r="I16" i="3" s="1"/>
  <c r="I17" i="3" s="1"/>
  <c r="I18" i="3" s="1"/>
  <c r="I19" i="3" s="1"/>
  <c r="I20" i="3" s="1"/>
  <c r="I21" i="3" s="1"/>
  <c r="I22" i="3" s="1"/>
  <c r="I23" i="3" s="1"/>
  <c r="A9" i="5"/>
  <c r="R9" i="5" s="1"/>
  <c r="A36" i="5"/>
  <c r="F58" i="4"/>
  <c r="F65" i="4"/>
  <c r="F27" i="4"/>
  <c r="F29" i="4"/>
  <c r="F61" i="4"/>
  <c r="F66" i="4"/>
  <c r="F77" i="4"/>
  <c r="F83" i="4"/>
  <c r="F13" i="4"/>
  <c r="F39" i="4"/>
  <c r="F90" i="4"/>
  <c r="F43" i="4"/>
  <c r="F59" i="4"/>
  <c r="F34" i="4"/>
  <c r="F41" i="4"/>
  <c r="F91" i="4"/>
  <c r="F35" i="4"/>
  <c r="F26" i="4"/>
  <c r="F33" i="4"/>
  <c r="F42" i="4"/>
  <c r="F47" i="4"/>
  <c r="D19" i="2"/>
  <c r="E2" i="22" s="1"/>
  <c r="F19" i="4"/>
  <c r="F14" i="4"/>
  <c r="F67" i="4"/>
  <c r="F75" i="4"/>
  <c r="F22" i="4"/>
  <c r="F69" i="4"/>
  <c r="F70" i="4"/>
  <c r="F37" i="4"/>
  <c r="F18" i="4"/>
  <c r="F50" i="4"/>
  <c r="F17" i="4"/>
  <c r="F30" i="4"/>
  <c r="F51" i="4"/>
  <c r="F82" i="4"/>
  <c r="F15" i="4"/>
  <c r="F54" i="4"/>
  <c r="F73" i="4"/>
  <c r="F78" i="4"/>
  <c r="F63" i="4"/>
  <c r="F87" i="4"/>
  <c r="F38" i="4"/>
  <c r="F46" i="4"/>
  <c r="F74" i="4"/>
  <c r="F93" i="4"/>
  <c r="F79" i="4"/>
  <c r="F89" i="4"/>
  <c r="F94" i="4"/>
  <c r="F21" i="4"/>
  <c r="F49" i="4"/>
  <c r="F55" i="4"/>
  <c r="F57" i="4"/>
  <c r="F71" i="4"/>
  <c r="F95" i="4"/>
  <c r="F23" i="4"/>
  <c r="F25" i="4"/>
  <c r="F31" i="4"/>
  <c r="F45" i="4"/>
  <c r="F53" i="4"/>
  <c r="F62" i="4"/>
  <c r="F81" i="4"/>
  <c r="F85" i="4"/>
  <c r="F86" i="4"/>
  <c r="G40" i="8" l="1"/>
  <c r="H40" i="8" s="1"/>
  <c r="G41" i="8"/>
  <c r="H41" i="8" s="1"/>
  <c r="D18" i="10" s="1"/>
  <c r="AA95" i="15" s="1"/>
  <c r="AA23" i="5"/>
  <c r="AA21" i="5"/>
  <c r="M21" i="5"/>
  <c r="J21" i="5"/>
  <c r="P21" i="5"/>
  <c r="U21" i="5"/>
  <c r="S21" i="5"/>
  <c r="X21" i="5"/>
  <c r="G21" i="5"/>
  <c r="Y21" i="5"/>
  <c r="Z21" i="5"/>
  <c r="V21" i="5"/>
  <c r="Q21" i="5"/>
  <c r="I21" i="5"/>
  <c r="K21" i="5"/>
  <c r="O21" i="5"/>
  <c r="L21" i="5"/>
  <c r="F21" i="5"/>
  <c r="W21" i="5"/>
  <c r="R21" i="5"/>
  <c r="N21" i="5"/>
  <c r="H21" i="5"/>
  <c r="T21" i="5"/>
  <c r="E21" i="5"/>
  <c r="T43" i="5"/>
  <c r="D20" i="5"/>
  <c r="L42" i="5"/>
  <c r="R22" i="5"/>
  <c r="G36" i="5"/>
  <c r="P23" i="5"/>
  <c r="O44" i="5"/>
  <c r="X42" i="5"/>
  <c r="J44" i="5"/>
  <c r="V23" i="5"/>
  <c r="E42" i="5"/>
  <c r="Z14" i="5"/>
  <c r="W14" i="5"/>
  <c r="R14" i="5"/>
  <c r="T20" i="5"/>
  <c r="W23" i="5"/>
  <c r="Q23" i="5"/>
  <c r="E36" i="5"/>
  <c r="N42" i="5"/>
  <c r="U43" i="5"/>
  <c r="H44" i="5"/>
  <c r="Q42" i="5"/>
  <c r="Z36" i="5"/>
  <c r="S43" i="5"/>
  <c r="E22" i="5"/>
  <c r="U22" i="5"/>
  <c r="F20" i="5"/>
  <c r="M23" i="5"/>
  <c r="H20" i="5"/>
  <c r="J9" i="5"/>
  <c r="K14" i="5"/>
  <c r="O36" i="5"/>
  <c r="I42" i="5"/>
  <c r="S42" i="5"/>
  <c r="E23" i="5"/>
  <c r="L43" i="5"/>
  <c r="T42" i="5"/>
  <c r="V42" i="5"/>
  <c r="E44" i="5"/>
  <c r="P44" i="5"/>
  <c r="Y42" i="5"/>
  <c r="AA43" i="5"/>
  <c r="T23" i="5"/>
  <c r="M20" i="5"/>
  <c r="Z9" i="5"/>
  <c r="D21" i="5"/>
  <c r="U23" i="5"/>
  <c r="G20" i="5"/>
  <c r="X20" i="5"/>
  <c r="S14" i="5"/>
  <c r="F42" i="5"/>
  <c r="N43" i="5"/>
  <c r="M36" i="5"/>
  <c r="M44" i="5"/>
  <c r="W42" i="5"/>
  <c r="P36" i="5"/>
  <c r="X44" i="5"/>
  <c r="I43" i="5"/>
  <c r="R42" i="5"/>
  <c r="K44" i="5"/>
  <c r="L20" i="5"/>
  <c r="Z20" i="5"/>
  <c r="M14" i="5"/>
  <c r="I20" i="5"/>
  <c r="I23" i="5"/>
  <c r="D42" i="5"/>
  <c r="U42" i="5"/>
  <c r="V43" i="5"/>
  <c r="U36" i="5"/>
  <c r="U44" i="5"/>
  <c r="G43" i="5"/>
  <c r="X36" i="5"/>
  <c r="Y43" i="5"/>
  <c r="Z42" i="5"/>
  <c r="K36" i="5"/>
  <c r="S44" i="5"/>
  <c r="J23" i="5"/>
  <c r="T22" i="5"/>
  <c r="J22" i="5"/>
  <c r="D14" i="5"/>
  <c r="F14" i="5"/>
  <c r="H22" i="5"/>
  <c r="Q20" i="5"/>
  <c r="W22" i="5"/>
  <c r="X43" i="5"/>
  <c r="D44" i="5"/>
  <c r="D43" i="5"/>
  <c r="N36" i="5"/>
  <c r="N44" i="5"/>
  <c r="O43" i="5"/>
  <c r="Y44" i="5"/>
  <c r="J43" i="5"/>
  <c r="S36" i="5"/>
  <c r="T14" i="5"/>
  <c r="U20" i="5"/>
  <c r="D22" i="5"/>
  <c r="N14" i="5"/>
  <c r="F22" i="5"/>
  <c r="G14" i="5"/>
  <c r="P22" i="5"/>
  <c r="Y20" i="5"/>
  <c r="F36" i="5"/>
  <c r="L44" i="5"/>
  <c r="V44" i="5"/>
  <c r="W43" i="5"/>
  <c r="H42" i="5"/>
  <c r="Q36" i="5"/>
  <c r="R43" i="5"/>
  <c r="AA36" i="5"/>
  <c r="P14" i="5"/>
  <c r="V9" i="5"/>
  <c r="J20" i="5"/>
  <c r="N9" i="5"/>
  <c r="V14" i="5"/>
  <c r="V22" i="5"/>
  <c r="O14" i="5"/>
  <c r="G22" i="5"/>
  <c r="X22" i="5"/>
  <c r="Y22" i="5"/>
  <c r="S22" i="5"/>
  <c r="AA14" i="5"/>
  <c r="K22" i="5"/>
  <c r="Y23" i="5"/>
  <c r="T36" i="5"/>
  <c r="J36" i="5"/>
  <c r="T44" i="5"/>
  <c r="D36" i="5"/>
  <c r="F43" i="5"/>
  <c r="M42" i="5"/>
  <c r="W36" i="5"/>
  <c r="G44" i="5"/>
  <c r="P42" i="5"/>
  <c r="I36" i="5"/>
  <c r="Q43" i="5"/>
  <c r="R36" i="5"/>
  <c r="Z43" i="5"/>
  <c r="K42" i="5"/>
  <c r="AA44" i="5"/>
  <c r="H14" i="5"/>
  <c r="L14" i="5"/>
  <c r="M22" i="5"/>
  <c r="F9" i="5"/>
  <c r="R20" i="5"/>
  <c r="Z23" i="5"/>
  <c r="E20" i="5"/>
  <c r="N22" i="5"/>
  <c r="O22" i="5"/>
  <c r="P20" i="5"/>
  <c r="H23" i="5"/>
  <c r="I14" i="5"/>
  <c r="K20" i="5"/>
  <c r="AA22" i="5"/>
  <c r="Q14" i="5"/>
  <c r="S20" i="5"/>
  <c r="K23" i="5"/>
  <c r="E43" i="5"/>
  <c r="G42" i="5"/>
  <c r="W44" i="5"/>
  <c r="H43" i="5"/>
  <c r="Y36" i="5"/>
  <c r="I44" i="5"/>
  <c r="R44" i="5"/>
  <c r="AA42" i="5"/>
  <c r="X14" i="5"/>
  <c r="L22" i="5"/>
  <c r="D23" i="5"/>
  <c r="N20" i="5"/>
  <c r="F23" i="5"/>
  <c r="O20" i="5"/>
  <c r="G23" i="5"/>
  <c r="X23" i="5"/>
  <c r="Y14" i="5"/>
  <c r="I22" i="5"/>
  <c r="AA20" i="5"/>
  <c r="S23" i="5"/>
  <c r="L36" i="5"/>
  <c r="V36" i="5"/>
  <c r="F44" i="5"/>
  <c r="M43" i="5"/>
  <c r="O42" i="5"/>
  <c r="H36" i="5"/>
  <c r="P43" i="5"/>
  <c r="Q44" i="5"/>
  <c r="J42" i="5"/>
  <c r="Z44" i="5"/>
  <c r="K43" i="5"/>
  <c r="E14" i="5"/>
  <c r="L23" i="5"/>
  <c r="U14" i="5"/>
  <c r="J14" i="5"/>
  <c r="R23" i="5"/>
  <c r="Z22" i="5"/>
  <c r="V20" i="5"/>
  <c r="N23" i="5"/>
  <c r="W20" i="5"/>
  <c r="O23" i="5"/>
  <c r="Q22" i="5"/>
  <c r="A11" i="5"/>
  <c r="A31" i="5"/>
  <c r="A19" i="5"/>
  <c r="A10" i="5"/>
  <c r="A7" i="5"/>
  <c r="R17" i="5"/>
  <c r="H45" i="8" l="1"/>
  <c r="H46" i="8" s="1"/>
  <c r="D19" i="10" s="1"/>
  <c r="AE2" i="21"/>
  <c r="AN2" i="21"/>
  <c r="AM15" i="15"/>
  <c r="F17" i="5"/>
  <c r="J17" i="5"/>
  <c r="V17" i="5"/>
  <c r="N17" i="5"/>
  <c r="Z17" i="5"/>
  <c r="H7" i="5"/>
  <c r="T7" i="5"/>
  <c r="X7" i="5"/>
  <c r="D7" i="5"/>
  <c r="P7" i="5"/>
  <c r="L7" i="5"/>
  <c r="V31" i="5"/>
  <c r="N31" i="5"/>
  <c r="R31" i="5"/>
  <c r="Z31" i="5"/>
  <c r="F31" i="5"/>
  <c r="J31" i="5"/>
  <c r="S11" i="5"/>
  <c r="R11" i="5"/>
  <c r="Q11" i="5"/>
  <c r="P11" i="5"/>
  <c r="O10" i="5"/>
  <c r="W10" i="5"/>
  <c r="K10" i="5"/>
  <c r="G10" i="5"/>
  <c r="S10" i="5"/>
  <c r="AA10" i="5"/>
  <c r="W19" i="5"/>
  <c r="F19" i="5"/>
  <c r="Z19" i="5"/>
  <c r="G19" i="5"/>
  <c r="V19" i="5"/>
  <c r="O19" i="5"/>
  <c r="S19" i="5"/>
  <c r="R19" i="5"/>
  <c r="AA19" i="5"/>
  <c r="N19" i="5"/>
  <c r="K19" i="5"/>
  <c r="J19" i="5"/>
  <c r="A41" i="5"/>
  <c r="A8" i="5"/>
  <c r="A29" i="5"/>
  <c r="A33" i="5"/>
  <c r="A12" i="5"/>
  <c r="A32" i="5"/>
  <c r="AB2" i="21" l="1"/>
  <c r="D20" i="10"/>
  <c r="F39" i="5"/>
  <c r="Z39" i="5"/>
  <c r="R39" i="5"/>
  <c r="N39" i="5"/>
  <c r="V39" i="5"/>
  <c r="J39" i="5"/>
  <c r="K17" i="5"/>
  <c r="W17" i="5"/>
  <c r="O17" i="5"/>
  <c r="AA17" i="5"/>
  <c r="S17" i="5"/>
  <c r="G17" i="5"/>
  <c r="L29" i="5"/>
  <c r="X29" i="5"/>
  <c r="T29" i="5"/>
  <c r="H29" i="5"/>
  <c r="P29" i="5"/>
  <c r="D29" i="5"/>
  <c r="E8" i="5"/>
  <c r="Q8" i="5"/>
  <c r="M8" i="5"/>
  <c r="U8" i="5"/>
  <c r="Y8" i="5"/>
  <c r="I8" i="5"/>
  <c r="K32" i="5"/>
  <c r="W32" i="5"/>
  <c r="AA32" i="5"/>
  <c r="O32" i="5"/>
  <c r="G32" i="5"/>
  <c r="S32" i="5"/>
  <c r="W41" i="5"/>
  <c r="J41" i="5"/>
  <c r="Z41" i="5"/>
  <c r="G41" i="5"/>
  <c r="S41" i="5"/>
  <c r="V41" i="5"/>
  <c r="F41" i="5"/>
  <c r="AA41" i="5"/>
  <c r="K41" i="5"/>
  <c r="O41" i="5"/>
  <c r="N41" i="5"/>
  <c r="R41" i="5"/>
  <c r="T12" i="5"/>
  <c r="AA12" i="5"/>
  <c r="Z12" i="5"/>
  <c r="W12" i="5"/>
  <c r="V12" i="5"/>
  <c r="U12" i="5"/>
  <c r="X12" i="5"/>
  <c r="Y12" i="5"/>
  <c r="Q33" i="5"/>
  <c r="P33" i="5"/>
  <c r="R33" i="5"/>
  <c r="S33" i="5"/>
  <c r="A13" i="5"/>
  <c r="A34" i="5"/>
  <c r="A18" i="5"/>
  <c r="A30" i="5"/>
  <c r="AC2" i="21" l="1"/>
  <c r="T11" i="19"/>
  <c r="BG2" i="21" s="1"/>
  <c r="W12" i="16"/>
  <c r="W39" i="5"/>
  <c r="K39" i="5"/>
  <c r="S39" i="5"/>
  <c r="G39" i="5"/>
  <c r="O39" i="5"/>
  <c r="AA39" i="5"/>
  <c r="E30" i="5"/>
  <c r="U30" i="5"/>
  <c r="Y30" i="5"/>
  <c r="I30" i="5"/>
  <c r="Q30" i="5"/>
  <c r="M30" i="5"/>
  <c r="Q18" i="5"/>
  <c r="P18" i="5"/>
  <c r="M18" i="5"/>
  <c r="X18" i="5"/>
  <c r="H18" i="5"/>
  <c r="T18" i="5"/>
  <c r="Y18" i="5"/>
  <c r="I18" i="5"/>
  <c r="U18" i="5"/>
  <c r="L18" i="5"/>
  <c r="D18" i="5"/>
  <c r="E18" i="5"/>
  <c r="T34" i="5"/>
  <c r="U34" i="5"/>
  <c r="AA34" i="5"/>
  <c r="W34" i="5"/>
  <c r="X34" i="5"/>
  <c r="Z34" i="5"/>
  <c r="V34" i="5"/>
  <c r="Y34" i="5"/>
  <c r="K13" i="5"/>
  <c r="H13" i="5"/>
  <c r="J13" i="5"/>
  <c r="I13" i="5"/>
  <c r="A24" i="5"/>
  <c r="A46" i="5" s="1"/>
  <c r="A40" i="5"/>
  <c r="A45" i="5"/>
  <c r="A35" i="5"/>
  <c r="A15" i="5"/>
  <c r="AT2" i="21" l="1"/>
  <c r="AJ12" i="16"/>
  <c r="AX2" i="21" s="1"/>
  <c r="Y45" i="5"/>
  <c r="Q45" i="5"/>
  <c r="W45" i="5"/>
  <c r="Z45" i="5"/>
  <c r="K45" i="5"/>
  <c r="I45" i="5"/>
  <c r="P45" i="5"/>
  <c r="T45" i="5"/>
  <c r="F45" i="5"/>
  <c r="J45" i="5"/>
  <c r="O45" i="5"/>
  <c r="D45" i="5"/>
  <c r="R45" i="5"/>
  <c r="L45" i="5"/>
  <c r="H45" i="5"/>
  <c r="E45" i="5"/>
  <c r="U45" i="5"/>
  <c r="S45" i="5"/>
  <c r="N45" i="5"/>
  <c r="V45" i="5"/>
  <c r="M45" i="5"/>
  <c r="X45" i="5"/>
  <c r="AA45" i="5"/>
  <c r="G45" i="5"/>
  <c r="I40" i="5"/>
  <c r="M40" i="5"/>
  <c r="H40" i="5"/>
  <c r="T40" i="5"/>
  <c r="L40" i="5"/>
  <c r="E40" i="5"/>
  <c r="P40" i="5"/>
  <c r="X40" i="5"/>
  <c r="Y40" i="5"/>
  <c r="D40" i="5"/>
  <c r="Q40" i="5"/>
  <c r="U40" i="5"/>
  <c r="I15" i="5"/>
  <c r="I24" i="5" s="1"/>
  <c r="U15" i="5"/>
  <c r="U24" i="5" s="1"/>
  <c r="D15" i="5"/>
  <c r="D24" i="5" s="1"/>
  <c r="P15" i="5"/>
  <c r="P24" i="5" s="1"/>
  <c r="Q15" i="5"/>
  <c r="Q24" i="5" s="1"/>
  <c r="H15" i="5"/>
  <c r="H24" i="5" s="1"/>
  <c r="W15" i="5"/>
  <c r="W24" i="5" s="1"/>
  <c r="V15" i="5"/>
  <c r="V24" i="5" s="1"/>
  <c r="X15" i="5"/>
  <c r="X24" i="5" s="1"/>
  <c r="T15" i="5"/>
  <c r="T24" i="5" s="1"/>
  <c r="O15" i="5"/>
  <c r="O24" i="5" s="1"/>
  <c r="N15" i="5"/>
  <c r="N24" i="5" s="1"/>
  <c r="Y15" i="5"/>
  <c r="Y24" i="5" s="1"/>
  <c r="AA15" i="5"/>
  <c r="AA24" i="5" s="1"/>
  <c r="S15" i="5"/>
  <c r="S24" i="5" s="1"/>
  <c r="G15" i="5"/>
  <c r="G24" i="5" s="1"/>
  <c r="F15" i="5"/>
  <c r="F24" i="5" s="1"/>
  <c r="E15" i="5"/>
  <c r="E24" i="5" s="1"/>
  <c r="L15" i="5"/>
  <c r="L24" i="5" s="1"/>
  <c r="K15" i="5"/>
  <c r="K24" i="5" s="1"/>
  <c r="Z15" i="5"/>
  <c r="Z24" i="5" s="1"/>
  <c r="J15" i="5"/>
  <c r="J24" i="5" s="1"/>
  <c r="R15" i="5"/>
  <c r="R24" i="5" s="1"/>
  <c r="M15" i="5"/>
  <c r="M24" i="5" s="1"/>
  <c r="K35" i="5"/>
  <c r="J35" i="5"/>
  <c r="H35" i="5"/>
  <c r="I35" i="5"/>
  <c r="A16" i="5"/>
  <c r="A37" i="5"/>
  <c r="S16" i="5" l="1"/>
  <c r="G16" i="5"/>
  <c r="F16" i="5"/>
  <c r="H16" i="5"/>
  <c r="P16" i="5"/>
  <c r="P25" i="5" s="1"/>
  <c r="P26" i="5" s="1"/>
  <c r="L16" i="5"/>
  <c r="L25" i="5" s="1"/>
  <c r="L26" i="5" s="1"/>
  <c r="R16" i="5"/>
  <c r="R25" i="5" s="1"/>
  <c r="R26" i="5" s="1"/>
  <c r="Z16" i="5"/>
  <c r="Z25" i="5" s="1"/>
  <c r="Z26" i="5" s="1"/>
  <c r="O16" i="5"/>
  <c r="K16" i="5"/>
  <c r="K25" i="5" s="1"/>
  <c r="K26" i="5" s="1"/>
  <c r="M16" i="5"/>
  <c r="M25" i="5" s="1"/>
  <c r="M26" i="5" s="1"/>
  <c r="X16" i="5"/>
  <c r="W16" i="5"/>
  <c r="W25" i="5" s="1"/>
  <c r="W26" i="5" s="1"/>
  <c r="V16" i="5"/>
  <c r="V25" i="5" s="1"/>
  <c r="V26" i="5" s="1"/>
  <c r="J16" i="5"/>
  <c r="J25" i="5" s="1"/>
  <c r="J26" i="5" s="1"/>
  <c r="U16" i="5"/>
  <c r="U25" i="5" s="1"/>
  <c r="U26" i="5" s="1"/>
  <c r="Y16" i="5"/>
  <c r="D16" i="5"/>
  <c r="D25" i="5" s="1"/>
  <c r="D26" i="5" s="1"/>
  <c r="Q16" i="5"/>
  <c r="Q25" i="5" s="1"/>
  <c r="Q26" i="5" s="1"/>
  <c r="T16" i="5"/>
  <c r="T25" i="5" s="1"/>
  <c r="T26" i="5" s="1"/>
  <c r="I16" i="5"/>
  <c r="I25" i="5" s="1"/>
  <c r="I26" i="5" s="1"/>
  <c r="AA16" i="5"/>
  <c r="AA25" i="5" s="1"/>
  <c r="AA26" i="5" s="1"/>
  <c r="N16" i="5"/>
  <c r="N25" i="5" s="1"/>
  <c r="N26" i="5" s="1"/>
  <c r="E16" i="5"/>
  <c r="E25" i="5" s="1"/>
  <c r="E26" i="5" s="1"/>
  <c r="R37" i="5"/>
  <c r="R46" i="5" s="1"/>
  <c r="I37" i="5"/>
  <c r="I46" i="5" s="1"/>
  <c r="W37" i="5"/>
  <c r="W46" i="5" s="1"/>
  <c r="AA37" i="5"/>
  <c r="AA46" i="5" s="1"/>
  <c r="G37" i="5"/>
  <c r="G46" i="5" s="1"/>
  <c r="T37" i="5"/>
  <c r="T46" i="5" s="1"/>
  <c r="V37" i="5"/>
  <c r="V46" i="5" s="1"/>
  <c r="Z37" i="5"/>
  <c r="Z46" i="5" s="1"/>
  <c r="J37" i="5"/>
  <c r="J46" i="5" s="1"/>
  <c r="O37" i="5"/>
  <c r="O46" i="5" s="1"/>
  <c r="U37" i="5"/>
  <c r="U46" i="5" s="1"/>
  <c r="S37" i="5"/>
  <c r="S46" i="5" s="1"/>
  <c r="X37" i="5"/>
  <c r="X46" i="5" s="1"/>
  <c r="M37" i="5"/>
  <c r="M46" i="5" s="1"/>
  <c r="K37" i="5"/>
  <c r="K46" i="5" s="1"/>
  <c r="P37" i="5"/>
  <c r="P46" i="5" s="1"/>
  <c r="E37" i="5"/>
  <c r="E46" i="5" s="1"/>
  <c r="H37" i="5"/>
  <c r="H46" i="5" s="1"/>
  <c r="L37" i="5"/>
  <c r="L46" i="5" s="1"/>
  <c r="Y37" i="5"/>
  <c r="Y46" i="5" s="1"/>
  <c r="N37" i="5"/>
  <c r="N46" i="5" s="1"/>
  <c r="Q37" i="5"/>
  <c r="Q46" i="5" s="1"/>
  <c r="F37" i="5"/>
  <c r="F46" i="5" s="1"/>
  <c r="D37" i="5"/>
  <c r="D46" i="5" s="1"/>
  <c r="Y25" i="5"/>
  <c r="Y26" i="5" s="1"/>
  <c r="S25" i="5"/>
  <c r="S26" i="5" s="1"/>
  <c r="F25" i="5"/>
  <c r="F26" i="5" s="1"/>
  <c r="A38" i="5"/>
  <c r="H25" i="5"/>
  <c r="H26" i="5" s="1"/>
  <c r="G25" i="5"/>
  <c r="G26" i="5" s="1"/>
  <c r="X25" i="5"/>
  <c r="X26" i="5" s="1"/>
  <c r="O25" i="5"/>
  <c r="O26" i="5" s="1"/>
  <c r="S38" i="5" l="1"/>
  <c r="S47" i="5" s="1"/>
  <c r="S48" i="5" s="1"/>
  <c r="X38" i="5"/>
  <c r="X47" i="5" s="1"/>
  <c r="X48" i="5" s="1"/>
  <c r="U38" i="5"/>
  <c r="U47" i="5" s="1"/>
  <c r="U48" i="5" s="1"/>
  <c r="D38" i="5"/>
  <c r="D47" i="5" s="1"/>
  <c r="D48" i="5" s="1"/>
  <c r="H38" i="5"/>
  <c r="H47" i="5" s="1"/>
  <c r="H48" i="5" s="1"/>
  <c r="V38" i="5"/>
  <c r="V47" i="5" s="1"/>
  <c r="V48" i="5" s="1"/>
  <c r="L38" i="5"/>
  <c r="L47" i="5" s="1"/>
  <c r="L48" i="5" s="1"/>
  <c r="T38" i="5"/>
  <c r="T47" i="5" s="1"/>
  <c r="T48" i="5" s="1"/>
  <c r="AA38" i="5"/>
  <c r="AA47" i="5" s="1"/>
  <c r="AA48" i="5" s="1"/>
  <c r="K38" i="5"/>
  <c r="K47" i="5" s="1"/>
  <c r="K48" i="5" s="1"/>
  <c r="P38" i="5"/>
  <c r="P47" i="5" s="1"/>
  <c r="P48" i="5" s="1"/>
  <c r="M38" i="5"/>
  <c r="M47" i="5" s="1"/>
  <c r="M48" i="5" s="1"/>
  <c r="E38" i="5"/>
  <c r="E47" i="5" s="1"/>
  <c r="E48" i="5" s="1"/>
  <c r="F38" i="5"/>
  <c r="F47" i="5" s="1"/>
  <c r="F48" i="5" s="1"/>
  <c r="Y38" i="5"/>
  <c r="Y47" i="5" s="1"/>
  <c r="Y48" i="5" s="1"/>
  <c r="N38" i="5"/>
  <c r="N47" i="5" s="1"/>
  <c r="N48" i="5" s="1"/>
  <c r="Z38" i="5"/>
  <c r="Z47" i="5" s="1"/>
  <c r="Z48" i="5" s="1"/>
  <c r="Q38" i="5"/>
  <c r="Q47" i="5" s="1"/>
  <c r="Q48" i="5" s="1"/>
  <c r="R38" i="5"/>
  <c r="R47" i="5" s="1"/>
  <c r="R48" i="5" s="1"/>
  <c r="I38" i="5"/>
  <c r="I47" i="5" s="1"/>
  <c r="I48" i="5" s="1"/>
  <c r="W38" i="5"/>
  <c r="W47" i="5" s="1"/>
  <c r="W48" i="5" s="1"/>
  <c r="J38" i="5"/>
  <c r="J47" i="5" s="1"/>
  <c r="J48" i="5" s="1"/>
  <c r="O38" i="5"/>
  <c r="O47" i="5" s="1"/>
  <c r="O48" i="5" s="1"/>
  <c r="G38" i="5"/>
  <c r="G47" i="5" s="1"/>
  <c r="G48" i="5" s="1"/>
  <c r="D45" i="2"/>
  <c r="D9" i="10" l="1"/>
  <c r="D46" i="2"/>
  <c r="X2" i="21" l="1"/>
  <c r="D10" i="10"/>
  <c r="Y2" i="21" s="1"/>
  <c r="D13" i="10"/>
  <c r="Z2" i="21" l="1"/>
  <c r="D14" i="10"/>
  <c r="AA2" i="21" s="1"/>
  <c r="N12" i="16" l="1"/>
  <c r="K11" i="19"/>
  <c r="BF2" i="21" s="1"/>
  <c r="AJ11" i="16" l="1"/>
  <c r="AW2" i="21" s="1"/>
  <c r="AQ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9A224E52-450F-4884-80D9-865FEA752BAD}">
      <text>
        <r>
          <rPr>
            <sz val="9"/>
            <color indexed="81"/>
            <rFont val="MS P ゴシック"/>
            <family val="3"/>
            <charset val="128"/>
          </rPr>
          <t>R6年度までの処遇改善等加算Ⅰの基礎分</t>
        </r>
      </text>
    </comment>
    <comment ref="C10" authorId="0" shapeId="0" xr:uid="{B7838D6F-1C6D-4EC0-A7D1-68D87930BDEB}">
      <text>
        <r>
          <rPr>
            <sz val="9"/>
            <color indexed="81"/>
            <rFont val="MS P ゴシック"/>
            <family val="3"/>
            <charset val="128"/>
          </rPr>
          <t>処遇改善等加算Ⅰの賃金改善要件分の一部（2%部分）</t>
        </r>
      </text>
    </comment>
    <comment ref="C14" authorId="0" shapeId="0" xr:uid="{E222D0FC-824B-4F59-ABA8-194B3953AE0B}">
      <text>
        <r>
          <rPr>
            <sz val="9"/>
            <color indexed="81"/>
            <rFont val="MS P ゴシック"/>
            <family val="3"/>
            <charset val="128"/>
          </rPr>
          <t>R6年度までの処遇改善等加算Ⅰ及び処遇改善等加算Ⅲ</t>
        </r>
      </text>
    </comment>
    <comment ref="C18" authorId="0" shapeId="0" xr:uid="{B3E46BED-5945-496C-913B-3454A7BE09A7}">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46A1B096-0FB2-4C7B-84F5-25BBEDFEEEE4}">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757945D0-89AB-40CC-8FDB-9F6B9E7DBB3D}">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74ED3CB-9FAC-43A0-8224-FFADC89B05D7}">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EE283C2B-DAEB-4090-ACDE-B210A0F028D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CC0CC28B-774F-4F79-9973-B96066924A75}">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258518FF-B47E-4949-A4B1-8FD4F01CDB7D}">
      <text>
        <r>
          <rPr>
            <sz val="12"/>
            <color indexed="81"/>
            <rFont val="MS P ゴシック"/>
            <family val="3"/>
            <charset val="128"/>
          </rPr>
          <t>A：配置であること</t>
        </r>
      </text>
    </comment>
    <comment ref="I39" authorId="0" shapeId="0" xr:uid="{7C949776-F8D9-49B4-ADCC-9ACEC2D57B02}">
      <text>
        <r>
          <rPr>
            <sz val="12"/>
            <color indexed="81"/>
            <rFont val="MS P ゴシック"/>
            <family val="3"/>
            <charset val="128"/>
          </rPr>
          <t>研修修了者の実人数を入力
（実人数を入力しなければ加算見込額が算出されません。）</t>
        </r>
      </text>
    </comment>
    <comment ref="H44" authorId="0" shapeId="0" xr:uid="{8BD53C4F-54DE-4081-8F9C-A0A423D529C2}">
      <text>
        <r>
          <rPr>
            <sz val="11"/>
            <color indexed="81"/>
            <rFont val="MS P ゴシック"/>
            <family val="3"/>
            <charset val="128"/>
          </rPr>
          <t>研修修了者の実人数が算定人数に達していない場合は、実人数が人数Aとなります。</t>
        </r>
      </text>
    </comment>
    <comment ref="H45" authorId="0" shapeId="0" xr:uid="{2C83B5CC-01D0-452E-8583-7849A7B77A88}">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<sst xmlns="http://schemas.openxmlformats.org/spreadsheetml/2006/main" count="1098" uniqueCount="744">
  <si>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</si>
  <si>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</si>
  <si>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</si>
  <si>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【その他の区分】</t>
    <rPh sb="3" eb="4">
      <t>ホカ</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</si>
  <si>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</si>
  <si>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</si>
  <si>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</si>
  <si>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</si>
  <si>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</si>
  <si>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３歳児配置改善</t>
    <rPh sb="1" eb="3">
      <t>サイジ</t>
    </rPh>
    <rPh sb="3" eb="5">
      <t>ハイチ</t>
    </rPh>
    <rPh sb="5" eb="7">
      <t>カイゼン</t>
    </rPh>
    <phoneticPr fontId="6"/>
  </si>
  <si>
    <t>4歳以上児配置改善</t>
    <rPh sb="1" eb="4">
      <t>サイイジョウ</t>
    </rPh>
    <rPh sb="4" eb="5">
      <t>ジ</t>
    </rPh>
    <rPh sb="5" eb="7">
      <t>ハイチ</t>
    </rPh>
    <rPh sb="7" eb="9">
      <t>カイゼン</t>
    </rPh>
    <phoneticPr fontId="6"/>
  </si>
  <si>
    <t>1歳以上児配置改善</t>
    <rPh sb="1" eb="4">
      <t>サイイジョウ</t>
    </rPh>
    <rPh sb="4" eb="5">
      <t>ジ</t>
    </rPh>
    <rPh sb="5" eb="7">
      <t>ハイチ</t>
    </rPh>
    <rPh sb="7" eb="9">
      <t>カイゼン</t>
    </rPh>
    <phoneticPr fontId="6"/>
  </si>
  <si>
    <t>夜間保育</t>
    <rPh sb="0" eb="2">
      <t>ヤカン</t>
    </rPh>
    <rPh sb="2" eb="4">
      <t>ホイク</t>
    </rPh>
    <phoneticPr fontId="6"/>
  </si>
  <si>
    <t>チーム保育推進</t>
    <rPh sb="3" eb="5">
      <t>ホイク</t>
    </rPh>
    <rPh sb="5" eb="7">
      <t>スイシン</t>
    </rPh>
    <phoneticPr fontId="6"/>
  </si>
  <si>
    <t>休日保育加算</t>
    <rPh sb="0" eb="2">
      <t>キュウジツ</t>
    </rPh>
    <rPh sb="2" eb="4">
      <t>ホイク</t>
    </rPh>
    <rPh sb="4" eb="6">
      <t>カサン</t>
    </rPh>
    <phoneticPr fontId="2"/>
  </si>
  <si>
    <t>休日保育加算</t>
    <rPh sb="0" eb="2">
      <t>キュウジツ</t>
    </rPh>
    <rPh sb="2" eb="4">
      <t>ホイク</t>
    </rPh>
    <rPh sb="4" eb="6">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</si>
  <si>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</si>
  <si>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</si>
  <si>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</si>
  <si>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</si>
  <si>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</si>
  <si>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</si>
  <si>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</si>
  <si>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</si>
  <si>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</si>
  <si>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４歳以上児</t>
    <rPh sb="1" eb="2">
      <t>サイ</t>
    </rPh>
    <rPh sb="2" eb="4">
      <t>イジョウ</t>
    </rPh>
    <rPh sb="4" eb="5">
      <t>ジ</t>
    </rPh>
    <phoneticPr fontId="6"/>
  </si>
  <si>
    <t>A</t>
    <phoneticPr fontId="6"/>
  </si>
  <si>
    <t>対象外</t>
    <rPh sb="0" eb="3">
      <t>タイショウガイ</t>
    </rPh>
    <phoneticPr fontId="4"/>
  </si>
  <si>
    <t>３歳児</t>
    <rPh sb="1" eb="3">
      <t>サイジ</t>
    </rPh>
    <phoneticPr fontId="6"/>
  </si>
  <si>
    <t>B</t>
    <phoneticPr fontId="6"/>
  </si>
  <si>
    <t>～210人</t>
    <rPh sb="4" eb="5">
      <t>ヒト</t>
    </rPh>
    <phoneticPr fontId="4"/>
  </si>
  <si>
    <t>Ａ</t>
    <phoneticPr fontId="4"/>
  </si>
  <si>
    <t>配置(A)</t>
    <rPh sb="0" eb="2">
      <t>ハイチ</t>
    </rPh>
    <phoneticPr fontId="4"/>
  </si>
  <si>
    <t>１、２歳児</t>
    <rPh sb="3" eb="5">
      <t>サイジ</t>
    </rPh>
    <phoneticPr fontId="6"/>
  </si>
  <si>
    <t>C</t>
    <phoneticPr fontId="6"/>
  </si>
  <si>
    <t>211人～279人</t>
    <rPh sb="3" eb="4">
      <t>ヒト</t>
    </rPh>
    <rPh sb="8" eb="9">
      <t>ヒト</t>
    </rPh>
    <phoneticPr fontId="4"/>
  </si>
  <si>
    <t>B</t>
    <phoneticPr fontId="4"/>
  </si>
  <si>
    <t>兼務(B)</t>
    <rPh sb="0" eb="2">
      <t>ケンム</t>
    </rPh>
    <phoneticPr fontId="4"/>
  </si>
  <si>
    <t>乳児</t>
    <rPh sb="0" eb="2">
      <t>ニュウジ</t>
    </rPh>
    <phoneticPr fontId="6"/>
  </si>
  <si>
    <t>D</t>
    <phoneticPr fontId="6"/>
  </si>
  <si>
    <t>280人～349人</t>
    <rPh sb="3" eb="4">
      <t>ヒト</t>
    </rPh>
    <rPh sb="8" eb="9">
      <t>ヒト</t>
    </rPh>
    <phoneticPr fontId="4"/>
  </si>
  <si>
    <t>嘱託(C)</t>
    <rPh sb="0" eb="2">
      <t>ショクタク</t>
    </rPh>
    <phoneticPr fontId="4"/>
  </si>
  <si>
    <t>20人</t>
    <rPh sb="2" eb="3">
      <t>ヒト</t>
    </rPh>
    <phoneticPr fontId="6"/>
  </si>
  <si>
    <t>350人～419人</t>
    <rPh sb="3" eb="4">
      <t>ヒト</t>
    </rPh>
    <rPh sb="8" eb="9">
      <t>ヒト</t>
    </rPh>
    <phoneticPr fontId="4"/>
  </si>
  <si>
    <t>420人～489人</t>
    <rPh sb="3" eb="4">
      <t>ヒト</t>
    </rPh>
    <rPh sb="8" eb="9">
      <t>ヒト</t>
    </rPh>
    <phoneticPr fontId="4"/>
  </si>
  <si>
    <t>【区分なし】</t>
    <rPh sb="1" eb="3">
      <t>クブン</t>
    </rPh>
    <phoneticPr fontId="4"/>
  </si>
  <si>
    <t>490人～559人</t>
    <rPh sb="3" eb="4">
      <t>ヒト</t>
    </rPh>
    <rPh sb="8" eb="9">
      <t>ヒト</t>
    </rPh>
    <phoneticPr fontId="4"/>
  </si>
  <si>
    <t>560人～629人</t>
    <rPh sb="3" eb="4">
      <t>ヒト</t>
    </rPh>
    <rPh sb="8" eb="9">
      <t>ヒト</t>
    </rPh>
    <phoneticPr fontId="4"/>
  </si>
  <si>
    <t>主任保育士専任</t>
    <rPh sb="0" eb="2">
      <t>シュニン</t>
    </rPh>
    <rPh sb="2" eb="5">
      <t>ホイクシ</t>
    </rPh>
    <rPh sb="5" eb="7">
      <t>センニン</t>
    </rPh>
    <phoneticPr fontId="4"/>
  </si>
  <si>
    <t>21人から25人まで</t>
    <phoneticPr fontId="4"/>
  </si>
  <si>
    <t>630人～699人</t>
    <rPh sb="3" eb="4">
      <t>ヒト</t>
    </rPh>
    <phoneticPr fontId="4"/>
  </si>
  <si>
    <t>事務職員雇上費</t>
    <rPh sb="0" eb="2">
      <t>ジム</t>
    </rPh>
    <rPh sb="2" eb="4">
      <t>ショクイン</t>
    </rPh>
    <rPh sb="4" eb="5">
      <t>ヤトイ</t>
    </rPh>
    <rPh sb="5" eb="6">
      <t>ア</t>
    </rPh>
    <rPh sb="6" eb="7">
      <t>ヒ</t>
    </rPh>
    <phoneticPr fontId="4"/>
  </si>
  <si>
    <t>700人～769人</t>
    <phoneticPr fontId="4"/>
  </si>
  <si>
    <t>処遇改善等加算(人数A)</t>
    <rPh sb="0" eb="2">
      <t>ショグウ</t>
    </rPh>
    <rPh sb="2" eb="4">
      <t>カイゼン</t>
    </rPh>
    <rPh sb="4" eb="5">
      <t>トウ</t>
    </rPh>
    <rPh sb="5" eb="7">
      <t>カサン</t>
    </rPh>
    <rPh sb="8" eb="10">
      <t>ニンズウ</t>
    </rPh>
    <phoneticPr fontId="4"/>
  </si>
  <si>
    <t>処遇改善等加算(人数B)</t>
    <rPh sb="0" eb="2">
      <t>ショグウ</t>
    </rPh>
    <rPh sb="2" eb="4">
      <t>カイゼン</t>
    </rPh>
    <rPh sb="4" eb="5">
      <t>トウ</t>
    </rPh>
    <rPh sb="5" eb="7">
      <t>カサン</t>
    </rPh>
    <rPh sb="8" eb="10">
      <t>ニンズウ</t>
    </rPh>
    <phoneticPr fontId="4"/>
  </si>
  <si>
    <t>840人～909人</t>
    <phoneticPr fontId="4"/>
  </si>
  <si>
    <t>冷暖房費-その他地域</t>
    <rPh sb="0" eb="3">
      <t>レイダンボウ</t>
    </rPh>
    <rPh sb="3" eb="4">
      <t>ヒ</t>
    </rPh>
    <rPh sb="7" eb="8">
      <t>ホカ</t>
    </rPh>
    <rPh sb="8" eb="10">
      <t>チイキ</t>
    </rPh>
    <phoneticPr fontId="4"/>
  </si>
  <si>
    <t>26人から30人まで</t>
    <phoneticPr fontId="4"/>
  </si>
  <si>
    <t>910人～979人</t>
    <phoneticPr fontId="4"/>
  </si>
  <si>
    <t>施設機能強化推進費</t>
    <rPh sb="0" eb="2">
      <t>シセツ</t>
    </rPh>
    <rPh sb="2" eb="4">
      <t>キノウ</t>
    </rPh>
    <rPh sb="4" eb="6">
      <t>キョウカ</t>
    </rPh>
    <rPh sb="6" eb="8">
      <t>スイシン</t>
    </rPh>
    <rPh sb="8" eb="9">
      <t>ヒ</t>
    </rPh>
    <phoneticPr fontId="4"/>
  </si>
  <si>
    <t>980人～1049人</t>
    <phoneticPr fontId="4"/>
  </si>
  <si>
    <t>第三者評価受審</t>
    <rPh sb="0" eb="3">
      <t>ダイサンシャ</t>
    </rPh>
    <rPh sb="3" eb="5">
      <t>ヒョウカ</t>
    </rPh>
    <rPh sb="5" eb="7">
      <t>ジュシン</t>
    </rPh>
    <phoneticPr fontId="4"/>
  </si>
  <si>
    <t>1050人～</t>
    <phoneticPr fontId="4"/>
  </si>
  <si>
    <t>31人から35人まで</t>
    <phoneticPr fontId="4"/>
  </si>
  <si>
    <t>36人から40人まで</t>
    <phoneticPr fontId="4"/>
  </si>
  <si>
    <t>41人から45人まで</t>
    <phoneticPr fontId="4"/>
  </si>
  <si>
    <t>46人から50人まで</t>
    <phoneticPr fontId="4"/>
  </si>
  <si>
    <t>51人から55人まで</t>
    <phoneticPr fontId="4"/>
  </si>
  <si>
    <t>56人から60人まで</t>
    <phoneticPr fontId="4"/>
  </si>
  <si>
    <t>61人から70人まで</t>
  </si>
  <si>
    <t>71人から80人まで</t>
  </si>
  <si>
    <t>81人から90人まで</t>
  </si>
  <si>
    <t>91人から100人まで</t>
  </si>
  <si>
    <t>101人から110人まで</t>
  </si>
  <si>
    <t>111人から120人まで</t>
  </si>
  <si>
    <t>121人から130人まで</t>
  </si>
  <si>
    <t>131人から140人まで</t>
  </si>
  <si>
    <t>141人から150人まで</t>
  </si>
  <si>
    <t>151人から160人まで</t>
  </si>
  <si>
    <t>161人から170人まで</t>
  </si>
  <si>
    <t>171人以上</t>
    <rPh sb="3" eb="4">
      <t>ヒト</t>
    </rPh>
    <rPh sb="4" eb="6">
      <t>イジョウ</t>
    </rPh>
    <phoneticPr fontId="4"/>
  </si>
  <si>
    <t>平均経験年数</t>
    <rPh sb="0" eb="6">
      <t>ヘイキンケイケンネンスウ</t>
    </rPh>
    <phoneticPr fontId="4"/>
  </si>
  <si>
    <t>分園</t>
    <rPh sb="0" eb="1">
      <t>ブン</t>
    </rPh>
    <rPh sb="1" eb="2">
      <t>ソノ</t>
    </rPh>
    <phoneticPr fontId="4"/>
  </si>
  <si>
    <t>分園なし</t>
    <rPh sb="0" eb="2">
      <t>ブンエン</t>
    </rPh>
    <phoneticPr fontId="4"/>
  </si>
  <si>
    <t>分園あり</t>
    <rPh sb="0" eb="2">
      <t>ブンエン</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</si>
  <si>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</si>
  <si>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</si>
  <si>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</si>
  <si>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</si>
  <si>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</si>
  <si>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</si>
  <si>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</si>
  <si>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</si>
  <si>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</si>
  <si>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</si>
  <si>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</si>
  <si>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</si>
  <si>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</si>
  <si>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分園の定員</t>
    <rPh sb="0" eb="2">
      <t>ブンエン</t>
    </rPh>
    <rPh sb="3" eb="5">
      <t>テイイン</t>
    </rPh>
    <phoneticPr fontId="4"/>
  </si>
  <si>
    <t>分園の有無</t>
    <rPh sb="0" eb="2">
      <t>ブンエン</t>
    </rPh>
    <rPh sb="3" eb="5">
      <t>ウム</t>
    </rPh>
    <phoneticPr fontId="4"/>
  </si>
  <si>
    <t>定員（全体）</t>
    <rPh sb="0" eb="2">
      <t>テイイン</t>
    </rPh>
    <rPh sb="3" eb="5">
      <t>ゼンタイ</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</si>
  <si>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</si>
  <si>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</si>
  <si>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</si>
  <si>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</si>
  <si>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※「分園あり」を選ばない限り、分園の情報は反映されません。</t>
    <rPh sb="2" eb="4">
      <t>ブンエン</t>
    </rPh>
    <rPh sb="8" eb="9">
      <t>エラ</t>
    </rPh>
    <rPh sb="12" eb="13">
      <t>カギ</t>
    </rPh>
    <rPh sb="15" eb="17">
      <t>ブンエン</t>
    </rPh>
    <rPh sb="18" eb="20">
      <t>ジョウホウ</t>
    </rPh>
    <rPh sb="21" eb="23">
      <t>ハンエイ</t>
    </rPh>
    <phoneticPr fontId="4"/>
  </si>
  <si>
    <t>計</t>
    <rPh sb="0" eb="1">
      <t>ケイ</t>
    </rPh>
    <phoneticPr fontId="4"/>
  </si>
  <si>
    <t>本園</t>
    <rPh sb="0" eb="2">
      <t>ホンエン</t>
    </rPh>
    <phoneticPr fontId="4"/>
  </si>
  <si>
    <t>分園</t>
    <rPh sb="0" eb="2">
      <t>ブンエン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</si>
  <si>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</si>
  <si>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</si>
  <si>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１歳児配置改善加算</t>
    <rPh sb="1" eb="3">
      <t>サイジ</t>
    </rPh>
    <rPh sb="3" eb="5">
      <t>ハイチ</t>
    </rPh>
    <rPh sb="5" eb="7">
      <t>カイゼン</t>
    </rPh>
    <rPh sb="7" eb="9">
      <t>カサン</t>
    </rPh>
    <phoneticPr fontId="2"/>
  </si>
  <si>
    <t>主任保育士専任加算</t>
    <rPh sb="0" eb="2">
      <t>シュニン</t>
    </rPh>
    <rPh sb="2" eb="5">
      <t>ホイクシ</t>
    </rPh>
    <rPh sb="5" eb="7">
      <t>センニン</t>
    </rPh>
    <rPh sb="7" eb="9">
      <t>カサン</t>
    </rPh>
    <phoneticPr fontId="2"/>
  </si>
  <si>
    <t>事務職員雇上費加算</t>
    <rPh sb="0" eb="2">
      <t>ジム</t>
    </rPh>
    <rPh sb="2" eb="4">
      <t>ショクイン</t>
    </rPh>
    <rPh sb="4" eb="5">
      <t>ヤト</t>
    </rPh>
    <rPh sb="5" eb="6">
      <t>ア</t>
    </rPh>
    <rPh sb="6" eb="7">
      <t>ヒ</t>
    </rPh>
    <rPh sb="7" eb="9">
      <t>カサン</t>
    </rPh>
    <phoneticPr fontId="2"/>
  </si>
  <si>
    <t>チーム保育推進加算</t>
    <rPh sb="3" eb="5">
      <t>ホイク</t>
    </rPh>
    <rPh sb="5" eb="7">
      <t>スイシン</t>
    </rPh>
    <rPh sb="7" eb="9">
      <t>カサン</t>
    </rPh>
    <phoneticPr fontId="2"/>
  </si>
  <si>
    <t>●</t>
    <phoneticPr fontId="4"/>
  </si>
  <si>
    <t>園合計</t>
    <rPh sb="0" eb="1">
      <t>ソノ</t>
    </rPh>
    <rPh sb="1" eb="3">
      <t>ゴウケイ</t>
    </rPh>
    <phoneticPr fontId="4"/>
  </si>
  <si>
    <t>施設長を配置していない場合の調整（減算）</t>
    <rPh sb="0" eb="3">
      <t>シセツチョウ</t>
    </rPh>
    <rPh sb="4" eb="6">
      <t>ハイチ</t>
    </rPh>
    <rPh sb="11" eb="13">
      <t>バアイ</t>
    </rPh>
    <rPh sb="14" eb="16">
      <t>チョウセイ</t>
    </rPh>
    <rPh sb="17" eb="19">
      <t>ゲンサン</t>
    </rPh>
    <phoneticPr fontId="2"/>
  </si>
  <si>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</si>
  <si>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</si>
  <si>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</si>
  <si>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</si>
  <si>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</si>
  <si>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</si>
  <si>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</si>
  <si>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</si>
  <si>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</si>
  <si>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夜間保育加算</t>
    <rPh sb="0" eb="2">
      <t>ヤカン</t>
    </rPh>
    <rPh sb="2" eb="4">
      <t>ホイク</t>
    </rPh>
    <rPh sb="4" eb="6">
      <t>カサン</t>
    </rPh>
    <phoneticPr fontId="2"/>
  </si>
  <si>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</si>
  <si>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</si>
  <si>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</si>
  <si>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</si>
  <si>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</si>
  <si>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</si>
  <si>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</si>
  <si>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</si>
  <si>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</si>
  <si>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</si>
  <si>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</si>
  <si>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</si>
  <si>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</si>
  <si>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処遇改善等加算（本園/標準時間）単価</t>
    <rPh sb="0" eb="7">
      <t>ショグウカイゼントウカサン</t>
    </rPh>
    <rPh sb="11" eb="15">
      <t>ヒョウジュンジカン</t>
    </rPh>
    <rPh sb="16" eb="18">
      <t>タンカ</t>
    </rPh>
    <phoneticPr fontId="4"/>
  </si>
  <si>
    <t>処遇改善等加算（本園/短時間）単価</t>
    <rPh sb="0" eb="5">
      <t>ショグウカイゼントウ</t>
    </rPh>
    <rPh sb="5" eb="7">
      <t>カサン</t>
    </rPh>
    <rPh sb="8" eb="10">
      <t>ホンエン</t>
    </rPh>
    <rPh sb="11" eb="14">
      <t>タンジカン</t>
    </rPh>
    <rPh sb="15" eb="17">
      <t>タンカ</t>
    </rPh>
    <phoneticPr fontId="4"/>
  </si>
  <si>
    <t>処遇改善等加算（分園/標準時間）単価</t>
    <rPh sb="0" eb="7">
      <t>ショグウカイゼントウカサン</t>
    </rPh>
    <rPh sb="11" eb="15">
      <t>ヒョウジュンジカン</t>
    </rPh>
    <rPh sb="16" eb="18">
      <t>タンカ</t>
    </rPh>
    <phoneticPr fontId="4"/>
  </si>
  <si>
    <t>処遇改善等加算（分園/短時間）単価</t>
    <rPh sb="0" eb="5">
      <t>ショグウカイゼントウ</t>
    </rPh>
    <rPh sb="5" eb="7">
      <t>カサン</t>
    </rPh>
    <rPh sb="11" eb="14">
      <t>タンジカン</t>
    </rPh>
    <rPh sb="15" eb="17">
      <t>タンカ</t>
    </rPh>
    <phoneticPr fontId="4"/>
  </si>
  <si>
    <t>3歳児配置改善加算単価</t>
    <rPh sb="1" eb="3">
      <t>サイジ</t>
    </rPh>
    <rPh sb="3" eb="9">
      <t>ハイチカイゼンカサン</t>
    </rPh>
    <rPh sb="9" eb="11">
      <t>タンカ</t>
    </rPh>
    <phoneticPr fontId="4"/>
  </si>
  <si>
    <t>1歳児配置改善加算単価</t>
    <rPh sb="1" eb="3">
      <t>サイジ</t>
    </rPh>
    <rPh sb="3" eb="9">
      <t>ハイチカイゼンカサン</t>
    </rPh>
    <rPh sb="9" eb="11">
      <t>タンカ</t>
    </rPh>
    <phoneticPr fontId="4"/>
  </si>
  <si>
    <t>4歳以上児配置改善加算単価</t>
    <rPh sb="1" eb="4">
      <t>サイイジョウ</t>
    </rPh>
    <rPh sb="4" eb="5">
      <t>ジ</t>
    </rPh>
    <rPh sb="5" eb="7">
      <t>ハイチ</t>
    </rPh>
    <rPh sb="7" eb="9">
      <t>カイゼン</t>
    </rPh>
    <rPh sb="9" eb="11">
      <t>カサン</t>
    </rPh>
    <rPh sb="11" eb="13">
      <t>タンカ</t>
    </rPh>
    <phoneticPr fontId="4"/>
  </si>
  <si>
    <t>休日保育</t>
    <rPh sb="0" eb="4">
      <t>キュウジツホイク</t>
    </rPh>
    <phoneticPr fontId="4"/>
  </si>
  <si>
    <t>～210人</t>
  </si>
  <si>
    <t>211人～279人</t>
  </si>
  <si>
    <t>280人～349人</t>
  </si>
  <si>
    <t>350人～419人</t>
  </si>
  <si>
    <t>420人～489人</t>
  </si>
  <si>
    <t>490人～559人</t>
  </si>
  <si>
    <t>560人～629人</t>
  </si>
  <si>
    <t>630人～699人</t>
  </si>
  <si>
    <t>700人～769人</t>
  </si>
  <si>
    <t>770人～839人</t>
  </si>
  <si>
    <t>840人～909人</t>
  </si>
  <si>
    <t>910人～979人</t>
  </si>
  <si>
    <t>980人～1049人</t>
  </si>
  <si>
    <t>1050人～</t>
  </si>
  <si>
    <t>休日保育加算単価</t>
    <rPh sb="0" eb="8">
      <t>キュウジツホイクカサンタンカ</t>
    </rPh>
    <phoneticPr fontId="4"/>
  </si>
  <si>
    <t>770人～839人</t>
    <phoneticPr fontId="4"/>
  </si>
  <si>
    <t>夜間保育加算単価</t>
    <rPh sb="0" eb="6">
      <t>ヤカンホイクカサン</t>
    </rPh>
    <rPh sb="6" eb="8">
      <t>タンカ</t>
    </rPh>
    <phoneticPr fontId="4"/>
  </si>
  <si>
    <t>チーム保育推進加算単価</t>
    <rPh sb="3" eb="5">
      <t>ホイク</t>
    </rPh>
    <rPh sb="5" eb="7">
      <t>スイシン</t>
    </rPh>
    <rPh sb="7" eb="9">
      <t>カサン</t>
    </rPh>
    <rPh sb="9" eb="11">
      <t>タンカ</t>
    </rPh>
    <phoneticPr fontId="4"/>
  </si>
  <si>
    <t>分園の調整</t>
    <rPh sb="0" eb="2">
      <t>ブンエン</t>
    </rPh>
    <rPh sb="3" eb="5">
      <t>チョウセイ</t>
    </rPh>
    <phoneticPr fontId="4"/>
  </si>
  <si>
    <t>施設長未設置</t>
    <rPh sb="0" eb="2">
      <t>シセツ</t>
    </rPh>
    <rPh sb="2" eb="3">
      <t>オサ</t>
    </rPh>
    <rPh sb="3" eb="6">
      <t>ミセッチ</t>
    </rPh>
    <phoneticPr fontId="6"/>
  </si>
  <si>
    <t>主任保育士専任加算単価</t>
    <rPh sb="0" eb="9">
      <t>シュニンホイクシセンニンカサン</t>
    </rPh>
    <rPh sb="9" eb="11">
      <t>タンカ</t>
    </rPh>
    <phoneticPr fontId="4"/>
  </si>
  <si>
    <t>事務職員雇上費加算単価</t>
    <rPh sb="9" eb="11">
      <t>タンカ</t>
    </rPh>
    <phoneticPr fontId="4"/>
  </si>
  <si>
    <t>療育支援加算単価</t>
    <rPh sb="0" eb="6">
      <t>リョウイクシエンカサン</t>
    </rPh>
    <rPh sb="6" eb="8">
      <t>タンカ</t>
    </rPh>
    <phoneticPr fontId="2"/>
  </si>
  <si>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</si>
  <si>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</si>
  <si>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</si>
  <si>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</si>
  <si>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</si>
  <si>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</si>
  <si>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</si>
  <si>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</si>
  <si>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</si>
  <si>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</si>
  <si>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</si>
  <si>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</si>
  <si>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</si>
  <si>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</si>
  <si>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</si>
  <si>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</si>
  <si>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</si>
  <si>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</si>
  <si>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</si>
  <si>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</si>
  <si>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</si>
  <si>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</si>
  <si>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施設長を設置していない場合の調整（本園）</t>
    <rPh sb="0" eb="2">
      <t>シセツ</t>
    </rPh>
    <rPh sb="2" eb="3">
      <t>オサ</t>
    </rPh>
    <rPh sb="4" eb="6">
      <t>セッチ</t>
    </rPh>
    <rPh sb="11" eb="13">
      <t>バアイ</t>
    </rPh>
    <rPh sb="14" eb="16">
      <t>チョウセイ</t>
    </rPh>
    <rPh sb="17" eb="18">
      <t>ホン</t>
    </rPh>
    <rPh sb="18" eb="19">
      <t>エン</t>
    </rPh>
    <phoneticPr fontId="4"/>
  </si>
  <si>
    <t>施設長を設置していない場合の調整（分園）</t>
    <rPh sb="0" eb="2">
      <t>シセツ</t>
    </rPh>
    <rPh sb="2" eb="3">
      <t>オサ</t>
    </rPh>
    <rPh sb="4" eb="6">
      <t>セッチ</t>
    </rPh>
    <rPh sb="11" eb="13">
      <t>バアイ</t>
    </rPh>
    <rPh sb="14" eb="16">
      <t>チョウセイ</t>
    </rPh>
    <rPh sb="17" eb="19">
      <t>ブンエン</t>
    </rPh>
    <phoneticPr fontId="4"/>
  </si>
  <si>
    <t>【保育所用】処遇改善等加算区分1・2加算額見込み計算表</t>
    <rPh sb="1" eb="5">
      <t>ホイクショヨウ</t>
    </rPh>
    <rPh sb="6" eb="13">
      <t>ショグウカイゼントウカサン</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</si>
  <si>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</si>
  <si>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</si>
  <si>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</si>
  <si>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</si>
  <si>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</si>
  <si>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</si>
  <si>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</si>
  <si>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</si>
  <si>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</si>
  <si>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</si>
  <si>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</si>
  <si>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</si>
  <si>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</si>
  <si>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</si>
  <si>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</si>
  <si>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</si>
  <si>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</si>
  <si>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</si>
  <si>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</si>
  <si>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</si>
  <si>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</si>
  <si>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加算率(a)</t>
    <rPh sb="0" eb="2">
      <t>カサン</t>
    </rPh>
    <rPh sb="2" eb="3">
      <t>リツ</t>
    </rPh>
    <phoneticPr fontId="4"/>
  </si>
  <si>
    <t>加算率(b)</t>
    <rPh sb="0" eb="2">
      <t>カサン</t>
    </rPh>
    <rPh sb="2" eb="3">
      <t>リツ</t>
    </rPh>
    <phoneticPr fontId="4"/>
  </si>
  <si>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</si>
  <si>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</si>
  <si>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</si>
  <si>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</si>
  <si>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</si>
  <si>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</si>
  <si>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</si>
  <si>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</si>
  <si>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</si>
  <si>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</si>
  <si>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</si>
  <si>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</si>
  <si>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</si>
  <si>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</si>
  <si>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</si>
  <si>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</si>
  <si>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</si>
  <si>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</si>
  <si>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</si>
  <si>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</si>
  <si>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</si>
  <si>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</si>
  <si>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</si>
  <si>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</si>
  <si>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</si>
  <si>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</si>
  <si>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</si>
  <si>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</si>
  <si>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</si>
  <si>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</si>
  <si>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平均年齢別児童数計算表（保育所）</t>
    <rPh sb="0" eb="2">
      <t>ヘイキン</t>
    </rPh>
    <rPh sb="2" eb="5">
      <t>ネンレイベツ</t>
    </rPh>
    <rPh sb="5" eb="8">
      <t>ジドウスウ</t>
    </rPh>
    <rPh sb="8" eb="11">
      <t>ケイサンヒョウ</t>
    </rPh>
    <rPh sb="12" eb="14">
      <t>ホイク</t>
    </rPh>
    <rPh sb="14" eb="15">
      <t>ショ</t>
    </rPh>
    <phoneticPr fontId="4"/>
  </si>
  <si>
    <t>平均年齢別児童数計算表（保育所／分園）</t>
    <rPh sb="0" eb="2">
      <t>ヘイキン</t>
    </rPh>
    <rPh sb="2" eb="5">
      <t>ネンレイベツ</t>
    </rPh>
    <rPh sb="5" eb="8">
      <t>ジドウスウ</t>
    </rPh>
    <rPh sb="8" eb="11">
      <t>ケイサンヒョウ</t>
    </rPh>
    <rPh sb="12" eb="14">
      <t>ホイク</t>
    </rPh>
    <rPh sb="14" eb="15">
      <t>ショ</t>
    </rPh>
    <rPh sb="16" eb="18">
      <t>ブンエン</t>
    </rPh>
    <phoneticPr fontId="4"/>
  </si>
  <si>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4"/>
  </si>
  <si>
    <t>0．基礎情報</t>
    <rPh sb="2" eb="4">
      <t>キソ</t>
    </rPh>
    <rPh sb="4" eb="6">
      <t>ジョウホウ</t>
    </rPh>
    <phoneticPr fontId="4"/>
  </si>
  <si>
    <t>選択項目</t>
    <rPh sb="0" eb="2">
      <t>センタク</t>
    </rPh>
    <rPh sb="2" eb="4">
      <t>コウモク</t>
    </rPh>
    <phoneticPr fontId="4"/>
  </si>
  <si>
    <t>入力項目</t>
    <rPh sb="0" eb="2">
      <t>ニュウリョク</t>
    </rPh>
    <rPh sb="2" eb="4">
      <t>コウモク</t>
    </rPh>
    <phoneticPr fontId="4"/>
  </si>
  <si>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</si>
  <si>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</si>
  <si>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</si>
  <si>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</si>
  <si>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</si>
  <si>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１，２歳児</t>
    <rPh sb="3" eb="5">
      <t>サイジ</t>
    </rPh>
    <phoneticPr fontId="4"/>
  </si>
  <si>
    <t>　うち１歳児</t>
    <rPh sb="4" eb="6">
      <t>サイジ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</si>
  <si>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</si>
  <si>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</si>
  <si>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１．加算対象人数の基礎となる職員数（人）</t>
    <rPh sb="2" eb="4">
      <t>カサン</t>
    </rPh>
    <rPh sb="4" eb="6">
      <t>タイショウ</t>
    </rPh>
    <rPh sb="6" eb="8">
      <t>ニンズウ</t>
    </rPh>
    <rPh sb="9" eb="11">
      <t>キソ</t>
    </rPh>
    <rPh sb="14" eb="17">
      <t>ショクインスウ</t>
    </rPh>
    <rPh sb="18" eb="19">
      <t>ニン</t>
    </rPh>
    <phoneticPr fontId="4"/>
  </si>
  <si>
    <t>本園分</t>
    <rPh sb="0" eb="1">
      <t>ホン</t>
    </rPh>
    <rPh sb="1" eb="2">
      <t>エン</t>
    </rPh>
    <rPh sb="2" eb="3">
      <t>ブン</t>
    </rPh>
    <phoneticPr fontId="4"/>
  </si>
  <si>
    <t>選択
項目</t>
    <rPh sb="0" eb="2">
      <t>センタク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</si>
  <si>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</si>
  <si>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</si>
  <si>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</si>
  <si>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</si>
  <si>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xml:space="preserve">  4歳以上児配置改善加算</t>
    <rPh sb="4" eb="6">
      <t>イジョウ</t>
    </rPh>
    <phoneticPr fontId="4"/>
  </si>
  <si>
    <t>3歳児</t>
    <rPh sb="1" eb="3">
      <t>サイジ</t>
    </rPh>
    <phoneticPr fontId="4"/>
  </si>
  <si>
    <t xml:space="preserve">  3歳児配置改善加算</t>
    <rPh sb="3" eb="5">
      <t>サイジ</t>
    </rPh>
    <rPh sb="5" eb="7">
      <t>ハイチ</t>
    </rPh>
    <rPh sb="7" eb="9">
      <t>カイゼン</t>
    </rPh>
    <rPh sb="9" eb="11">
      <t>カサン</t>
    </rPh>
    <phoneticPr fontId="4"/>
  </si>
  <si>
    <t xml:space="preserve">  1歳児配置改善加算</t>
    <rPh sb="3" eb="5">
      <t>サイジ</t>
    </rPh>
    <rPh sb="5" eb="7">
      <t>ハイチ</t>
    </rPh>
    <rPh sb="7" eb="9">
      <t>カイゼン</t>
    </rPh>
    <rPh sb="9" eb="11">
      <t>カサン</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</si>
  <si>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</si>
  <si>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</si>
  <si>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4"/>
  </si>
  <si>
    <t>ｃ</t>
    <phoneticPr fontId="4"/>
  </si>
  <si>
    <t>主任保育士専任加算</t>
    <rPh sb="0" eb="2">
      <t>シュニン</t>
    </rPh>
    <rPh sb="2" eb="5">
      <t>ホイクシ</t>
    </rPh>
    <rPh sb="5" eb="7">
      <t>センニン</t>
    </rPh>
    <rPh sb="7" eb="9">
      <t>カサン</t>
    </rPh>
    <phoneticPr fontId="4"/>
  </si>
  <si>
    <t>ｄ</t>
    <phoneticPr fontId="4"/>
  </si>
  <si>
    <t>事務職員雇上費加算</t>
    <rPh sb="0" eb="2">
      <t>ジム</t>
    </rPh>
    <rPh sb="2" eb="4">
      <t>ショクイン</t>
    </rPh>
    <rPh sb="4" eb="5">
      <t>ヤト</t>
    </rPh>
    <rPh sb="5" eb="6">
      <t>ア</t>
    </rPh>
    <rPh sb="6" eb="7">
      <t>ヒ</t>
    </rPh>
    <rPh sb="7" eb="9">
      <t>カサン</t>
    </rPh>
    <phoneticPr fontId="4"/>
  </si>
  <si>
    <t>ｅ</t>
    <phoneticPr fontId="4"/>
  </si>
  <si>
    <t>ｆ</t>
    <phoneticPr fontId="4"/>
  </si>
  <si>
    <t>チーム保育推進加算</t>
    <rPh sb="3" eb="5">
      <t>ホイク</t>
    </rPh>
    <rPh sb="5" eb="7">
      <t>スイシン</t>
    </rPh>
    <rPh sb="7" eb="9">
      <t>カサン</t>
    </rPh>
    <phoneticPr fontId="4"/>
  </si>
  <si>
    <t>g</t>
    <phoneticPr fontId="4"/>
  </si>
  <si>
    <t>利用定員数に基づく職員数</t>
    <rPh sb="0" eb="2">
      <t>リヨウ</t>
    </rPh>
    <rPh sb="2" eb="4">
      <t>テイイン</t>
    </rPh>
    <rPh sb="4" eb="5">
      <t>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</si>
  <si>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</si>
  <si>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</si>
  <si>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</si>
  <si>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</si>
  <si>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</si>
  <si>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</si>
  <si>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</si>
  <si>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</si>
  <si>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</si>
  <si>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</si>
  <si>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</si>
  <si>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</si>
  <si>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</si>
  <si>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分園</t>
  </si>
  <si>
    <t>4歳以上児</t>
    <rPh sb="1" eb="2">
      <t>サイ</t>
    </rPh>
    <rPh sb="2" eb="4">
      <t>イジョウ</t>
    </rPh>
    <rPh sb="4" eb="5">
      <t>ジ</t>
    </rPh>
    <phoneticPr fontId="4"/>
  </si>
  <si>
    <t>1、2歳児</t>
    <rPh sb="3" eb="5">
      <t>サイジ</t>
    </rPh>
    <phoneticPr fontId="4"/>
  </si>
  <si>
    <t>うち1歳児</t>
    <rPh sb="3" eb="5">
      <t>サイジ</t>
    </rPh>
    <phoneticPr fontId="4"/>
  </si>
  <si>
    <t>0歳児</t>
    <rPh sb="1" eb="3">
      <t>サイジ</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</si>
  <si>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</si>
  <si>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</si>
  <si>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</si>
  <si>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</si>
  <si>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</si>
  <si>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</si>
  <si>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</si>
  <si>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</si>
  <si>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</si>
  <si>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</si>
  <si>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</si>
  <si>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充てない</t>
    <rPh sb="0" eb="1">
      <t>ア</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</si>
  <si>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</si>
  <si>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</si>
  <si>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</si>
  <si>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</si>
  <si>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</si>
  <si>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</si>
  <si>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</si>
  <si>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</si>
  <si>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</si>
  <si>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</si>
  <si>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</si>
  <si>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</si>
  <si>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</si>
  <si>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</si>
  <si>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</si>
  <si>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</si>
  <si>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</si>
  <si>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</si>
  <si>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</si>
  <si>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</si>
  <si>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</si>
  <si>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</si>
  <si>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</si>
  <si>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</si>
  <si>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</si>
  <si>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</si>
  <si>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</si>
  <si>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</si>
  <si>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</si>
  <si>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</si>
  <si>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</si>
  <si>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</si>
  <si>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</si>
  <si>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</si>
  <si>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</si>
  <si>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</si>
  <si>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</si>
  <si>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</si>
  <si>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</si>
  <si>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</si>
  <si>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</si>
  <si>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入力ありがとうございました。以下で「●」が付いているシートの作成をお願いします。</t>
    <rPh sb="0" eb="2">
      <t>ニュウリョク</t>
    </rPh>
    <rPh sb="30" eb="32">
      <t>サクセイ</t>
    </rPh>
    <rPh sb="34" eb="35">
      <t>ネガ</t>
    </rPh>
    <phoneticPr fontId="4"/>
  </si>
  <si>
    <t>2_区分12加算額計算表</t>
    <rPh sb="2" eb="4">
      <t>クブン</t>
    </rPh>
    <rPh sb="6" eb="9">
      <t>カサンガク</t>
    </rPh>
    <rPh sb="9" eb="11">
      <t>ケイサン</t>
    </rPh>
    <rPh sb="11" eb="12">
      <t>オモテ</t>
    </rPh>
    <phoneticPr fontId="4"/>
  </si>
  <si>
    <t>3_区分3計算表</t>
    <rPh sb="2" eb="4">
      <t>クブン</t>
    </rPh>
    <rPh sb="5" eb="7">
      <t>ケイサン</t>
    </rPh>
    <rPh sb="7" eb="8">
      <t>オモテ</t>
    </rPh>
    <phoneticPr fontId="4"/>
  </si>
  <si>
    <t>1-1_児童数計算表　※ 分園を設置している場合は1-2も作成</t>
    <rPh sb="4" eb="6">
      <t>ジドウ</t>
    </rPh>
    <rPh sb="6" eb="7">
      <t>スウ</t>
    </rPh>
    <rPh sb="7" eb="9">
      <t>ケイサン</t>
    </rPh>
    <rPh sb="9" eb="10">
      <t>オモテ</t>
    </rPh>
    <rPh sb="13" eb="15">
      <t>ブンエン</t>
    </rPh>
    <rPh sb="16" eb="18">
      <t>セッチ</t>
    </rPh>
    <rPh sb="22" eb="24">
      <t>バアイ</t>
    </rPh>
    <rPh sb="29" eb="31">
      <t>サクセイ</t>
    </rPh>
    <phoneticPr fontId="4"/>
  </si>
  <si>
    <t>栄養管理加算（Ａ：配置の場合）</t>
    <rPh sb="0" eb="2">
      <t>エイヨウ</t>
    </rPh>
    <rPh sb="2" eb="4">
      <t>カンリ</t>
    </rPh>
    <rPh sb="4" eb="6">
      <t>カサン</t>
    </rPh>
    <rPh sb="9" eb="11">
      <t>ハイチ</t>
    </rPh>
    <rPh sb="12" eb="14">
      <t>バアイ</t>
    </rPh>
    <phoneticPr fontId="6"/>
  </si>
  <si>
    <t>障害児保育加算</t>
    <rPh sb="0" eb="3">
      <t>ショウガイジ</t>
    </rPh>
    <rPh sb="3" eb="5">
      <t>ホイク</t>
    </rPh>
    <rPh sb="5" eb="7">
      <t>カサン</t>
    </rPh>
    <phoneticPr fontId="6"/>
  </si>
  <si>
    <t>家庭的保育</t>
    <rPh sb="0" eb="3">
      <t>カテイテキ</t>
    </rPh>
    <rPh sb="3" eb="5">
      <t>ホイク</t>
    </rPh>
    <phoneticPr fontId="6"/>
  </si>
  <si>
    <t>休日保育加算</t>
    <rPh sb="0" eb="2">
      <t>キュウジツ</t>
    </rPh>
    <rPh sb="2" eb="4">
      <t>ホイク</t>
    </rPh>
    <rPh sb="4" eb="6">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</si>
  <si>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</si>
  <si>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</si>
  <si>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小規模保育（A型B型）</t>
    <rPh sb="0" eb="3">
      <t>ショウキボ</t>
    </rPh>
    <rPh sb="3" eb="5">
      <t>ホイク</t>
    </rPh>
    <rPh sb="7" eb="8">
      <t>ガタ</t>
    </rPh>
    <rPh sb="9" eb="10">
      <t>ガタ</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</si>
  <si>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</si>
  <si>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</si>
  <si>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</si>
  <si>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</si>
  <si>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</si>
  <si>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</si>
  <si>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</si>
  <si>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</si>
  <si>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満３歳児対応加配加算</t>
    <rPh sb="0" eb="1">
      <t>マン</t>
    </rPh>
    <rPh sb="2" eb="4">
      <t>サイジ</t>
    </rPh>
    <rPh sb="4" eb="6">
      <t>タイオウ</t>
    </rPh>
    <rPh sb="6" eb="8">
      <t>カハイ</t>
    </rPh>
    <rPh sb="8" eb="10">
      <t>カサン</t>
    </rPh>
    <phoneticPr fontId="6"/>
  </si>
  <si>
    <t>１歳児配置改善加算</t>
    <rPh sb="1" eb="3">
      <t>サイジ</t>
    </rPh>
    <rPh sb="3" eb="5">
      <t>ハイチ</t>
    </rPh>
    <rPh sb="5" eb="7">
      <t>カイゼン</t>
    </rPh>
    <rPh sb="7" eb="9">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</si>
  <si>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</si>
  <si>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</si>
  <si>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</si>
  <si>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</si>
  <si>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</si>
  <si>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チーム保育推進加算</t>
    <rPh sb="3" eb="5">
      <t>ホイク</t>
    </rPh>
    <rPh sb="5" eb="7">
      <t>スイシン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</si>
  <si>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</si>
  <si>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</si>
  <si>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</si>
  <si>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</si>
  <si>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</si>
  <si>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</si>
  <si>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</si>
  <si>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</si>
  <si>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</si>
  <si>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</si>
  <si>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</si>
  <si>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</si>
  <si>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</si>
  <si>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</si>
  <si>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</si>
  <si>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</si>
  <si>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施設・事業所コード</t>
    <rPh sb="0" eb="2">
      <t>シセツ</t>
    </rPh>
    <rPh sb="3" eb="6">
      <t>ジギョウショ</t>
    </rPh>
    <phoneticPr fontId="6"/>
  </si>
  <si>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</si>
  <si>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</si>
  <si>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京都市</t>
    <rPh sb="0" eb="3">
      <t>キョウトシ</t>
    </rPh>
    <phoneticPr fontId="6"/>
  </si>
  <si>
    <t>市町村名</t>
    <rPh sb="0" eb="3">
      <t>シチョウソン</t>
    </rPh>
    <rPh sb="3" eb="4">
      <t>メイ</t>
    </rPh>
    <phoneticPr fontId="6"/>
  </si>
  <si>
    <t>京都市長　殿</t>
    <rPh sb="0" eb="2">
      <t>キョウト</t>
    </rPh>
    <rPh sb="2" eb="4">
      <t>シチョウ</t>
    </rPh>
    <rPh sb="5" eb="6">
      <t>ドノ</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</si>
  <si>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</si>
  <si>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</si>
  <si>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</si>
  <si>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</si>
  <si>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</si>
  <si>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</si>
  <si>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</si>
  <si>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</si>
  <si>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</si>
  <si>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</si>
  <si>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</si>
  <si>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</si>
  <si>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</si>
  <si>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</si>
  <si>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</si>
  <si>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</si>
  <si>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</si>
  <si>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</si>
  <si>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</si>
  <si>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</si>
  <si>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</si>
  <si>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</si>
  <si>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</si>
  <si>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</si>
  <si>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</si>
  <si>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</si>
  <si>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施設・事業所番号</t>
    <rPh sb="0" eb="2">
      <t>シセツ</t>
    </rPh>
    <rPh sb="3" eb="6">
      <t>ジギョウショ</t>
    </rPh>
    <rPh sb="6" eb="8">
      <t>バンゴウ</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</si>
  <si>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</si>
  <si>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</si>
  <si>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</si>
  <si>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</si>
  <si>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</si>
  <si>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</si>
  <si>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</si>
  <si>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</si>
  <si>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</si>
  <si>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</si>
  <si>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</si>
  <si>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</si>
  <si>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</si>
  <si>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</si>
  <si>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</si>
  <si>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</si>
  <si>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</si>
  <si>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</si>
  <si>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</si>
  <si>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</si>
  <si>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③各種加算の適用状況</t>
    <phoneticPr fontId="6"/>
  </si>
  <si>
    <t>副園長・教頭配置加算を受けている場合の減算</t>
    <rPh sb="6" eb="8">
      <t>ハイチ</t>
    </rPh>
    <rPh sb="11" eb="12">
      <t>ウ</t>
    </rPh>
    <rPh sb="16" eb="18">
      <t>バアイ</t>
    </rPh>
    <rPh sb="19" eb="21">
      <t>ゲンザン</t>
    </rPh>
    <phoneticPr fontId="6"/>
  </si>
  <si>
    <t>給食実施加算（施設内調理）</t>
    <rPh sb="0" eb="2">
      <t>キュウショク</t>
    </rPh>
    <rPh sb="2" eb="4">
      <t>ジッシ</t>
    </rPh>
    <rPh sb="4" eb="6">
      <t>カサン</t>
    </rPh>
    <rPh sb="7" eb="9">
      <t>シセツ</t>
    </rPh>
    <rPh sb="9" eb="10">
      <t>ナイ</t>
    </rPh>
    <rPh sb="10" eb="12">
      <t>チョウリ</t>
    </rPh>
    <phoneticPr fontId="6"/>
  </si>
  <si>
    <t>学級編制調整加配加算</t>
    <rPh sb="0" eb="2">
      <t>ガッキュウ</t>
    </rPh>
    <rPh sb="2" eb="4">
      <t>ヘンセイ</t>
    </rPh>
    <rPh sb="4" eb="6">
      <t>チョウセイ</t>
    </rPh>
    <rPh sb="6" eb="8">
      <t>カハイ</t>
    </rPh>
    <rPh sb="8" eb="10">
      <t>カサン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</si>
  <si>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</si>
  <si>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</si>
  <si>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</si>
  <si>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</si>
  <si>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</si>
  <si>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</si>
  <si>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</si>
  <si>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</si>
  <si>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</si>
  <si>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</si>
  <si>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</si>
  <si>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</si>
  <si>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</si>
  <si>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</si>
  <si>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</si>
  <si>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</si>
  <si>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</si>
  <si>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</si>
  <si>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</si>
  <si>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</si>
  <si>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</si>
  <si>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</si>
  <si>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</si>
  <si>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</si>
  <si>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</si>
  <si>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</si>
  <si>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</si>
  <si>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</si>
  <si>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</si>
  <si>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</si>
  <si>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</si>
  <si>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</si>
  <si>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</si>
  <si>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</si>
  <si>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</si>
  <si>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</si>
  <si>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</si>
  <si>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</si>
  <si>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</si>
  <si>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</si>
  <si>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</si>
  <si>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</si>
  <si>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</si>
  <si>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</si>
  <si>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</si>
  <si>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</si>
  <si>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</si>
  <si>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</si>
  <si>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</si>
  <si>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</si>
  <si>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</si>
  <si>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</si>
  <si>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</si>
  <si>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</si>
  <si>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</si>
  <si>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</si>
  <si>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</si>
  <si>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</si>
  <si>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</si>
  <si>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</si>
  <si>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</si>
  <si>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</si>
  <si>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</si>
  <si>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</si>
  <si>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</si>
  <si>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</si>
  <si>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</si>
  <si>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</si>
  <si>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</si>
  <si>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</si>
  <si>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</si>
  <si>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</si>
  <si>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</si>
  <si>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</si>
  <si>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</si>
  <si>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</si>
  <si>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</si>
  <si>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</si>
  <si>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</si>
  <si>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</si>
  <si>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</si>
  <si>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</si>
  <si>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</si>
  <si>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</si>
  <si>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</si>
  <si>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</si>
  <si>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</si>
  <si>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</si>
  <si>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</si>
  <si>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</si>
  <si>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</si>
  <si>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</si>
  <si>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</si>
  <si>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</si>
  <si>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</si>
  <si>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</si>
  <si>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</si>
  <si>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</si>
  <si>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</si>
  <si>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</si>
  <si>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</si>
  <si>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</si>
  <si>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</si>
  <si>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</si>
  <si>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</si>
  <si>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</si>
  <si>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</si>
  <si>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</si>
  <si>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</si>
  <si>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</si>
  <si>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</si>
  <si>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</si>
  <si>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</si>
  <si>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</si>
  <si>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</si>
  <si>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</si>
  <si>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</si>
  <si>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</si>
  <si>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</si>
  <si>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</si>
  <si>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</si>
  <si>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</si>
  <si>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</si>
  <si>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</si>
  <si>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</si>
  <si>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</si>
  <si>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</si>
  <si>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</si>
  <si>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</si>
  <si>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</si>
  <si>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</si>
  <si>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</si>
  <si>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</si>
  <si>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</si>
  <si>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</si>
  <si>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</si>
  <si>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</si>
  <si>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</si>
  <si>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</si>
  <si>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</si>
  <si>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</si>
  <si>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</si>
  <si>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</si>
  <si>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</si>
  <si>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</si>
  <si>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</si>
  <si>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</si>
  <si>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</si>
  <si>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</si>
  <si>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</si>
  <si>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</si>
  <si>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</si>
  <si>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</si>
  <si>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</si>
  <si>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</si>
  <si>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</si>
  <si>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</si>
  <si>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</si>
  <si>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</si>
  <si>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</si>
  <si>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</si>
  <si>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</si>
  <si>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</si>
  <si>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</si>
  <si>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</si>
  <si>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</si>
  <si>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</si>
  <si>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</si>
  <si>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</si>
  <si>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</si>
  <si>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</si>
  <si>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</si>
  <si>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</si>
  <si>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</si>
  <si>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</si>
  <si>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</si>
  <si>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</si>
  <si>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</si>
  <si>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</si>
  <si>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</si>
  <si>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分類</t>
    <rPh sb="0" eb="2">
      <t>ブンルイ</t>
    </rPh>
    <phoneticPr fontId="6"/>
  </si>
  <si>
    <t>配分対象者①（副主任保育士等）</t>
    <rPh sb="0" eb="2">
      <t>ハイブン</t>
    </rPh>
    <rPh sb="2" eb="4">
      <t>タイショウ</t>
    </rPh>
    <rPh sb="4" eb="5">
      <t>シャ</t>
    </rPh>
    <rPh sb="7" eb="10">
      <t>フクシュニン</t>
    </rPh>
    <rPh sb="10" eb="13">
      <t>ホイクシ</t>
    </rPh>
    <rPh sb="13" eb="14">
      <t>トウ</t>
    </rPh>
    <phoneticPr fontId="4"/>
  </si>
  <si>
    <t>配分対象者②（分野別リーダー等）</t>
    <rPh sb="0" eb="2">
      <t>ハイブン</t>
    </rPh>
    <rPh sb="2" eb="4">
      <t>タイショウ</t>
    </rPh>
    <rPh sb="4" eb="5">
      <t>シャ</t>
    </rPh>
    <rPh sb="7" eb="9">
      <t>ブンヤ</t>
    </rPh>
    <rPh sb="9" eb="10">
      <t>ベツ</t>
    </rPh>
    <rPh sb="14" eb="15">
      <t>トウ</t>
    </rPh>
    <phoneticPr fontId="4"/>
  </si>
  <si>
    <t>副主任保育士（人数A）</t>
    <rPh sb="0" eb="3">
      <t>フクシュニン</t>
    </rPh>
    <rPh sb="3" eb="6">
      <t>ホイクシ</t>
    </rPh>
    <rPh sb="7" eb="9">
      <t>ニンズウ</t>
    </rPh>
    <phoneticPr fontId="4"/>
  </si>
  <si>
    <t>専門リーダー（人数A）</t>
    <rPh sb="0" eb="2">
      <t>センモン</t>
    </rPh>
    <rPh sb="7" eb="9">
      <t>ニンズウ</t>
    </rPh>
    <phoneticPr fontId="4"/>
  </si>
  <si>
    <t>園長、主任保育士、副園長等（人数A）</t>
    <rPh sb="0" eb="2">
      <t>エンチョウ</t>
    </rPh>
    <rPh sb="3" eb="5">
      <t>シュニン</t>
    </rPh>
    <rPh sb="5" eb="8">
      <t>ホイクシ</t>
    </rPh>
    <rPh sb="9" eb="12">
      <t>フクエンチョウ</t>
    </rPh>
    <rPh sb="12" eb="13">
      <t>トウ</t>
    </rPh>
    <rPh sb="14" eb="16">
      <t>ニンズウ</t>
    </rPh>
    <phoneticPr fontId="4"/>
  </si>
  <si>
    <t>職務分野別リーダー（人数B）</t>
    <rPh sb="0" eb="2">
      <t>ショクム</t>
    </rPh>
    <rPh sb="2" eb="4">
      <t>ブンヤ</t>
    </rPh>
    <rPh sb="4" eb="5">
      <t>ベツ</t>
    </rPh>
    <rPh sb="10" eb="12">
      <t>ニンズウ</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</si>
  <si>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</si>
  <si>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様式2_キャリアパス要件届出書</t>
    <rPh sb="0" eb="2">
      <t>ヨウシキ</t>
    </rPh>
    <rPh sb="10" eb="15">
      <t>ヨウケントドケデショ</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</si>
  <si>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</si>
  <si>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</si>
  <si>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</si>
  <si>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</si>
  <si>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</si>
  <si>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様式5_賃金改善の誓約書</t>
    <rPh sb="0" eb="2">
      <t>ヨウシキ</t>
    </rPh>
    <rPh sb="4" eb="8">
      <t>チンギンカイゼン</t>
    </rPh>
    <rPh sb="9" eb="12">
      <t>セイヤクショ</t>
    </rPh>
    <phoneticPr fontId="4"/>
  </si>
  <si>
    <t>様式7_特別な事情に係る届出書</t>
    <rPh sb="0" eb="2">
      <t>ヨウシキ</t>
    </rPh>
    <rPh sb="4" eb="6">
      <t>トクベツ</t>
    </rPh>
    <rPh sb="7" eb="9">
      <t>ジジョウ</t>
    </rPh>
    <rPh sb="10" eb="11">
      <t>カカ</t>
    </rPh>
    <rPh sb="12" eb="15">
      <t>トドケデショ</t>
    </rPh>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</si>
  <si>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</si>
  <si>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</si>
  <si>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</si>
  <si>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</si>
  <si>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</si>
  <si>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</si>
  <si>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</si>
  <si>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</si>
  <si>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</si>
  <si>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</si>
  <si>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</si>
  <si>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コード</t>
    <phoneticPr fontId="4"/>
  </si>
  <si>
    <t>事業所名</t>
    <rPh sb="0" eb="3">
      <t>ジギョウショ</t>
    </rPh>
    <rPh sb="3" eb="4">
      <t>メイ</t>
    </rPh>
    <phoneticPr fontId="4"/>
  </si>
  <si>
    <t>施設類型</t>
    <rPh sb="0" eb="2">
      <t>シセツ</t>
    </rPh>
    <rPh sb="2" eb="4">
      <t>ルイケイ</t>
    </rPh>
    <phoneticPr fontId="4"/>
  </si>
  <si>
    <t>前年度区分1適用</t>
    <rPh sb="0" eb="3">
      <t>ゼンネンド</t>
    </rPh>
    <rPh sb="3" eb="5">
      <t>クブン</t>
    </rPh>
    <rPh sb="6" eb="8">
      <t>テキヨウ</t>
    </rPh>
    <phoneticPr fontId="4"/>
  </si>
  <si>
    <t>前年度キャリアパス適用</t>
    <rPh sb="0" eb="3">
      <t>ゼンネンド</t>
    </rPh>
    <rPh sb="9" eb="11">
      <t>テキヨウ</t>
    </rPh>
    <phoneticPr fontId="4"/>
  </si>
  <si>
    <t>前年度区分2適用</t>
    <rPh sb="0" eb="3">
      <t>ゼンネンド</t>
    </rPh>
    <rPh sb="3" eb="5">
      <t>クブン</t>
    </rPh>
    <rPh sb="6" eb="8">
      <t>テキヨウ</t>
    </rPh>
    <phoneticPr fontId="4"/>
  </si>
  <si>
    <t>前年度区分3適用</t>
    <rPh sb="0" eb="3">
      <t>ゼンネンド</t>
    </rPh>
    <rPh sb="3" eb="5">
      <t>クブン</t>
    </rPh>
    <rPh sb="6" eb="8">
      <t>テキヨウ</t>
    </rPh>
    <phoneticPr fontId="4"/>
  </si>
  <si>
    <t>現年度区分1申請</t>
    <rPh sb="0" eb="1">
      <t>ゲン</t>
    </rPh>
    <rPh sb="1" eb="3">
      <t>ネンド</t>
    </rPh>
    <rPh sb="3" eb="5">
      <t>クブン</t>
    </rPh>
    <rPh sb="6" eb="8">
      <t>シンセイ</t>
    </rPh>
    <phoneticPr fontId="4"/>
  </si>
  <si>
    <t>現年度区分2申請</t>
    <rPh sb="0" eb="1">
      <t>ゲン</t>
    </rPh>
    <rPh sb="1" eb="3">
      <t>ネンド</t>
    </rPh>
    <rPh sb="3" eb="5">
      <t>クブン</t>
    </rPh>
    <rPh sb="6" eb="8">
      <t>シンセイ</t>
    </rPh>
    <phoneticPr fontId="4"/>
  </si>
  <si>
    <t>現年度区分3申請</t>
    <rPh sb="0" eb="1">
      <t>ゲン</t>
    </rPh>
    <rPh sb="1" eb="3">
      <t>ネンド</t>
    </rPh>
    <rPh sb="3" eb="5">
      <t>クブン</t>
    </rPh>
    <rPh sb="6" eb="8">
      <t>シンセイ</t>
    </rPh>
    <phoneticPr fontId="4"/>
  </si>
  <si>
    <t>基本情報入力判定</t>
    <rPh sb="0" eb="2">
      <t>キホン</t>
    </rPh>
    <rPh sb="2" eb="4">
      <t>ジョウホウ</t>
    </rPh>
    <rPh sb="4" eb="6">
      <t>ニュウリョク</t>
    </rPh>
    <rPh sb="6" eb="8">
      <t>ハンテイ</t>
    </rPh>
    <phoneticPr fontId="4"/>
  </si>
  <si>
    <t>提出物－1_児童数計算表</t>
    <rPh sb="0" eb="2">
      <t>テイシュツ</t>
    </rPh>
    <rPh sb="2" eb="3">
      <t>ブツ</t>
    </rPh>
    <rPh sb="6" eb="8">
      <t>ジドウ</t>
    </rPh>
    <rPh sb="8" eb="9">
      <t>スウ</t>
    </rPh>
    <rPh sb="9" eb="11">
      <t>ケイサン</t>
    </rPh>
    <rPh sb="11" eb="12">
      <t>オモテ</t>
    </rPh>
    <phoneticPr fontId="4"/>
  </si>
  <si>
    <t>提出物－2_区分12計算表</t>
    <rPh sb="0" eb="2">
      <t>テイシュツ</t>
    </rPh>
    <rPh sb="2" eb="3">
      <t>ブツ</t>
    </rPh>
    <rPh sb="6" eb="8">
      <t>クブン</t>
    </rPh>
    <rPh sb="10" eb="12">
      <t>ケイサン</t>
    </rPh>
    <rPh sb="12" eb="13">
      <t>オモテ</t>
    </rPh>
    <phoneticPr fontId="4"/>
  </si>
  <si>
    <t>提出物－3_区分３計算表</t>
    <rPh sb="0" eb="2">
      <t>テイシュツ</t>
    </rPh>
    <rPh sb="2" eb="3">
      <t>ブツ</t>
    </rPh>
    <rPh sb="6" eb="8">
      <t>クブン</t>
    </rPh>
    <rPh sb="9" eb="11">
      <t>ケイサン</t>
    </rPh>
    <rPh sb="11" eb="12">
      <t>オモテ</t>
    </rPh>
    <phoneticPr fontId="4"/>
  </si>
  <si>
    <t>提出物－様式1_加算率等</t>
    <rPh sb="0" eb="2">
      <t>テイシュツ</t>
    </rPh>
    <rPh sb="2" eb="3">
      <t>ブツ</t>
    </rPh>
    <rPh sb="4" eb="6">
      <t>ヨウシキ</t>
    </rPh>
    <rPh sb="8" eb="10">
      <t>カサン</t>
    </rPh>
    <rPh sb="10" eb="11">
      <t>リツ</t>
    </rPh>
    <rPh sb="11" eb="12">
      <t>トウ</t>
    </rPh>
    <phoneticPr fontId="4"/>
  </si>
  <si>
    <t>提出物－様式2_キャリアパス</t>
    <rPh sb="0" eb="2">
      <t>テイシュツ</t>
    </rPh>
    <rPh sb="2" eb="3">
      <t>ブツ</t>
    </rPh>
    <rPh sb="4" eb="6">
      <t>ヨウシキ</t>
    </rPh>
    <phoneticPr fontId="4"/>
  </si>
  <si>
    <t>提出物－資質向上計画書</t>
    <rPh sb="0" eb="2">
      <t>テイシュツ</t>
    </rPh>
    <rPh sb="2" eb="3">
      <t>ブツ</t>
    </rPh>
    <rPh sb="4" eb="6">
      <t>シシツ</t>
    </rPh>
    <rPh sb="6" eb="8">
      <t>コウジョウ</t>
    </rPh>
    <rPh sb="8" eb="10">
      <t>ケイカク</t>
    </rPh>
    <rPh sb="10" eb="11">
      <t>ショ</t>
    </rPh>
    <phoneticPr fontId="4"/>
  </si>
  <si>
    <t>提出物－様式3_区分3人数等</t>
    <rPh sb="0" eb="2">
      <t>テイシュツ</t>
    </rPh>
    <rPh sb="2" eb="3">
      <t>ブツ</t>
    </rPh>
    <rPh sb="4" eb="6">
      <t>ヨウシキ</t>
    </rPh>
    <rPh sb="8" eb="10">
      <t>クブン</t>
    </rPh>
    <rPh sb="11" eb="13">
      <t>ニンズウ</t>
    </rPh>
    <rPh sb="13" eb="14">
      <t>トウ</t>
    </rPh>
    <phoneticPr fontId="4"/>
  </si>
  <si>
    <t>提出物－様式4_賃金改善計画書</t>
    <rPh sb="0" eb="2">
      <t>テイシュツ</t>
    </rPh>
    <rPh sb="2" eb="3">
      <t>ブツ</t>
    </rPh>
    <rPh sb="4" eb="6">
      <t>ヨウシキ</t>
    </rPh>
    <rPh sb="8" eb="10">
      <t>チンギン</t>
    </rPh>
    <rPh sb="10" eb="12">
      <t>カイゼン</t>
    </rPh>
    <rPh sb="12" eb="15">
      <t>ケイカクショ</t>
    </rPh>
    <phoneticPr fontId="4"/>
  </si>
  <si>
    <t>提出物－様式5_誓約書</t>
    <rPh sb="0" eb="2">
      <t>テイシュツ</t>
    </rPh>
    <rPh sb="2" eb="3">
      <t>ブツ</t>
    </rPh>
    <rPh sb="4" eb="6">
      <t>ヨウシキ</t>
    </rPh>
    <rPh sb="8" eb="11">
      <t>セイヤクショ</t>
    </rPh>
    <phoneticPr fontId="4"/>
  </si>
  <si>
    <t>提出物－様式7_特別事情届出</t>
    <rPh sb="0" eb="2">
      <t>テイシュツ</t>
    </rPh>
    <rPh sb="2" eb="3">
      <t>ブツ</t>
    </rPh>
    <rPh sb="4" eb="6">
      <t>ヨウシキ</t>
    </rPh>
    <rPh sb="8" eb="10">
      <t>トクベツ</t>
    </rPh>
    <rPh sb="10" eb="12">
      <t>ジジョウ</t>
    </rPh>
    <rPh sb="12" eb="14">
      <t>トドケデ</t>
    </rPh>
    <phoneticPr fontId="4"/>
  </si>
  <si>
    <t>計算結果－加算率(a)</t>
    <rPh sb="0" eb="2">
      <t>ケイサン</t>
    </rPh>
    <rPh sb="2" eb="4">
      <t>ケッカ</t>
    </rPh>
    <rPh sb="5" eb="7">
      <t>カサン</t>
    </rPh>
    <rPh sb="7" eb="8">
      <t>リツ</t>
    </rPh>
    <phoneticPr fontId="4"/>
  </si>
  <si>
    <t>計算結果－加算率(b)</t>
    <rPh sb="5" eb="7">
      <t>カサン</t>
    </rPh>
    <rPh sb="7" eb="8">
      <t>リツ</t>
    </rPh>
    <phoneticPr fontId="4"/>
  </si>
  <si>
    <t>計算結果－区分1見込額(月)</t>
    <rPh sb="5" eb="7">
      <t>クブン</t>
    </rPh>
    <rPh sb="8" eb="10">
      <t>ミコミ</t>
    </rPh>
    <rPh sb="10" eb="11">
      <t>ガク</t>
    </rPh>
    <rPh sb="12" eb="13">
      <t>ゲツ</t>
    </rPh>
    <phoneticPr fontId="4"/>
  </si>
  <si>
    <t>計算結果－区分1見込額(年)</t>
    <rPh sb="5" eb="7">
      <t>クブン</t>
    </rPh>
    <rPh sb="8" eb="10">
      <t>ミコミ</t>
    </rPh>
    <rPh sb="10" eb="11">
      <t>ガク</t>
    </rPh>
    <rPh sb="12" eb="13">
      <t>ネン</t>
    </rPh>
    <phoneticPr fontId="4"/>
  </si>
  <si>
    <t>計算結果－区分2見込額(月)</t>
    <rPh sb="5" eb="7">
      <t>クブン</t>
    </rPh>
    <rPh sb="8" eb="10">
      <t>ミコ</t>
    </rPh>
    <rPh sb="10" eb="11">
      <t>ガク</t>
    </rPh>
    <rPh sb="12" eb="13">
      <t>ゲツ</t>
    </rPh>
    <phoneticPr fontId="4"/>
  </si>
  <si>
    <t>計算結果－区分2見込額(年)</t>
    <rPh sb="5" eb="7">
      <t>クブン</t>
    </rPh>
    <rPh sb="8" eb="10">
      <t>ミコミ</t>
    </rPh>
    <rPh sb="10" eb="11">
      <t>ガク</t>
    </rPh>
    <rPh sb="12" eb="13">
      <t>ネン</t>
    </rPh>
    <phoneticPr fontId="4"/>
  </si>
  <si>
    <t>計算結果－区分3見込額(月)</t>
    <rPh sb="5" eb="7">
      <t>クブン</t>
    </rPh>
    <rPh sb="8" eb="10">
      <t>ミコミ</t>
    </rPh>
    <rPh sb="10" eb="11">
      <t>ガク</t>
    </rPh>
    <rPh sb="12" eb="13">
      <t>ゲツ</t>
    </rPh>
    <phoneticPr fontId="4"/>
  </si>
  <si>
    <t>計算結果－区分3見込額(年)</t>
    <rPh sb="5" eb="7">
      <t>クブン</t>
    </rPh>
    <rPh sb="8" eb="10">
      <t>ミコ</t>
    </rPh>
    <rPh sb="10" eb="11">
      <t>ガク</t>
    </rPh>
    <rPh sb="12" eb="13">
      <t>ネン</t>
    </rPh>
    <phoneticPr fontId="4"/>
  </si>
  <si>
    <t>計算結果－区分3－人数A</t>
    <rPh sb="5" eb="7">
      <t>クブン</t>
    </rPh>
    <rPh sb="9" eb="11">
      <t>ニンズウ</t>
    </rPh>
    <phoneticPr fontId="4"/>
  </si>
  <si>
    <t>計算結果－区分3－人数B</t>
    <rPh sb="9" eb="11">
      <t>ニンズウ</t>
    </rPh>
    <phoneticPr fontId="4"/>
  </si>
  <si>
    <t>様式１－加算率(a)</t>
    <rPh sb="0" eb="2">
      <t>ヨウシキ</t>
    </rPh>
    <rPh sb="4" eb="6">
      <t>カサン</t>
    </rPh>
    <rPh sb="6" eb="7">
      <t>リツ</t>
    </rPh>
    <phoneticPr fontId="4"/>
  </si>
  <si>
    <t>様式１－加算率(b)</t>
    <rPh sb="0" eb="2">
      <t>ヨウシキ</t>
    </rPh>
    <rPh sb="4" eb="6">
      <t>カサン</t>
    </rPh>
    <rPh sb="6" eb="7">
      <t>リツ</t>
    </rPh>
    <phoneticPr fontId="4"/>
  </si>
  <si>
    <t>様式2－要件①</t>
    <rPh sb="0" eb="2">
      <t>ヨウシキ</t>
    </rPh>
    <rPh sb="4" eb="6">
      <t>ヨウケン</t>
    </rPh>
    <phoneticPr fontId="4"/>
  </si>
  <si>
    <t>様式2－要件②</t>
    <rPh sb="0" eb="2">
      <t>ヨウシキ</t>
    </rPh>
    <rPh sb="4" eb="6">
      <t>ヨウケン</t>
    </rPh>
    <phoneticPr fontId="4"/>
  </si>
  <si>
    <t>様式3－研修修了者(副主任保育士等)</t>
    <rPh sb="0" eb="2">
      <t>ヨウシキ</t>
    </rPh>
    <rPh sb="4" eb="6">
      <t>ケンシュウ</t>
    </rPh>
    <rPh sb="6" eb="9">
      <t>シュウリョウシャ</t>
    </rPh>
    <rPh sb="10" eb="13">
      <t>フクシュニン</t>
    </rPh>
    <rPh sb="13" eb="16">
      <t>ホイクシ</t>
    </rPh>
    <rPh sb="16" eb="17">
      <t>トウ</t>
    </rPh>
    <phoneticPr fontId="4"/>
  </si>
  <si>
    <t>様式3－研修修了者(分野別リーダー等)</t>
    <rPh sb="0" eb="2">
      <t>ヨウシキ</t>
    </rPh>
    <rPh sb="4" eb="6">
      <t>ケンシュウ</t>
    </rPh>
    <rPh sb="6" eb="9">
      <t>シュウリョウシャ</t>
    </rPh>
    <rPh sb="10" eb="12">
      <t>ブンヤ</t>
    </rPh>
    <rPh sb="12" eb="13">
      <t>ベツ</t>
    </rPh>
    <rPh sb="17" eb="18">
      <t>トウ</t>
    </rPh>
    <phoneticPr fontId="4"/>
  </si>
  <si>
    <t>様式3－研修修了者(園長等)</t>
    <rPh sb="0" eb="2">
      <t>ヨウシキ</t>
    </rPh>
    <rPh sb="4" eb="6">
      <t>ケンシュウ</t>
    </rPh>
    <rPh sb="6" eb="9">
      <t>シュウリョウシャ</t>
    </rPh>
    <rPh sb="10" eb="12">
      <t>エンチョウ</t>
    </rPh>
    <rPh sb="12" eb="13">
      <t>トウ</t>
    </rPh>
    <phoneticPr fontId="4"/>
  </si>
  <si>
    <t>様式3－人数A算定対象人数</t>
    <rPh sb="0" eb="2">
      <t>ヨウシキ</t>
    </rPh>
    <rPh sb="4" eb="6">
      <t>ニンズウ</t>
    </rPh>
    <rPh sb="7" eb="9">
      <t>サンテイ</t>
    </rPh>
    <rPh sb="9" eb="11">
      <t>タイショウ</t>
    </rPh>
    <rPh sb="11" eb="13">
      <t>ニンズウ</t>
    </rPh>
    <phoneticPr fontId="4"/>
  </si>
  <si>
    <t>様式3－人数B算定対象人数</t>
    <rPh sb="0" eb="2">
      <t>ヨウシキ</t>
    </rPh>
    <rPh sb="4" eb="6">
      <t>ニンズウ</t>
    </rPh>
    <rPh sb="7" eb="9">
      <t>サンテイ</t>
    </rPh>
    <rPh sb="9" eb="11">
      <t>タイショウ</t>
    </rPh>
    <rPh sb="11" eb="13">
      <t>ニンズウ</t>
    </rPh>
    <phoneticPr fontId="4"/>
  </si>
  <si>
    <t>様式3－勤務条件・賃金体系等</t>
    <rPh sb="0" eb="2">
      <t>ヨウシキ</t>
    </rPh>
    <rPh sb="4" eb="6">
      <t>キンム</t>
    </rPh>
    <rPh sb="6" eb="8">
      <t>ジョウケン</t>
    </rPh>
    <rPh sb="9" eb="11">
      <t>チンギン</t>
    </rPh>
    <rPh sb="11" eb="13">
      <t>タイケイ</t>
    </rPh>
    <rPh sb="13" eb="14">
      <t>トウ</t>
    </rPh>
    <phoneticPr fontId="4"/>
  </si>
  <si>
    <t>様式3－判定欄(1人以上の修了者)</t>
    <rPh sb="0" eb="2">
      <t>ヨウシキ</t>
    </rPh>
    <rPh sb="4" eb="6">
      <t>ハンテイ</t>
    </rPh>
    <rPh sb="6" eb="7">
      <t>ラン</t>
    </rPh>
    <rPh sb="9" eb="12">
      <t>ニンイジョウ</t>
    </rPh>
    <rPh sb="13" eb="16">
      <t>シュウリョウシャ</t>
    </rPh>
    <phoneticPr fontId="4"/>
  </si>
  <si>
    <t>様式4－区分2見込額</t>
    <rPh sb="0" eb="2">
      <t>ヨウシキ</t>
    </rPh>
    <rPh sb="4" eb="6">
      <t>クブン</t>
    </rPh>
    <rPh sb="7" eb="9">
      <t>ミコミ</t>
    </rPh>
    <rPh sb="9" eb="10">
      <t>ガク</t>
    </rPh>
    <phoneticPr fontId="4"/>
  </si>
  <si>
    <t>様式4－区分2_改善見込額</t>
    <rPh sb="0" eb="2">
      <t>ヨウシキ</t>
    </rPh>
    <rPh sb="4" eb="6">
      <t>クブン</t>
    </rPh>
    <rPh sb="8" eb="10">
      <t>カイゼン</t>
    </rPh>
    <rPh sb="10" eb="12">
      <t>ミコ</t>
    </rPh>
    <rPh sb="12" eb="13">
      <t>ガク</t>
    </rPh>
    <phoneticPr fontId="4"/>
  </si>
  <si>
    <t>様式4－区分2_事業主負担増加見込総額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</si>
  <si>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様式4－区分3見込額</t>
    <rPh sb="0" eb="2">
      <t>ヨウシキ</t>
    </rPh>
    <rPh sb="4" eb="6">
      <t>クブン</t>
    </rPh>
    <rPh sb="7" eb="9">
      <t>ミコミ</t>
    </rPh>
    <rPh sb="9" eb="10">
      <t>ガク</t>
    </rPh>
    <phoneticPr fontId="4"/>
  </si>
  <si>
    <t>様式4－区分3_改善見込額</t>
    <rPh sb="0" eb="2">
      <t>ヨウシキ</t>
    </rPh>
    <rPh sb="4" eb="6">
      <t>クブン</t>
    </rPh>
    <rPh sb="8" eb="10">
      <t>カイゼン</t>
    </rPh>
    <rPh sb="10" eb="12">
      <t>ミコ</t>
    </rPh>
    <rPh sb="12" eb="13">
      <t>ガク</t>
    </rPh>
    <phoneticPr fontId="4"/>
  </si>
  <si>
    <t>様式4－区分3_事業主負担増加見込総額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</si>
  <si>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様式4－区分2_賃金改善判定</t>
    <rPh sb="0" eb="2">
      <t>ヨウシキ</t>
    </rPh>
    <rPh sb="4" eb="6">
      <t>クブン</t>
    </rPh>
    <rPh sb="8" eb="10">
      <t>チンギン</t>
    </rPh>
    <rPh sb="10" eb="12">
      <t>カイゼン</t>
    </rPh>
    <rPh sb="12" eb="14">
      <t>ハンテイ</t>
    </rPh>
    <phoneticPr fontId="4"/>
  </si>
  <si>
    <t>様式4－区分3_賃金改善判定</t>
    <rPh sb="0" eb="2">
      <t>ヨウシキ</t>
    </rPh>
    <rPh sb="4" eb="6">
      <t>クブン</t>
    </rPh>
    <rPh sb="8" eb="10">
      <t>チンギン</t>
    </rPh>
    <rPh sb="10" eb="12">
      <t>カイゼン</t>
    </rPh>
    <rPh sb="12" eb="14">
      <t>ハンテイ</t>
    </rPh>
    <phoneticPr fontId="4"/>
  </si>
  <si>
    <t>様式4－賃金水準低下判定</t>
    <rPh sb="0" eb="2">
      <t>ヨウシキ</t>
    </rPh>
    <rPh sb="4" eb="6">
      <t>チンギン</t>
    </rPh>
    <rPh sb="6" eb="8">
      <t>スイジュン</t>
    </rPh>
    <rPh sb="8" eb="10">
      <t>テイカ</t>
    </rPh>
    <rPh sb="10" eb="12">
      <t>ハンテイ</t>
    </rPh>
    <phoneticPr fontId="4"/>
  </si>
  <si>
    <t>様式4別添1－３－①最高</t>
    <rPh sb="0" eb="2">
      <t>ヨウシキ</t>
    </rPh>
    <rPh sb="3" eb="5">
      <t>ベッテン</t>
    </rPh>
    <rPh sb="10" eb="12">
      <t>サイコウ</t>
    </rPh>
    <phoneticPr fontId="4"/>
  </si>
  <si>
    <t>様式4別添1－３－①最低</t>
    <rPh sb="10" eb="12">
      <t>サイテイ</t>
    </rPh>
    <phoneticPr fontId="4"/>
  </si>
  <si>
    <t>様式4別添1－３－②最高</t>
    <rPh sb="0" eb="2">
      <t>ヨウシキ</t>
    </rPh>
    <rPh sb="3" eb="5">
      <t>ベッテン</t>
    </rPh>
    <rPh sb="10" eb="12">
      <t>サイコウ</t>
    </rPh>
    <phoneticPr fontId="4"/>
  </si>
  <si>
    <t>様式4別添1－３－②最低</t>
    <rPh sb="10" eb="12">
      <t>サイテイ</t>
    </rPh>
    <phoneticPr fontId="4"/>
  </si>
  <si>
    <t>様式4別添1－改善割合判定</t>
    <rPh sb="7" eb="9">
      <t>カイゼン</t>
    </rPh>
    <rPh sb="9" eb="11">
      <t>ワリアイ</t>
    </rPh>
    <rPh sb="11" eb="13">
      <t>ハンテイ</t>
    </rPh>
    <phoneticPr fontId="4"/>
  </si>
  <si>
    <t>様式4別添1－賃金水準低下判定</t>
    <phoneticPr fontId="4"/>
  </si>
  <si>
    <t>様式5－区分2見込額</t>
    <rPh sb="0" eb="2">
      <t>ヨウシキ</t>
    </rPh>
    <phoneticPr fontId="4"/>
  </si>
  <si>
    <t>様式5－区分3見込額</t>
    <rPh sb="0" eb="2">
      <t>ヨウシキ</t>
    </rPh>
    <rPh sb="4" eb="6">
      <t>クブン</t>
    </rPh>
    <rPh sb="7" eb="9">
      <t>ミコミ</t>
    </rPh>
    <rPh sb="9" eb="10">
      <t>ガク</t>
    </rPh>
    <phoneticPr fontId="4"/>
  </si>
  <si>
    <t>様式5－賃金改善チェック</t>
    <rPh sb="0" eb="2">
      <t>ヨウシキ</t>
    </rPh>
    <rPh sb="4" eb="6">
      <t>チンギン</t>
    </rPh>
    <rPh sb="6" eb="8">
      <t>カイゼン</t>
    </rPh>
    <phoneticPr fontId="4"/>
  </si>
  <si>
    <t>様式5－賃金水準チェック</t>
    <rPh sb="0" eb="2">
      <t>ヨウシキ</t>
    </rPh>
    <rPh sb="4" eb="6">
      <t>チンギン</t>
    </rPh>
    <rPh sb="6" eb="8">
      <t>スイジュン</t>
    </rPh>
    <phoneticPr fontId="4"/>
  </si>
  <si>
    <t>区分1・2・3総定員</t>
    <rPh sb="0" eb="2">
      <t>クブン</t>
    </rPh>
    <rPh sb="7" eb="10">
      <t>ソウテイイン</t>
    </rPh>
    <rPh sb="8" eb="10">
      <t>テイイン</t>
    </rPh>
    <phoneticPr fontId="4"/>
  </si>
  <si>
    <t>区分1・2総児童数</t>
    <rPh sb="5" eb="6">
      <t>ソウ</t>
    </rPh>
    <rPh sb="6" eb="8">
      <t>ジドウ</t>
    </rPh>
    <rPh sb="8" eb="9">
      <t>スウウン</t>
    </rPh>
    <phoneticPr fontId="4"/>
  </si>
  <si>
    <t>区分3総児童数</t>
    <rPh sb="3" eb="4">
      <t>ソウ</t>
    </rPh>
    <rPh sb="4" eb="6">
      <t>ジドウ</t>
    </rPh>
    <rPh sb="6" eb="7">
      <t>スウウン</t>
    </rPh>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</si>
  <si>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</si>
  <si>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</si>
  <si>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１歳児配置改善加算</t>
    <rPh sb="1" eb="3">
      <t>サイジ</t>
    </rPh>
    <rPh sb="3" eb="5">
      <t>ハイチ</t>
    </rPh>
    <rPh sb="5" eb="7">
      <t>カイゼン</t>
    </rPh>
    <rPh sb="7" eb="9">
      <t>カサン</t>
    </rPh>
    <phoneticPr fontId="4"/>
  </si>
  <si>
    <t>夜間保育加算</t>
    <rPh sb="0" eb="2">
      <t>ヤカン</t>
    </rPh>
    <rPh sb="2" eb="4">
      <t>ホイク</t>
    </rPh>
    <rPh sb="4" eb="6">
      <t>カサン</t>
    </rPh>
    <phoneticPr fontId="4"/>
  </si>
  <si>
    <t>施設長を配置していない場合の調整（減算）</t>
    <rPh sb="0" eb="3">
      <t>シセツチョウ</t>
    </rPh>
    <rPh sb="4" eb="6">
      <t>ハイチ</t>
    </rPh>
    <rPh sb="11" eb="13">
      <t>バアイ</t>
    </rPh>
    <rPh sb="14" eb="16">
      <t>チョウセイ</t>
    </rPh>
    <rPh sb="17" eb="19">
      <t>ゲンサン</t>
    </rPh>
    <phoneticPr fontId="4"/>
  </si>
  <si>
    <t>療育支援加算</t>
    <rPh sb="0" eb="6">
      <t>リョウイクシエンカサン</t>
    </rPh>
    <phoneticPr fontId="4"/>
  </si>
  <si>
    <t>栄養管理加算</t>
    <rPh sb="0" eb="6">
      <t>エイヨウカンリカサン</t>
    </rPh>
    <phoneticPr fontId="4"/>
  </si>
  <si>
    <t>(R7限り)処遇改善キャリアパス要件適合なし</t>
    <rPh sb="3" eb="4">
      <t>カギ</t>
    </rPh>
    <rPh sb="6" eb="10">
      <t>ショグウカイゼン</t>
    </rPh>
    <rPh sb="16" eb="18">
      <t>ヨウケン</t>
    </rPh>
    <rPh sb="18" eb="20">
      <t>テキゴウ</t>
    </rPh>
    <phoneticPr fontId="4"/>
  </si>
  <si>
    <t>休日保育のべ利用子ども数</t>
    <rPh sb="0" eb="2">
      <t>キュウジツ</t>
    </rPh>
    <rPh sb="2" eb="4">
      <t>ホイク</t>
    </rPh>
    <rPh sb="6" eb="8">
      <t>リヨウ</t>
    </rPh>
    <rPh sb="8" eb="9">
      <t>コ</t>
    </rPh>
    <rPh sb="11" eb="12">
      <t>スウ</t>
    </rPh>
    <phoneticPr fontId="4"/>
  </si>
  <si>
    <t>チーム保育推進加算加配人数</t>
    <rPh sb="3" eb="5">
      <t>ホイク</t>
    </rPh>
    <rPh sb="5" eb="7">
      <t>スイシン</t>
    </rPh>
    <rPh sb="7" eb="9">
      <t>カサン</t>
    </rPh>
    <rPh sb="9" eb="11">
      <t>カハイ</t>
    </rPh>
    <rPh sb="11" eb="13">
      <t>ニンズウ</t>
    </rPh>
    <phoneticPr fontId="4"/>
  </si>
  <si>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</si>
  <si>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</si>
  <si>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土曜日に閉所する場合</t>
    <rPh sb="0" eb="3">
      <t>ドヨウビ</t>
    </rPh>
    <rPh sb="4" eb="6">
      <t>ヘイショ</t>
    </rPh>
    <rPh sb="8" eb="10">
      <t>バアイ</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</si>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</sst>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0&quot;人&quot;\ "/>
    <numFmt numFmtId="188" formatCode="0_);[Red]\(0\)"/>
    <numFmt numFmtId="189" formatCode="0.0_);[Red]\(0.0\)"/>
    <numFmt numFmtId="190" formatCode="0.00_);[Red]\(0.00\)"/>
    <numFmt numFmtId="191" formatCode="0.000_);[Red]\(0.000\)"/>
    <numFmt numFmtId="192" formatCode="#,##0_ "/>
    <numFmt numFmtId="193" formatCode="#,##0_ ;[Red]\-#,##0\ "/>
    <numFmt numFmtId="194" formatCode="0.0%"/>
    <numFmt numFmtId="195" formatCode="#,##0_);[Red]\(#,##0\)"/>
    <numFmt numFmtId="196" formatCode="0.0_ "/>
    <numFmt numFmtId="197" formatCode="#,###"/>
    <numFmt numFmtId="198" formatCode="0_ "/>
  </numFmts>
  <fonts count="104">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14"/>
      <name val="HG丸ｺﾞｼｯｸM-PRO"/>
      <family val="3"/>
      <charset val="128"/>
    </font>
    <font>
      <sz val="14"/>
      <color theme="1"/>
      <name val="HG丸ｺﾞｼｯｸM-PRO"/>
      <family val="3"/>
      <charset val="128"/>
    </font>
    <font>
      <sz val="14"/>
      <color theme="1"/>
      <name val="游ゴシック"/>
      <family val="2"/>
      <charset val="128"/>
      <scheme val="minor"/>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b/>
      <sz val="11"/>
      <color theme="1"/>
      <name val="HG丸ｺﾞｼｯｸM-PRO"/>
      <family val="3"/>
      <charset val="128"/>
    </font>
    <font>
      <sz val="12"/>
      <color indexed="81"/>
      <name val="ＭＳ Ｐゴシック"/>
      <family val="3"/>
      <charset val="128"/>
    </font>
    <font>
      <sz val="10"/>
      <color indexed="81"/>
      <name val="ＭＳ Ｐゴシック"/>
      <family val="3"/>
      <charset val="128"/>
    </font>
    <font>
      <sz val="12"/>
      <color indexed="81"/>
      <name val="MS P ゴシック"/>
      <family val="3"/>
      <charset val="128"/>
    </font>
    <font>
      <sz val="11"/>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9"/>
      <name val="HGｺﾞｼｯｸM"/>
      <family val="3"/>
      <charset val="128"/>
    </font>
    <font>
      <sz val="10.5"/>
      <name val="HGｺﾞｼｯｸM"/>
      <family val="3"/>
      <charset val="128"/>
    </font>
    <font>
      <sz val="11"/>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trike/>
      <sz val="12"/>
      <name val="ＭＳ Ｐゴシック"/>
      <family val="3"/>
      <charset val="128"/>
    </font>
    <font>
      <strike/>
      <sz val="12"/>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b/>
      <sz val="12"/>
      <color rgb="FFFF0000"/>
      <name val="HGｺﾞｼｯｸM"/>
      <family val="3"/>
      <charset val="128"/>
    </font>
    <font>
      <sz val="12"/>
      <name val="ＭＳ Ｐ明朝"/>
      <family val="1"/>
      <charset val="128"/>
    </font>
    <font>
      <sz val="9"/>
      <color theme="1"/>
      <name val="游ゴシック"/>
      <family val="2"/>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rgb="FF000000"/>
      </patternFill>
    </fill>
    <fill>
      <patternFill patternType="solid">
        <fgColor rgb="FFFFC000"/>
        <bgColor indexed="64"/>
      </patternFill>
    </fill>
  </fills>
  <borders count="243">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Up="1">
      <left style="thin">
        <color indexed="64"/>
      </left>
      <right style="thin">
        <color indexed="64"/>
      </right>
      <top/>
      <bottom style="dotted">
        <color indexed="64"/>
      </bottom>
      <diagonal style="dotted">
        <color indexed="64"/>
      </diagonal>
    </border>
    <border diagonalUp="1">
      <left/>
      <right style="thin">
        <color indexed="64"/>
      </right>
      <top style="thin">
        <color indexed="64"/>
      </top>
      <bottom style="dotted">
        <color indexed="64"/>
      </bottom>
      <diagonal style="dotted">
        <color indexed="64"/>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3" fillId="0" borderId="0"/>
    <xf numFmtId="0" fontId="73" fillId="0" borderId="0"/>
    <xf numFmtId="0" fontId="78" fillId="0" borderId="0">
      <alignment vertical="center"/>
    </xf>
    <xf numFmtId="0" fontId="7" fillId="0" borderId="0"/>
  </cellStyleXfs>
  <cellXfs count="1267">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5" xfId="0" applyFont="1" applyBorder="1" applyAlignment="1">
      <alignment horizontal="centerContinuous" vertical="center" wrapText="1"/>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0" fontId="8" fillId="0" borderId="20" xfId="2" applyFont="1" applyBorder="1" applyAlignment="1">
      <alignment vertical="center" shrinkToFit="1"/>
    </xf>
    <xf numFmtId="0" fontId="9" fillId="0" borderId="21" xfId="2" applyFont="1" applyBorder="1" applyAlignment="1">
      <alignment vertical="center" shrinkToFit="1"/>
    </xf>
    <xf numFmtId="0" fontId="5" fillId="5" borderId="22" xfId="0" applyFont="1" applyFill="1" applyBorder="1" applyAlignment="1">
      <alignment vertical="center" shrinkToFit="1"/>
    </xf>
    <xf numFmtId="0" fontId="9" fillId="0" borderId="23" xfId="0" applyFont="1" applyBorder="1" applyAlignment="1">
      <alignment vertical="center" shrinkToFit="1"/>
    </xf>
    <xf numFmtId="176" fontId="9" fillId="0" borderId="20" xfId="2" applyNumberFormat="1" applyFont="1" applyBorder="1" applyAlignment="1">
      <alignment vertical="center" shrinkToFit="1"/>
    </xf>
    <xf numFmtId="0" fontId="9" fillId="0" borderId="22" xfId="0" applyFont="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4" xfId="2" applyNumberFormat="1" applyFont="1" applyFill="1" applyBorder="1" applyAlignment="1">
      <alignment vertical="center" shrinkToFit="1"/>
    </xf>
    <xf numFmtId="177" fontId="8" fillId="5" borderId="24"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4" xfId="2" applyFont="1" applyBorder="1" applyAlignment="1">
      <alignment vertical="center" shrinkToFit="1"/>
    </xf>
    <xf numFmtId="0" fontId="9" fillId="0" borderId="25" xfId="2" applyFont="1" applyBorder="1" applyAlignment="1">
      <alignment vertical="center" shrinkToFit="1"/>
    </xf>
    <xf numFmtId="0" fontId="5" fillId="5" borderId="26" xfId="0" applyFont="1" applyFill="1" applyBorder="1" applyAlignment="1">
      <alignment vertical="center" shrinkToFit="1"/>
    </xf>
    <xf numFmtId="0" fontId="9" fillId="0" borderId="27" xfId="0" applyFont="1" applyBorder="1" applyAlignment="1">
      <alignment vertical="center" shrinkToFit="1"/>
    </xf>
    <xf numFmtId="176" fontId="9" fillId="0" borderId="24" xfId="2" applyNumberFormat="1" applyFont="1" applyBorder="1" applyAlignment="1">
      <alignment vertical="center" shrinkToFit="1"/>
    </xf>
    <xf numFmtId="0" fontId="9" fillId="0" borderId="26"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0" xfId="2" applyFont="1" applyBorder="1" applyAlignment="1">
      <alignment vertical="center" shrinkToFit="1"/>
    </xf>
    <xf numFmtId="0" fontId="8" fillId="5" borderId="22" xfId="0" applyFont="1" applyFill="1" applyBorder="1" applyAlignment="1">
      <alignment vertical="center" shrinkToFit="1"/>
    </xf>
    <xf numFmtId="177" fontId="9" fillId="0" borderId="20" xfId="2" applyNumberFormat="1" applyFont="1" applyBorder="1" applyAlignment="1">
      <alignment vertical="center" shrinkToFit="1"/>
    </xf>
    <xf numFmtId="0" fontId="5" fillId="0" borderId="5" xfId="0" applyFont="1" applyBorder="1" applyAlignment="1">
      <alignment vertical="center" shrinkToFit="1"/>
    </xf>
    <xf numFmtId="0" fontId="9" fillId="0" borderId="24" xfId="2" applyFont="1" applyBorder="1" applyAlignment="1">
      <alignment vertical="center" shrinkToFit="1"/>
    </xf>
    <xf numFmtId="0" fontId="8" fillId="5" borderId="26" xfId="0" applyFont="1" applyFill="1" applyBorder="1" applyAlignment="1">
      <alignment vertical="center" shrinkToFit="1"/>
    </xf>
    <xf numFmtId="177" fontId="9" fillId="0" borderId="24"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3" fontId="8" fillId="0" borderId="13" xfId="2" applyNumberFormat="1" applyFont="1" applyBorder="1" applyAlignment="1">
      <alignment vertical="center" shrinkToFit="1"/>
    </xf>
    <xf numFmtId="0" fontId="9" fillId="0" borderId="28"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176" fontId="8" fillId="0" borderId="20" xfId="2" applyNumberFormat="1" applyFont="1" applyBorder="1" applyAlignment="1">
      <alignment vertical="center" shrinkToFit="1"/>
    </xf>
    <xf numFmtId="176" fontId="8" fillId="0" borderId="24" xfId="2" applyNumberFormat="1" applyFont="1" applyBorder="1" applyAlignment="1">
      <alignment vertical="center" shrinkToFit="1"/>
    </xf>
    <xf numFmtId="0" fontId="9" fillId="0" borderId="29" xfId="0" applyFont="1" applyBorder="1" applyAlignment="1">
      <alignment vertical="center" shrinkToFit="1"/>
    </xf>
    <xf numFmtId="176" fontId="8" fillId="5" borderId="30" xfId="2" applyNumberFormat="1" applyFont="1" applyFill="1" applyBorder="1" applyAlignment="1">
      <alignment vertical="center" shrinkToFit="1"/>
    </xf>
    <xf numFmtId="177" fontId="8" fillId="5" borderId="30" xfId="2" applyNumberFormat="1" applyFont="1" applyFill="1" applyBorder="1" applyAlignment="1">
      <alignment vertical="center" shrinkToFit="1"/>
    </xf>
    <xf numFmtId="176" fontId="9" fillId="0" borderId="30" xfId="2" applyNumberFormat="1" applyFont="1" applyBorder="1" applyAlignment="1">
      <alignment vertical="center" shrinkToFit="1"/>
    </xf>
    <xf numFmtId="177" fontId="9" fillId="0" borderId="30" xfId="2" applyNumberFormat="1" applyFont="1" applyBorder="1" applyAlignment="1">
      <alignment vertical="center" shrinkToFit="1"/>
    </xf>
    <xf numFmtId="176" fontId="8" fillId="0" borderId="30"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8" fillId="5" borderId="0" xfId="2" applyFont="1" applyFill="1" applyAlignment="1">
      <alignment vertical="center" shrinkToFit="1"/>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31" xfId="0" applyNumberFormat="1" applyFont="1" applyFill="1" applyBorder="1">
      <alignment vertical="center"/>
    </xf>
    <xf numFmtId="0" fontId="13" fillId="8" borderId="31" xfId="0" applyFont="1" applyFill="1" applyBorder="1" applyAlignment="1">
      <alignment horizontal="center" vertical="center"/>
    </xf>
    <xf numFmtId="182" fontId="13" fillId="8" borderId="31"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9" xfId="0" applyBorder="1" applyAlignment="1">
      <alignment vertical="center" shrinkToFi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Border="1">
      <alignment vertical="center"/>
    </xf>
    <xf numFmtId="0" fontId="0" fillId="0" borderId="37"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5" xfId="1" applyFont="1" applyBorder="1" applyAlignment="1">
      <alignment vertical="center" shrinkToFit="1"/>
    </xf>
    <xf numFmtId="38" fontId="0" fillId="0" borderId="42" xfId="1" applyFont="1" applyBorder="1" applyAlignment="1">
      <alignment vertical="center" shrinkToFit="1"/>
    </xf>
    <xf numFmtId="38" fontId="0" fillId="0" borderId="43" xfId="1" applyFont="1" applyBorder="1" applyAlignment="1">
      <alignment vertical="center" shrinkToFit="1"/>
    </xf>
    <xf numFmtId="38" fontId="0" fillId="0" borderId="33" xfId="1" applyFont="1" applyBorder="1" applyAlignment="1">
      <alignment vertical="center" shrinkToFit="1"/>
    </xf>
    <xf numFmtId="38" fontId="0" fillId="0" borderId="44" xfId="1" applyFont="1" applyBorder="1" applyAlignment="1">
      <alignment vertical="center" shrinkToFit="1"/>
    </xf>
    <xf numFmtId="38" fontId="0" fillId="0" borderId="34" xfId="1" applyFont="1" applyBorder="1" applyAlignment="1">
      <alignment vertical="center" shrinkToFit="1"/>
    </xf>
    <xf numFmtId="38" fontId="0" fillId="0" borderId="45" xfId="1" applyFont="1" applyBorder="1" applyAlignment="1">
      <alignment vertical="center" shrinkToFit="1"/>
    </xf>
    <xf numFmtId="38" fontId="0" fillId="0" borderId="36" xfId="1" applyFont="1" applyBorder="1" applyAlignment="1">
      <alignment vertical="center" shrinkToFit="1"/>
    </xf>
    <xf numFmtId="38" fontId="0" fillId="0" borderId="41" xfId="1" applyFont="1" applyBorder="1" applyAlignment="1">
      <alignment vertical="center"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9" fillId="0" borderId="20" xfId="2" applyNumberFormat="1" applyFont="1" applyBorder="1" applyAlignment="1">
      <alignment vertical="center" shrinkToFit="1"/>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179" fontId="0" fillId="0" borderId="9" xfId="0" applyNumberFormat="1" applyBorder="1" applyAlignment="1">
      <alignment horizontal="center" vertical="center"/>
    </xf>
    <xf numFmtId="0" fontId="19" fillId="0" borderId="0" xfId="0" applyFont="1">
      <alignment vertical="center"/>
    </xf>
    <xf numFmtId="0" fontId="5" fillId="4" borderId="8" xfId="0" applyFont="1" applyFill="1" applyBorder="1">
      <alignment vertical="center"/>
    </xf>
    <xf numFmtId="0" fontId="21"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1" fillId="0" borderId="54" xfId="0" applyNumberFormat="1" applyFont="1" applyBorder="1" applyAlignment="1">
      <alignment horizontal="center" vertical="center"/>
    </xf>
    <xf numFmtId="184" fontId="21" fillId="0" borderId="55" xfId="0" applyNumberFormat="1" applyFont="1" applyBorder="1" applyAlignment="1">
      <alignment horizontal="center" vertical="center"/>
    </xf>
    <xf numFmtId="184" fontId="21" fillId="0" borderId="56" xfId="0" applyNumberFormat="1" applyFont="1" applyBorder="1" applyAlignment="1">
      <alignment horizontal="center" vertical="center"/>
    </xf>
    <xf numFmtId="0" fontId="21" fillId="0" borderId="16" xfId="0" applyFont="1" applyBorder="1" applyAlignment="1">
      <alignment horizontal="center" vertical="center"/>
    </xf>
    <xf numFmtId="185" fontId="21" fillId="2" borderId="63" xfId="0" applyNumberFormat="1" applyFont="1" applyFill="1" applyBorder="1" applyAlignment="1" applyProtection="1">
      <alignment vertical="center" shrinkToFit="1"/>
      <protection locked="0"/>
    </xf>
    <xf numFmtId="185" fontId="21" fillId="2" borderId="19" xfId="0" applyNumberFormat="1" applyFont="1" applyFill="1" applyBorder="1" applyAlignment="1" applyProtection="1">
      <alignment vertical="center" shrinkToFit="1"/>
      <protection locked="0"/>
    </xf>
    <xf numFmtId="185" fontId="21" fillId="2" borderId="64" xfId="0" applyNumberFormat="1" applyFont="1" applyFill="1" applyBorder="1" applyAlignment="1" applyProtection="1">
      <alignment vertical="center" shrinkToFit="1"/>
      <protection locked="0"/>
    </xf>
    <xf numFmtId="185" fontId="17" fillId="0" borderId="65" xfId="0" applyNumberFormat="1" applyFont="1" applyBorder="1" applyAlignment="1">
      <alignment vertical="center" shrinkToFit="1"/>
    </xf>
    <xf numFmtId="0" fontId="21" fillId="0" borderId="25" xfId="0" applyFont="1" applyBorder="1" applyAlignment="1">
      <alignment horizontal="center" vertical="center"/>
    </xf>
    <xf numFmtId="0" fontId="21" fillId="0" borderId="66" xfId="0" applyFont="1" applyBorder="1" applyAlignment="1">
      <alignment vertical="center" shrinkToFit="1"/>
    </xf>
    <xf numFmtId="186" fontId="21" fillId="0" borderId="24" xfId="0" applyNumberFormat="1" applyFont="1" applyBorder="1" applyAlignment="1">
      <alignment vertical="center" shrinkToFit="1"/>
    </xf>
    <xf numFmtId="186" fontId="21" fillId="0" borderId="67" xfId="0" applyNumberFormat="1" applyFont="1" applyBorder="1" applyAlignment="1">
      <alignment vertical="center" shrinkToFit="1"/>
    </xf>
    <xf numFmtId="185" fontId="17" fillId="0" borderId="68" xfId="0" applyNumberFormat="1" applyFont="1" applyBorder="1" applyAlignment="1">
      <alignment vertical="center" shrinkToFit="1"/>
    </xf>
    <xf numFmtId="0" fontId="21" fillId="0" borderId="73" xfId="0" applyFont="1" applyBorder="1" applyAlignment="1">
      <alignment horizontal="center" vertical="center"/>
    </xf>
    <xf numFmtId="0" fontId="21" fillId="0" borderId="74" xfId="0" applyFont="1" applyBorder="1" applyAlignment="1">
      <alignment vertical="center" shrinkToFit="1"/>
    </xf>
    <xf numFmtId="186" fontId="21" fillId="0" borderId="75" xfId="0" applyNumberFormat="1" applyFont="1" applyBorder="1" applyAlignment="1">
      <alignment vertical="center" shrinkToFit="1"/>
    </xf>
    <xf numFmtId="186" fontId="21"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1" fillId="0" borderId="80" xfId="0" applyFont="1" applyBorder="1" applyAlignment="1">
      <alignment horizontal="center" vertical="center"/>
    </xf>
    <xf numFmtId="185" fontId="21" fillId="0" borderId="81" xfId="0" applyNumberFormat="1" applyFont="1" applyBorder="1" applyAlignment="1">
      <alignment vertical="center" shrinkToFit="1"/>
    </xf>
    <xf numFmtId="185" fontId="21" fillId="0" borderId="82" xfId="0" applyNumberFormat="1" applyFont="1" applyBorder="1" applyAlignment="1">
      <alignment vertical="center" shrinkToFit="1"/>
    </xf>
    <xf numFmtId="185" fontId="21" fillId="0" borderId="83" xfId="0" applyNumberFormat="1" applyFont="1" applyBorder="1" applyAlignment="1">
      <alignment vertical="center" shrinkToFit="1"/>
    </xf>
    <xf numFmtId="185" fontId="17" fillId="0" borderId="84" xfId="0" applyNumberFormat="1" applyFont="1" applyBorder="1" applyAlignment="1">
      <alignment vertical="center" shrinkToFit="1"/>
    </xf>
    <xf numFmtId="186" fontId="21" fillId="0" borderId="0" xfId="0" applyNumberFormat="1" applyFont="1">
      <alignment vertical="center"/>
    </xf>
    <xf numFmtId="0" fontId="21" fillId="0" borderId="85" xfId="0" applyFont="1" applyBorder="1" applyAlignment="1">
      <alignment horizontal="center" vertical="center"/>
    </xf>
    <xf numFmtId="184" fontId="21" fillId="0" borderId="86" xfId="0" applyNumberFormat="1" applyFont="1" applyBorder="1" applyAlignment="1">
      <alignment horizontal="center" vertical="center"/>
    </xf>
    <xf numFmtId="184" fontId="21" fillId="0" borderId="87" xfId="0" applyNumberFormat="1" applyFont="1" applyBorder="1" applyAlignment="1">
      <alignment horizontal="center" vertical="center"/>
    </xf>
    <xf numFmtId="0" fontId="21" fillId="0" borderId="64" xfId="0" applyFont="1" applyBorder="1" applyAlignment="1">
      <alignment horizontal="center" vertical="center"/>
    </xf>
    <xf numFmtId="185" fontId="21" fillId="2" borderId="8" xfId="0" applyNumberFormat="1" applyFont="1" applyFill="1" applyBorder="1" applyAlignment="1" applyProtection="1">
      <alignment vertical="center" shrinkToFit="1"/>
      <protection locked="0"/>
    </xf>
    <xf numFmtId="185" fontId="21"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8" borderId="92" xfId="0" applyNumberFormat="1" applyFont="1" applyFill="1" applyBorder="1" applyAlignment="1">
      <alignment vertical="center" shrinkToFit="1"/>
    </xf>
    <xf numFmtId="0" fontId="21" fillId="0" borderId="91" xfId="0" applyFont="1" applyBorder="1" applyAlignment="1">
      <alignment horizontal="center" vertical="center"/>
    </xf>
    <xf numFmtId="185" fontId="21" fillId="2" borderId="6" xfId="0" applyNumberFormat="1" applyFont="1" applyFill="1" applyBorder="1" applyAlignment="1" applyProtection="1">
      <alignment vertical="center" shrinkToFit="1"/>
      <protection locked="0"/>
    </xf>
    <xf numFmtId="0" fontId="21" fillId="0" borderId="95" xfId="0" applyFont="1" applyBorder="1" applyAlignment="1">
      <alignment horizontal="center" vertical="center"/>
    </xf>
    <xf numFmtId="185" fontId="21" fillId="2" borderId="94" xfId="0" applyNumberFormat="1" applyFont="1" applyFill="1" applyBorder="1" applyAlignment="1" applyProtection="1">
      <alignment vertical="center" shrinkToFit="1"/>
      <protection locked="0"/>
    </xf>
    <xf numFmtId="185" fontId="21"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8" borderId="98" xfId="0" applyNumberFormat="1" applyFont="1" applyFill="1" applyBorder="1" applyAlignment="1">
      <alignment vertical="center" shrinkToFit="1"/>
    </xf>
    <xf numFmtId="0" fontId="21" fillId="0" borderId="83" xfId="0" applyFont="1" applyBorder="1">
      <alignment vertical="center"/>
    </xf>
    <xf numFmtId="185" fontId="21" fillId="0" borderId="101" xfId="0" applyNumberFormat="1" applyFont="1" applyBorder="1" applyAlignment="1">
      <alignment vertical="center" shrinkToFit="1"/>
    </xf>
    <xf numFmtId="185" fontId="21" fillId="0" borderId="100" xfId="0" applyNumberFormat="1" applyFont="1" applyBorder="1" applyAlignment="1">
      <alignment vertical="center" shrinkToFit="1"/>
    </xf>
    <xf numFmtId="185" fontId="21" fillId="0" borderId="80" xfId="0" applyNumberFormat="1" applyFont="1" applyBorder="1" applyAlignment="1">
      <alignment vertical="center" shrinkToFit="1"/>
    </xf>
    <xf numFmtId="185" fontId="21" fillId="0" borderId="102" xfId="0" applyNumberFormat="1" applyFont="1" applyBorder="1" applyAlignment="1">
      <alignment vertical="center" shrinkToFit="1"/>
    </xf>
    <xf numFmtId="187" fontId="21" fillId="0" borderId="100" xfId="0" applyNumberFormat="1" applyFont="1" applyBorder="1" applyAlignment="1">
      <alignment vertical="center" shrinkToFit="1"/>
    </xf>
    <xf numFmtId="187" fontId="21" fillId="0" borderId="82" xfId="0" applyNumberFormat="1" applyFont="1" applyBorder="1" applyAlignment="1">
      <alignment vertical="center" shrinkToFit="1"/>
    </xf>
    <xf numFmtId="187" fontId="21" fillId="0" borderId="83" xfId="0" applyNumberFormat="1" applyFont="1" applyBorder="1" applyAlignment="1">
      <alignment vertical="center" shrinkToFit="1"/>
    </xf>
    <xf numFmtId="185" fontId="17" fillId="8" borderId="103" xfId="0" applyNumberFormat="1" applyFont="1" applyFill="1" applyBorder="1" applyAlignment="1">
      <alignment vertical="center" shrinkToFit="1"/>
    </xf>
    <xf numFmtId="0" fontId="21" fillId="0" borderId="104" xfId="0" applyFont="1" applyBorder="1">
      <alignment vertical="center"/>
    </xf>
    <xf numFmtId="0" fontId="21"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1"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1" fillId="2" borderId="97" xfId="0" applyNumberFormat="1" applyFont="1" applyFill="1" applyBorder="1" applyAlignment="1" applyProtection="1">
      <alignment vertical="center" shrinkToFit="1"/>
      <protection locked="0"/>
    </xf>
    <xf numFmtId="0" fontId="21" fillId="0" borderId="80" xfId="0" applyFont="1" applyBorder="1">
      <alignment vertical="center"/>
    </xf>
    <xf numFmtId="185" fontId="21" fillId="0" borderId="105" xfId="0" applyNumberFormat="1" applyFont="1" applyBorder="1" applyAlignment="1">
      <alignment vertical="center" shrinkToFit="1"/>
    </xf>
    <xf numFmtId="185" fontId="21" fillId="0" borderId="0" xfId="0" applyNumberFormat="1" applyFont="1">
      <alignment vertical="center"/>
    </xf>
    <xf numFmtId="0" fontId="24" fillId="0" borderId="104" xfId="0" applyFont="1" applyBorder="1">
      <alignment vertical="center"/>
    </xf>
    <xf numFmtId="0" fontId="24" fillId="0" borderId="0" xfId="0" applyFont="1">
      <alignment vertical="center"/>
    </xf>
    <xf numFmtId="185" fontId="13" fillId="0" borderId="97" xfId="0" applyNumberFormat="1" applyFont="1" applyBorder="1" applyAlignment="1">
      <alignment vertical="center" shrinkToFit="1"/>
    </xf>
    <xf numFmtId="38" fontId="41" fillId="8" borderId="31" xfId="1" applyFont="1" applyFill="1" applyBorder="1" applyAlignment="1" applyProtection="1">
      <alignment vertical="center"/>
    </xf>
    <xf numFmtId="38" fontId="41" fillId="8" borderId="88" xfId="1" applyFont="1" applyFill="1" applyBorder="1" applyAlignment="1" applyProtection="1">
      <alignment vertical="center"/>
    </xf>
    <xf numFmtId="38" fontId="42" fillId="8" borderId="142" xfId="1" applyFont="1" applyFill="1" applyBorder="1" applyProtection="1">
      <alignment vertical="center"/>
    </xf>
    <xf numFmtId="0" fontId="29" fillId="10" borderId="109" xfId="0" applyFont="1" applyFill="1" applyBorder="1" applyAlignment="1" applyProtection="1">
      <alignment horizontal="right" vertical="center"/>
      <protection locked="0"/>
    </xf>
    <xf numFmtId="0" fontId="29" fillId="10" borderId="110" xfId="0" applyFont="1" applyFill="1" applyBorder="1" applyAlignment="1" applyProtection="1">
      <alignment horizontal="right" vertical="center"/>
      <protection locked="0"/>
    </xf>
    <xf numFmtId="0" fontId="31" fillId="10" borderId="110" xfId="0" applyFont="1" applyFill="1" applyBorder="1" applyAlignment="1" applyProtection="1">
      <alignment horizontal="right" vertical="center"/>
      <protection locked="0"/>
    </xf>
    <xf numFmtId="0" fontId="31" fillId="10" borderId="111" xfId="0" applyFont="1" applyFill="1" applyBorder="1" applyAlignment="1" applyProtection="1">
      <alignment horizontal="right" vertical="center"/>
      <protection locked="0"/>
    </xf>
    <xf numFmtId="0" fontId="29" fillId="10" borderId="114" xfId="0" applyFont="1" applyFill="1" applyBorder="1" applyAlignment="1" applyProtection="1">
      <alignment horizontal="right" vertical="center"/>
      <protection locked="0"/>
    </xf>
    <xf numFmtId="0" fontId="31" fillId="10" borderId="114" xfId="0" applyFont="1" applyFill="1" applyBorder="1" applyAlignment="1" applyProtection="1">
      <alignment horizontal="right" vertical="center"/>
      <protection locked="0"/>
    </xf>
    <xf numFmtId="179" fontId="0" fillId="0" borderId="31" xfId="0" applyNumberFormat="1" applyBorder="1" applyAlignment="1">
      <alignment horizontal="center"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9" fillId="0" borderId="8" xfId="0" applyFont="1" applyBorder="1">
      <alignment vertical="center"/>
    </xf>
    <xf numFmtId="180" fontId="49" fillId="0" borderId="8" xfId="0" applyNumberFormat="1" applyFont="1" applyBorder="1">
      <alignment vertical="center"/>
    </xf>
    <xf numFmtId="182" fontId="49" fillId="0" borderId="8" xfId="1" applyNumberFormat="1" applyFont="1" applyBorder="1">
      <alignment vertical="center"/>
    </xf>
    <xf numFmtId="179" fontId="49" fillId="0" borderId="8" xfId="0" applyNumberFormat="1" applyFont="1" applyBorder="1">
      <alignment vertical="center"/>
    </xf>
    <xf numFmtId="0" fontId="26" fillId="0" borderId="0" xfId="0" applyFont="1" applyProtection="1">
      <alignment vertical="center"/>
    </xf>
    <xf numFmtId="0" fontId="27" fillId="0" borderId="0" xfId="0" applyFont="1" applyProtection="1">
      <alignment vertical="center"/>
    </xf>
    <xf numFmtId="188" fontId="27" fillId="0" borderId="0" xfId="0" applyNumberFormat="1" applyFont="1" applyProtection="1">
      <alignment vertical="center"/>
    </xf>
    <xf numFmtId="0" fontId="28" fillId="0" borderId="0" xfId="0" applyFont="1" applyProtection="1">
      <alignment vertical="center"/>
    </xf>
    <xf numFmtId="0" fontId="0" fillId="0" borderId="0" xfId="0" applyProtection="1">
      <alignment vertical="center"/>
    </xf>
    <xf numFmtId="0" fontId="29" fillId="0" borderId="0" xfId="0" applyFont="1" applyProtection="1">
      <alignment vertical="center"/>
    </xf>
    <xf numFmtId="188" fontId="29" fillId="0" borderId="0" xfId="0" applyNumberFormat="1" applyFont="1" applyProtection="1">
      <alignment vertical="center"/>
    </xf>
    <xf numFmtId="0" fontId="29" fillId="0" borderId="0" xfId="0" applyFont="1" applyAlignment="1" applyProtection="1">
      <alignment horizontal="center" vertical="center"/>
    </xf>
    <xf numFmtId="0" fontId="30" fillId="0" borderId="0" xfId="0" applyFont="1" applyProtection="1">
      <alignment vertical="center"/>
    </xf>
    <xf numFmtId="0" fontId="29" fillId="0" borderId="5" xfId="0" applyFont="1" applyBorder="1" applyProtection="1">
      <alignment vertical="center"/>
    </xf>
    <xf numFmtId="0" fontId="29" fillId="0" borderId="7" xfId="0" applyFont="1" applyBorder="1" applyProtection="1">
      <alignment vertical="center"/>
    </xf>
    <xf numFmtId="0" fontId="29" fillId="0" borderId="91" xfId="0" applyFont="1" applyBorder="1" applyAlignment="1" applyProtection="1">
      <alignment horizontal="center" vertical="center"/>
    </xf>
    <xf numFmtId="0" fontId="29" fillId="0" borderId="88" xfId="0" applyFont="1" applyBorder="1" applyAlignment="1" applyProtection="1">
      <alignment horizontal="center" vertical="center"/>
    </xf>
    <xf numFmtId="0" fontId="29" fillId="0" borderId="67" xfId="0" applyFont="1" applyFill="1" applyBorder="1" applyAlignment="1" applyProtection="1">
      <alignment horizontal="center" vertical="center"/>
    </xf>
    <xf numFmtId="0" fontId="29" fillId="0" borderId="88" xfId="0" applyFont="1" applyBorder="1" applyAlignment="1" applyProtection="1">
      <alignment horizontal="center" vertical="center" wrapText="1"/>
    </xf>
    <xf numFmtId="188" fontId="29" fillId="0" borderId="31" xfId="0" applyNumberFormat="1" applyFont="1" applyFill="1" applyBorder="1" applyAlignment="1" applyProtection="1">
      <alignment horizontal="right" vertical="center"/>
    </xf>
    <xf numFmtId="0" fontId="29" fillId="6" borderId="106" xfId="0" applyFont="1" applyFill="1" applyBorder="1" applyAlignment="1" applyProtection="1">
      <alignment horizontal="righ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center" vertical="center"/>
    </xf>
    <xf numFmtId="0" fontId="0" fillId="0" borderId="8" xfId="0" applyBorder="1" applyAlignment="1" applyProtection="1">
      <alignment horizontal="left" vertical="center"/>
    </xf>
    <xf numFmtId="0" fontId="29" fillId="0" borderId="13" xfId="0" applyFont="1" applyBorder="1" applyAlignment="1" applyProtection="1">
      <alignment horizontal="left" vertical="center"/>
    </xf>
    <xf numFmtId="0" fontId="29" fillId="0" borderId="23" xfId="0" applyFont="1" applyBorder="1" applyProtection="1">
      <alignment vertical="center"/>
    </xf>
    <xf numFmtId="178" fontId="0" fillId="0" borderId="11" xfId="0" applyNumberFormat="1" applyBorder="1" applyAlignment="1" applyProtection="1">
      <alignment horizontal="left" vertical="center"/>
    </xf>
    <xf numFmtId="178" fontId="0" fillId="0" borderId="60" xfId="0" applyNumberFormat="1" applyBorder="1" applyAlignment="1" applyProtection="1">
      <alignment horizontal="left" vertical="center"/>
    </xf>
    <xf numFmtId="179" fontId="0" fillId="0" borderId="31" xfId="0" applyNumberFormat="1" applyBorder="1" applyAlignment="1" applyProtection="1">
      <alignment horizontal="center" vertical="center"/>
    </xf>
    <xf numFmtId="178" fontId="0" fillId="0" borderId="5" xfId="0" applyNumberFormat="1" applyBorder="1" applyAlignment="1" applyProtection="1">
      <alignment horizontal="left" vertical="center"/>
    </xf>
    <xf numFmtId="178" fontId="0" fillId="0" borderId="61" xfId="0" applyNumberFormat="1" applyBorder="1" applyAlignment="1" applyProtection="1">
      <alignment horizontal="left" vertical="center"/>
    </xf>
    <xf numFmtId="0" fontId="29" fillId="0" borderId="29" xfId="0" applyFont="1" applyBorder="1" applyProtection="1">
      <alignment vertical="center"/>
    </xf>
    <xf numFmtId="0" fontId="29" fillId="0" borderId="11" xfId="0" applyFont="1" applyBorder="1" applyProtection="1">
      <alignment vertical="center"/>
    </xf>
    <xf numFmtId="0" fontId="29" fillId="0" borderId="27" xfId="0" applyFont="1" applyBorder="1" applyProtection="1">
      <alignment vertical="center"/>
    </xf>
    <xf numFmtId="0" fontId="29" fillId="0" borderId="0" xfId="0" applyFont="1" applyAlignment="1" applyProtection="1">
      <alignment horizontal="left" vertical="top" wrapText="1"/>
    </xf>
    <xf numFmtId="0" fontId="29" fillId="0" borderId="0" xfId="0" applyFont="1" applyAlignment="1" applyProtection="1">
      <alignment vertical="center" wrapText="1"/>
    </xf>
    <xf numFmtId="0" fontId="29" fillId="0" borderId="0" xfId="0" applyFont="1" applyAlignment="1" applyProtection="1">
      <alignment vertical="top" wrapText="1"/>
    </xf>
    <xf numFmtId="0" fontId="29" fillId="0" borderId="115" xfId="0" applyFont="1" applyBorder="1" applyAlignment="1" applyProtection="1">
      <alignment horizontal="center" vertical="center" wrapText="1"/>
    </xf>
    <xf numFmtId="0" fontId="29" fillId="0" borderId="56" xfId="0" applyFont="1" applyBorder="1" applyAlignment="1" applyProtection="1">
      <alignment horizontal="center" vertical="center"/>
    </xf>
    <xf numFmtId="0" fontId="29" fillId="0" borderId="10" xfId="0" applyFont="1" applyBorder="1" applyAlignment="1" applyProtection="1">
      <alignment horizontal="center" vertical="center" wrapText="1"/>
    </xf>
    <xf numFmtId="0" fontId="0" fillId="0" borderId="117" xfId="0" applyBorder="1" applyProtection="1">
      <alignment vertical="center"/>
    </xf>
    <xf numFmtId="0" fontId="29" fillId="0" borderId="3" xfId="0" applyFont="1" applyBorder="1" applyAlignment="1" applyProtection="1">
      <alignment horizontal="right" vertical="center"/>
    </xf>
    <xf numFmtId="0" fontId="29" fillId="0" borderId="7" xfId="0" applyFont="1" applyBorder="1" applyAlignment="1" applyProtection="1">
      <alignment horizontal="right" vertical="center"/>
    </xf>
    <xf numFmtId="0" fontId="29" fillId="0" borderId="59" xfId="0" applyFont="1" applyBorder="1" applyProtection="1">
      <alignment vertical="center"/>
    </xf>
    <xf numFmtId="188" fontId="29" fillId="0" borderId="91" xfId="0" applyNumberFormat="1" applyFont="1" applyBorder="1" applyProtection="1">
      <alignment vertical="center"/>
    </xf>
    <xf numFmtId="188" fontId="29" fillId="0" borderId="59" xfId="0" applyNumberFormat="1" applyFont="1" applyBorder="1" applyProtection="1">
      <alignment vertical="center"/>
    </xf>
    <xf numFmtId="189" fontId="33" fillId="0" borderId="60" xfId="0" applyNumberFormat="1" applyFont="1" applyBorder="1" applyProtection="1">
      <alignment vertical="center"/>
    </xf>
    <xf numFmtId="0" fontId="0" fillId="0" borderId="91" xfId="0" applyBorder="1" applyProtection="1">
      <alignment vertical="center"/>
    </xf>
    <xf numFmtId="0" fontId="0" fillId="0" borderId="59" xfId="0" applyBorder="1" applyProtection="1">
      <alignment vertical="center"/>
    </xf>
    <xf numFmtId="0" fontId="0" fillId="0" borderId="60" xfId="0" applyBorder="1" applyProtection="1">
      <alignment vertical="center"/>
    </xf>
    <xf numFmtId="0" fontId="29" fillId="0" borderId="14" xfId="0" applyFont="1" applyBorder="1" applyAlignment="1" applyProtection="1">
      <alignment horizontal="right" vertical="center"/>
    </xf>
    <xf numFmtId="0" fontId="29" fillId="0" borderId="118" xfId="0" applyFont="1" applyBorder="1" applyProtection="1">
      <alignment vertical="center"/>
    </xf>
    <xf numFmtId="0" fontId="29" fillId="0" borderId="18" xfId="0" applyFont="1" applyBorder="1" applyAlignment="1" applyProtection="1">
      <alignment horizontal="right" vertical="center"/>
    </xf>
    <xf numFmtId="0" fontId="29" fillId="0" borderId="119" xfId="0" applyFont="1" applyBorder="1" applyProtection="1">
      <alignment vertical="center"/>
    </xf>
    <xf numFmtId="188" fontId="34" fillId="6" borderId="120" xfId="0" applyNumberFormat="1" applyFont="1" applyFill="1" applyBorder="1" applyAlignment="1" applyProtection="1">
      <alignment horizontal="right" vertical="center"/>
    </xf>
    <xf numFmtId="190" fontId="35" fillId="6" borderId="121" xfId="0" applyNumberFormat="1" applyFont="1" applyFill="1" applyBorder="1" applyProtection="1">
      <alignment vertical="center"/>
    </xf>
    <xf numFmtId="189" fontId="36" fillId="0" borderId="122" xfId="0" applyNumberFormat="1" applyFont="1" applyFill="1" applyBorder="1" applyProtection="1">
      <alignment vertical="center"/>
    </xf>
    <xf numFmtId="190" fontId="35" fillId="6" borderId="119" xfId="0" applyNumberFormat="1" applyFont="1" applyFill="1" applyBorder="1" applyProtection="1">
      <alignment vertical="center"/>
    </xf>
    <xf numFmtId="189" fontId="36" fillId="8" borderId="122" xfId="0" applyNumberFormat="1" applyFont="1" applyFill="1" applyBorder="1" applyProtection="1">
      <alignment vertical="center"/>
    </xf>
    <xf numFmtId="0" fontId="29" fillId="0" borderId="121" xfId="0" applyFont="1" applyFill="1" applyBorder="1" applyAlignment="1" applyProtection="1">
      <alignment horizontal="center" vertical="center"/>
    </xf>
    <xf numFmtId="188" fontId="34" fillId="0" borderId="120" xfId="0" applyNumberFormat="1" applyFont="1" applyBorder="1" applyAlignment="1" applyProtection="1">
      <alignment horizontal="right" vertical="center"/>
    </xf>
    <xf numFmtId="190" fontId="35" fillId="0" borderId="119" xfId="0" applyNumberFormat="1" applyFont="1" applyBorder="1" applyProtection="1">
      <alignment vertical="center"/>
    </xf>
    <xf numFmtId="189" fontId="36" fillId="0" borderId="122" xfId="0" applyNumberFormat="1" applyFont="1" applyBorder="1" applyProtection="1">
      <alignment vertical="center"/>
    </xf>
    <xf numFmtId="0" fontId="29" fillId="6" borderId="21" xfId="0" applyFont="1" applyFill="1" applyBorder="1" applyAlignment="1" applyProtection="1">
      <alignment horizontal="center" vertical="center"/>
    </xf>
    <xf numFmtId="0" fontId="29" fillId="0" borderId="21" xfId="0" applyFont="1" applyBorder="1" applyProtection="1">
      <alignment vertical="center"/>
    </xf>
    <xf numFmtId="0" fontId="29" fillId="0" borderId="23" xfId="0" applyFont="1" applyBorder="1" applyAlignment="1" applyProtection="1">
      <alignment horizontal="right" vertical="center"/>
    </xf>
    <xf numFmtId="0" fontId="29" fillId="0" borderId="69" xfId="0" applyFont="1" applyBorder="1" applyProtection="1">
      <alignment vertical="center"/>
    </xf>
    <xf numFmtId="188" fontId="34" fillId="6" borderId="123" xfId="0" applyNumberFormat="1" applyFont="1" applyFill="1" applyBorder="1" applyAlignment="1" applyProtection="1">
      <alignment horizontal="right" vertical="center"/>
    </xf>
    <xf numFmtId="189" fontId="36" fillId="0" borderId="124" xfId="0" applyNumberFormat="1" applyFont="1" applyFill="1" applyBorder="1" applyProtection="1">
      <alignment vertical="center"/>
    </xf>
    <xf numFmtId="189" fontId="36" fillId="8" borderId="124" xfId="0" applyNumberFormat="1" applyFont="1" applyFill="1" applyBorder="1" applyProtection="1">
      <alignment vertical="center"/>
    </xf>
    <xf numFmtId="188" fontId="34" fillId="0" borderId="123" xfId="0" applyNumberFormat="1" applyFont="1" applyBorder="1" applyAlignment="1" applyProtection="1">
      <alignment horizontal="right" vertical="center"/>
    </xf>
    <xf numFmtId="190" fontId="35" fillId="0" borderId="121" xfId="0" applyNumberFormat="1" applyFont="1" applyBorder="1" applyProtection="1">
      <alignment vertical="center"/>
    </xf>
    <xf numFmtId="189" fontId="36" fillId="0" borderId="124" xfId="0" applyNumberFormat="1" applyFont="1" applyBorder="1" applyProtection="1">
      <alignment vertical="center"/>
    </xf>
    <xf numFmtId="0" fontId="29" fillId="0" borderId="121" xfId="0" applyFont="1" applyBorder="1" applyProtection="1">
      <alignment vertical="center"/>
    </xf>
    <xf numFmtId="189" fontId="35" fillId="6" borderId="121" xfId="0" applyNumberFormat="1" applyFont="1" applyFill="1" applyBorder="1" applyAlignment="1" applyProtection="1">
      <alignment horizontal="right" vertical="center"/>
    </xf>
    <xf numFmtId="0" fontId="31" fillId="0" borderId="21" xfId="0" applyFont="1" applyBorder="1" applyProtection="1">
      <alignment vertical="center"/>
    </xf>
    <xf numFmtId="0" fontId="29" fillId="0" borderId="29" xfId="0" applyFont="1" applyBorder="1" applyAlignment="1" applyProtection="1">
      <alignment horizontal="right" vertical="center"/>
    </xf>
    <xf numFmtId="0" fontId="31" fillId="0" borderId="121" xfId="0" applyFont="1" applyFill="1" applyBorder="1" applyAlignment="1" applyProtection="1">
      <alignment horizontal="center" vertical="center"/>
    </xf>
    <xf numFmtId="188" fontId="34" fillId="0" borderId="125" xfId="0" applyNumberFormat="1" applyFont="1" applyBorder="1" applyAlignment="1" applyProtection="1">
      <alignment horizontal="right" vertical="center"/>
    </xf>
    <xf numFmtId="190" fontId="35" fillId="0" borderId="126" xfId="0" applyNumberFormat="1" applyFont="1" applyBorder="1" applyProtection="1">
      <alignment vertical="center"/>
    </xf>
    <xf numFmtId="189" fontId="36" fillId="0" borderId="127" xfId="0" applyNumberFormat="1" applyFont="1" applyBorder="1" applyProtection="1">
      <alignment vertical="center"/>
    </xf>
    <xf numFmtId="188" fontId="34" fillId="0" borderId="128" xfId="0" applyNumberFormat="1" applyFont="1" applyBorder="1" applyAlignment="1" applyProtection="1">
      <alignment horizontal="right" vertical="center"/>
    </xf>
    <xf numFmtId="0" fontId="29" fillId="0" borderId="73" xfId="0" applyFont="1" applyBorder="1" applyProtection="1">
      <alignment vertical="center"/>
    </xf>
    <xf numFmtId="0" fontId="29" fillId="0" borderId="129" xfId="0" applyFont="1" applyBorder="1" applyAlignment="1" applyProtection="1">
      <alignment horizontal="right" vertical="center"/>
    </xf>
    <xf numFmtId="0" fontId="29" fillId="0" borderId="130" xfId="0" applyFont="1" applyBorder="1" applyProtection="1">
      <alignment vertical="center"/>
    </xf>
    <xf numFmtId="188" fontId="34" fillId="6" borderId="76" xfId="0" applyNumberFormat="1" applyFont="1" applyFill="1" applyBorder="1" applyAlignment="1" applyProtection="1">
      <alignment horizontal="right" vertical="center"/>
    </xf>
    <xf numFmtId="190" fontId="35" fillId="6" borderId="130" xfId="0" applyNumberFormat="1" applyFont="1" applyFill="1" applyBorder="1" applyProtection="1">
      <alignment vertical="center"/>
    </xf>
    <xf numFmtId="189" fontId="36" fillId="0" borderId="77" xfId="0" applyNumberFormat="1" applyFont="1" applyFill="1" applyBorder="1" applyProtection="1">
      <alignment vertical="center"/>
    </xf>
    <xf numFmtId="189" fontId="36" fillId="8" borderId="77" xfId="0" applyNumberFormat="1" applyFont="1" applyFill="1" applyBorder="1" applyProtection="1">
      <alignment vertical="center"/>
    </xf>
    <xf numFmtId="0" fontId="29" fillId="0" borderId="13" xfId="0" applyFont="1" applyBorder="1" applyAlignment="1" applyProtection="1">
      <alignment horizontal="right" vertical="center"/>
    </xf>
    <xf numFmtId="0" fontId="29" fillId="0" borderId="70" xfId="0" applyFont="1" applyBorder="1" applyProtection="1">
      <alignment vertical="center"/>
    </xf>
    <xf numFmtId="0" fontId="29" fillId="0" borderId="117" xfId="0" applyFont="1" applyBorder="1" applyProtection="1">
      <alignment vertical="center"/>
    </xf>
    <xf numFmtId="191" fontId="35" fillId="0" borderId="58" xfId="0" applyNumberFormat="1" applyFont="1" applyBorder="1" applyProtection="1">
      <alignment vertical="center"/>
    </xf>
    <xf numFmtId="189" fontId="31" fillId="0" borderId="61" xfId="0" applyNumberFormat="1" applyFont="1" applyFill="1" applyBorder="1" applyProtection="1">
      <alignment vertical="center"/>
    </xf>
    <xf numFmtId="0" fontId="37" fillId="0" borderId="128" xfId="0" applyFont="1" applyBorder="1" applyAlignment="1" applyProtection="1">
      <alignment horizontal="left" vertical="center"/>
    </xf>
    <xf numFmtId="189" fontId="31" fillId="8" borderId="61" xfId="0" applyNumberFormat="1" applyFont="1" applyFill="1" applyBorder="1" applyProtection="1">
      <alignment vertical="center"/>
    </xf>
    <xf numFmtId="0" fontId="29" fillId="0" borderId="5" xfId="0" applyFont="1" applyBorder="1" applyAlignment="1" applyProtection="1">
      <alignment horizontal="right" vertical="center"/>
    </xf>
    <xf numFmtId="0" fontId="29" fillId="0" borderId="7" xfId="0" applyFont="1" applyBorder="1" applyAlignment="1" applyProtection="1">
      <alignment horizontal="left" vertical="center"/>
    </xf>
    <xf numFmtId="0" fontId="29" fillId="0" borderId="90" xfId="0" applyFont="1" applyFill="1" applyBorder="1" applyAlignment="1" applyProtection="1">
      <alignment horizontal="center" vertical="center"/>
    </xf>
    <xf numFmtId="188" fontId="35" fillId="0" borderId="59" xfId="0" applyNumberFormat="1" applyFont="1" applyBorder="1" applyProtection="1">
      <alignment vertical="center"/>
    </xf>
    <xf numFmtId="189" fontId="29" fillId="0" borderId="60" xfId="0" applyNumberFormat="1" applyFont="1" applyFill="1" applyBorder="1" applyProtection="1">
      <alignment vertical="center"/>
    </xf>
    <xf numFmtId="0" fontId="29" fillId="0" borderId="5" xfId="0" applyFont="1" applyFill="1" applyBorder="1" applyAlignment="1" applyProtection="1">
      <alignment horizontal="center" vertical="center"/>
    </xf>
    <xf numFmtId="189" fontId="29" fillId="8" borderId="60" xfId="0" applyNumberFormat="1" applyFont="1" applyFill="1" applyBorder="1" applyProtection="1">
      <alignment vertical="center"/>
    </xf>
    <xf numFmtId="0" fontId="31" fillId="0" borderId="7" xfId="0" applyFont="1" applyBorder="1" applyAlignment="1" applyProtection="1">
      <alignment horizontal="left" vertical="center"/>
    </xf>
    <xf numFmtId="188" fontId="29" fillId="0" borderId="131" xfId="0" applyNumberFormat="1" applyFont="1" applyBorder="1" applyProtection="1">
      <alignment vertical="center"/>
    </xf>
    <xf numFmtId="0" fontId="29" fillId="0" borderId="59" xfId="0" applyFont="1" applyFill="1" applyBorder="1" applyAlignment="1" applyProtection="1">
      <alignment horizontal="center" vertical="center"/>
    </xf>
    <xf numFmtId="188" fontId="29" fillId="0" borderId="61" xfId="0" applyNumberFormat="1" applyFont="1" applyBorder="1" applyProtection="1">
      <alignment vertical="center"/>
    </xf>
    <xf numFmtId="0" fontId="0" fillId="0" borderId="62" xfId="0" applyBorder="1" applyProtection="1">
      <alignment vertical="center"/>
    </xf>
    <xf numFmtId="0" fontId="0" fillId="0" borderId="132" xfId="0" applyBorder="1" applyProtection="1">
      <alignment vertical="center"/>
    </xf>
    <xf numFmtId="0" fontId="29" fillId="0" borderId="133" xfId="0" applyFont="1" applyBorder="1" applyAlignment="1" applyProtection="1">
      <alignment horizontal="left" vertical="center"/>
    </xf>
    <xf numFmtId="0" fontId="29" fillId="0" borderId="134" xfId="0" applyFont="1" applyBorder="1" applyAlignment="1" applyProtection="1">
      <alignment horizontal="left" vertical="center"/>
    </xf>
    <xf numFmtId="0" fontId="29" fillId="0" borderId="71" xfId="0" applyFont="1" applyBorder="1" applyProtection="1">
      <alignment vertical="center"/>
    </xf>
    <xf numFmtId="0" fontId="29" fillId="0" borderId="135" xfId="0" applyFont="1" applyBorder="1" applyProtection="1">
      <alignment vertical="center"/>
    </xf>
    <xf numFmtId="188" fontId="35" fillId="0" borderId="71" xfId="0" applyNumberFormat="1" applyFont="1" applyBorder="1" applyProtection="1">
      <alignment vertical="center"/>
    </xf>
    <xf numFmtId="189" fontId="29" fillId="0" borderId="135" xfId="0" applyNumberFormat="1" applyFont="1" applyFill="1" applyBorder="1" applyProtection="1">
      <alignment vertical="center"/>
    </xf>
    <xf numFmtId="188" fontId="29" fillId="0" borderId="136" xfId="0" applyNumberFormat="1" applyFont="1" applyBorder="1" applyAlignment="1" applyProtection="1">
      <alignment horizontal="center" vertical="center"/>
    </xf>
    <xf numFmtId="0" fontId="0" fillId="0" borderId="137" xfId="0" applyBorder="1" applyProtection="1">
      <alignment vertical="center"/>
    </xf>
    <xf numFmtId="0" fontId="0" fillId="0" borderId="93" xfId="0" applyBorder="1" applyProtection="1">
      <alignment vertical="center"/>
    </xf>
    <xf numFmtId="189" fontId="29" fillId="8" borderId="137" xfId="0" applyNumberFormat="1" applyFont="1" applyFill="1" applyBorder="1" applyProtection="1">
      <alignment vertical="center"/>
    </xf>
    <xf numFmtId="0" fontId="31" fillId="0" borderId="13" xfId="0" applyFont="1" applyBorder="1" applyProtection="1">
      <alignment vertical="center"/>
    </xf>
    <xf numFmtId="0" fontId="31" fillId="0" borderId="0" xfId="0" applyFont="1" applyProtection="1">
      <alignment vertical="center"/>
    </xf>
    <xf numFmtId="0" fontId="29" fillId="0" borderId="138" xfId="0" applyFont="1" applyBorder="1" applyProtection="1">
      <alignment vertical="center"/>
    </xf>
    <xf numFmtId="188" fontId="35" fillId="0" borderId="69" xfId="0" applyNumberFormat="1" applyFont="1" applyBorder="1" applyProtection="1">
      <alignment vertical="center"/>
    </xf>
    <xf numFmtId="189" fontId="31" fillId="0" borderId="138" xfId="0" applyNumberFormat="1" applyFont="1" applyFill="1" applyBorder="1" applyProtection="1">
      <alignment vertical="center"/>
    </xf>
    <xf numFmtId="0" fontId="0" fillId="0" borderId="138" xfId="0" applyBorder="1" applyProtection="1">
      <alignment vertical="center"/>
    </xf>
    <xf numFmtId="0" fontId="0" fillId="0" borderId="69" xfId="0" applyBorder="1" applyProtection="1">
      <alignment vertical="center"/>
    </xf>
    <xf numFmtId="189" fontId="31" fillId="8" borderId="138" xfId="0" applyNumberFormat="1" applyFont="1" applyFill="1" applyBorder="1" applyProtection="1">
      <alignment vertical="center"/>
    </xf>
    <xf numFmtId="0" fontId="38" fillId="0" borderId="49" xfId="0" applyFont="1" applyBorder="1" applyProtection="1">
      <alignment vertical="center"/>
    </xf>
    <xf numFmtId="0" fontId="38" fillId="0" borderId="50" xfId="0" applyFont="1" applyBorder="1" applyProtection="1">
      <alignment vertical="center"/>
    </xf>
    <xf numFmtId="0" fontId="39" fillId="0" borderId="49" xfId="0" applyFont="1" applyBorder="1" applyProtection="1">
      <alignment vertical="center"/>
    </xf>
    <xf numFmtId="0" fontId="39" fillId="0" borderId="51" xfId="0" applyFont="1" applyBorder="1" applyProtection="1">
      <alignment vertical="center"/>
    </xf>
    <xf numFmtId="188" fontId="40" fillId="0" borderId="49" xfId="0" applyNumberFormat="1" applyFont="1" applyBorder="1" applyProtection="1">
      <alignment vertical="center"/>
    </xf>
    <xf numFmtId="188" fontId="30" fillId="8" borderId="51" xfId="0" applyNumberFormat="1" applyFont="1" applyFill="1" applyBorder="1" applyProtection="1">
      <alignment vertical="center"/>
    </xf>
    <xf numFmtId="188" fontId="29" fillId="0" borderId="49" xfId="0" applyNumberFormat="1" applyFont="1" applyBorder="1" applyProtection="1">
      <alignment vertical="center"/>
    </xf>
    <xf numFmtId="0" fontId="0" fillId="0" borderId="51" xfId="0" applyBorder="1" applyProtection="1">
      <alignment vertical="center"/>
    </xf>
    <xf numFmtId="0" fontId="0" fillId="0" borderId="49" xfId="0" applyBorder="1" applyProtection="1">
      <alignment vertical="center"/>
    </xf>
    <xf numFmtId="188" fontId="35" fillId="0" borderId="0" xfId="0" applyNumberFormat="1" applyFont="1" applyProtection="1">
      <alignment vertical="center"/>
    </xf>
    <xf numFmtId="189" fontId="29" fillId="0" borderId="0" xfId="0" applyNumberFormat="1" applyFont="1" applyProtection="1">
      <alignment vertical="center"/>
    </xf>
    <xf numFmtId="0" fontId="38" fillId="0" borderId="0" xfId="0" applyFont="1" applyProtection="1">
      <alignment vertical="center"/>
    </xf>
    <xf numFmtId="188" fontId="37" fillId="0" borderId="0" xfId="0" applyNumberFormat="1" applyFont="1" applyProtection="1">
      <alignment vertical="center"/>
    </xf>
    <xf numFmtId="188" fontId="41" fillId="0" borderId="0" xfId="0" applyNumberFormat="1" applyFont="1" applyAlignment="1" applyProtection="1">
      <alignment horizontal="center" vertical="center"/>
    </xf>
    <xf numFmtId="189" fontId="41" fillId="0" borderId="0" xfId="0" applyNumberFormat="1" applyFont="1" applyAlignment="1" applyProtection="1">
      <alignment horizontal="center" vertical="center"/>
    </xf>
    <xf numFmtId="0" fontId="30" fillId="0" borderId="49" xfId="0" applyFont="1" applyBorder="1" applyProtection="1">
      <alignment vertical="center"/>
    </xf>
    <xf numFmtId="0" fontId="30" fillId="0" borderId="50" xfId="0" applyFont="1" applyBorder="1" applyProtection="1">
      <alignment vertical="center"/>
    </xf>
    <xf numFmtId="0" fontId="39" fillId="0" borderId="50" xfId="0" applyFont="1" applyBorder="1" applyProtection="1">
      <alignment vertical="center"/>
    </xf>
    <xf numFmtId="188" fontId="29" fillId="0" borderId="51" xfId="0" applyNumberFormat="1" applyFont="1" applyBorder="1" applyProtection="1">
      <alignment vertical="center"/>
    </xf>
    <xf numFmtId="190" fontId="35" fillId="6" borderId="49" xfId="0" applyNumberFormat="1" applyFont="1" applyFill="1" applyBorder="1" applyProtection="1">
      <alignment vertical="center"/>
    </xf>
    <xf numFmtId="188" fontId="38" fillId="8" borderId="51" xfId="0" applyNumberFormat="1" applyFont="1" applyFill="1" applyBorder="1" applyProtection="1">
      <alignment vertical="center"/>
    </xf>
    <xf numFmtId="0" fontId="30" fillId="0" borderId="99" xfId="0" applyFont="1" applyBorder="1" applyProtection="1">
      <alignment vertical="center"/>
    </xf>
    <xf numFmtId="0" fontId="30" fillId="0" borderId="139" xfId="0" applyFont="1" applyBorder="1" applyProtection="1">
      <alignment vertical="center"/>
    </xf>
    <xf numFmtId="0" fontId="39" fillId="0" borderId="139" xfId="0" applyFont="1" applyBorder="1" applyProtection="1">
      <alignment vertical="center"/>
    </xf>
    <xf numFmtId="188" fontId="29" fillId="0" borderId="84" xfId="0" applyNumberFormat="1" applyFont="1" applyBorder="1" applyProtection="1">
      <alignment vertical="center"/>
    </xf>
    <xf numFmtId="190" fontId="35" fillId="6" borderId="99" xfId="0" applyNumberFormat="1" applyFont="1" applyFill="1" applyBorder="1" applyProtection="1">
      <alignment vertical="center"/>
    </xf>
    <xf numFmtId="188" fontId="38" fillId="8" borderId="84" xfId="0" applyNumberFormat="1" applyFont="1" applyFill="1" applyBorder="1" applyProtection="1">
      <alignment vertical="center"/>
    </xf>
    <xf numFmtId="38" fontId="38" fillId="0" borderId="50" xfId="1" applyFont="1" applyBorder="1" applyProtection="1">
      <alignment vertical="center"/>
    </xf>
    <xf numFmtId="188" fontId="39" fillId="0" borderId="50" xfId="0" applyNumberFormat="1" applyFont="1" applyBorder="1" applyProtection="1">
      <alignment vertical="center"/>
    </xf>
    <xf numFmtId="188" fontId="29" fillId="0" borderId="50" xfId="0" applyNumberFormat="1" applyFont="1" applyBorder="1" applyProtection="1">
      <alignment vertical="center"/>
    </xf>
    <xf numFmtId="0" fontId="30" fillId="0" borderId="140" xfId="0" applyFont="1" applyBorder="1" applyProtection="1">
      <alignment vertical="center"/>
    </xf>
    <xf numFmtId="38" fontId="30" fillId="0" borderId="141" xfId="1" applyFont="1" applyBorder="1" applyProtection="1">
      <alignment vertical="center"/>
    </xf>
    <xf numFmtId="0" fontId="30" fillId="0" borderId="141" xfId="0" applyFont="1" applyBorder="1" applyProtection="1">
      <alignment vertical="center"/>
    </xf>
    <xf numFmtId="0" fontId="39" fillId="0" borderId="141" xfId="0" applyFont="1" applyBorder="1" applyProtection="1">
      <alignment vertical="center"/>
    </xf>
    <xf numFmtId="188" fontId="39" fillId="0" borderId="141" xfId="0" applyNumberFormat="1" applyFont="1" applyBorder="1" applyProtection="1">
      <alignment vertical="center"/>
    </xf>
    <xf numFmtId="188" fontId="29" fillId="0" borderId="141" xfId="0" applyNumberFormat="1" applyFont="1" applyBorder="1" applyProtection="1">
      <alignment vertical="center"/>
    </xf>
    <xf numFmtId="0" fontId="42" fillId="0" borderId="99" xfId="0" applyFont="1" applyBorder="1" applyProtection="1">
      <alignment vertical="center"/>
    </xf>
    <xf numFmtId="0" fontId="30" fillId="0" borderId="139" xfId="0" applyFont="1" applyBorder="1" applyAlignment="1" applyProtection="1">
      <alignment horizontal="center" vertical="center"/>
    </xf>
    <xf numFmtId="0" fontId="42" fillId="0" borderId="139" xfId="0" applyFont="1" applyBorder="1" applyProtection="1">
      <alignment vertical="center"/>
    </xf>
    <xf numFmtId="188" fontId="42" fillId="0" borderId="139" xfId="0" applyNumberFormat="1" applyFont="1" applyBorder="1" applyProtection="1">
      <alignment vertical="center"/>
    </xf>
    <xf numFmtId="188" fontId="30" fillId="10" borderId="31" xfId="0" applyNumberFormat="1" applyFont="1" applyFill="1" applyBorder="1" applyProtection="1">
      <alignment vertical="center"/>
      <protection locked="0"/>
    </xf>
    <xf numFmtId="185" fontId="16" fillId="2" borderId="90" xfId="0" applyNumberFormat="1" applyFont="1" applyFill="1" applyBorder="1" applyAlignment="1" applyProtection="1">
      <alignment vertical="center" shrinkToFit="1"/>
      <protection locked="0"/>
    </xf>
    <xf numFmtId="185" fontId="16" fillId="2" borderId="96" xfId="0" applyNumberFormat="1" applyFont="1" applyFill="1" applyBorder="1" applyAlignment="1" applyProtection="1">
      <alignment vertical="center" shrinkToFit="1"/>
      <protection locked="0"/>
    </xf>
    <xf numFmtId="0" fontId="0" fillId="2" borderId="31" xfId="0" applyFill="1" applyBorder="1" applyAlignment="1" applyProtection="1">
      <alignment horizontal="center" vertical="center"/>
      <protection locked="0"/>
    </xf>
    <xf numFmtId="179" fontId="0" fillId="2" borderId="31" xfId="0" applyNumberFormat="1" applyFill="1" applyBorder="1" applyAlignment="1" applyProtection="1">
      <alignment horizontal="center" vertical="center"/>
      <protection locked="0"/>
    </xf>
    <xf numFmtId="179" fontId="0" fillId="7" borderId="31" xfId="0" applyNumberFormat="1" applyFill="1" applyBorder="1" applyAlignment="1" applyProtection="1">
      <alignment horizontal="center" vertical="center"/>
      <protection locked="0"/>
    </xf>
    <xf numFmtId="0" fontId="0" fillId="2" borderId="31" xfId="0" applyFill="1" applyBorder="1" applyProtection="1">
      <alignment vertical="center"/>
      <protection locked="0"/>
    </xf>
    <xf numFmtId="0" fontId="0" fillId="7" borderId="31" xfId="0" applyFill="1" applyBorder="1" applyAlignment="1" applyProtection="1">
      <alignment horizontal="center" vertical="center"/>
      <protection locked="0"/>
    </xf>
    <xf numFmtId="181" fontId="0" fillId="2" borderId="31" xfId="0" applyNumberFormat="1" applyFill="1" applyBorder="1" applyProtection="1">
      <alignment vertical="center"/>
      <protection locked="0"/>
    </xf>
    <xf numFmtId="0" fontId="50" fillId="0" borderId="0" xfId="0" applyFont="1">
      <alignment vertical="center"/>
    </xf>
    <xf numFmtId="0" fontId="51" fillId="0" borderId="0" xfId="0" applyFont="1">
      <alignment vertical="center"/>
    </xf>
    <xf numFmtId="0" fontId="23" fillId="0" borderId="31" xfId="0" applyFont="1" applyBorder="1" applyAlignment="1">
      <alignment horizontal="center" vertical="center"/>
    </xf>
    <xf numFmtId="0" fontId="0" fillId="9" borderId="51" xfId="0" applyFill="1" applyBorder="1">
      <alignment vertical="center"/>
    </xf>
    <xf numFmtId="0" fontId="0" fillId="9" borderId="50" xfId="0" applyFill="1" applyBorder="1">
      <alignment vertical="center"/>
    </xf>
    <xf numFmtId="0" fontId="21" fillId="9" borderId="50" xfId="0" applyFont="1" applyFill="1" applyBorder="1">
      <alignment vertical="center"/>
    </xf>
    <xf numFmtId="0" fontId="24" fillId="9" borderId="49" xfId="0" applyFont="1" applyFill="1" applyBorder="1">
      <alignment vertical="center"/>
    </xf>
    <xf numFmtId="0" fontId="51" fillId="0" borderId="0" xfId="0" applyFont="1" applyAlignment="1">
      <alignment vertical="center" wrapText="1"/>
    </xf>
    <xf numFmtId="0" fontId="52" fillId="0" borderId="0" xfId="0" applyFont="1">
      <alignment vertical="center"/>
    </xf>
    <xf numFmtId="0" fontId="54" fillId="0" borderId="0" xfId="0" applyFont="1">
      <alignment vertical="center"/>
    </xf>
    <xf numFmtId="0" fontId="51" fillId="0" borderId="7" xfId="0" applyFont="1" applyBorder="1" applyAlignment="1">
      <alignment horizontal="centerContinuous" vertical="center"/>
    </xf>
    <xf numFmtId="0" fontId="51" fillId="0" borderId="5" xfId="0" applyFont="1" applyBorder="1" applyAlignment="1">
      <alignment horizontal="centerContinuous" vertical="center"/>
    </xf>
    <xf numFmtId="0" fontId="10" fillId="0" borderId="0" xfId="0" applyFont="1">
      <alignment vertical="center"/>
    </xf>
    <xf numFmtId="0" fontId="56" fillId="0" borderId="0" xfId="2" applyFont="1">
      <alignment vertical="center"/>
    </xf>
    <xf numFmtId="0" fontId="56" fillId="0" borderId="0" xfId="2" applyFont="1" applyAlignment="1">
      <alignment horizontal="left" vertical="center"/>
    </xf>
    <xf numFmtId="0" fontId="57" fillId="0" borderId="0" xfId="2" applyFont="1" applyAlignment="1">
      <alignment horizontal="left" vertical="center"/>
    </xf>
    <xf numFmtId="0" fontId="56" fillId="0" borderId="0" xfId="2" applyFont="1" applyAlignment="1">
      <alignment horizontal="left" vertical="center" wrapText="1"/>
    </xf>
    <xf numFmtId="0" fontId="56" fillId="0" borderId="0" xfId="2" applyFont="1" applyAlignment="1">
      <alignment horizontal="center" vertical="center" wrapText="1"/>
    </xf>
    <xf numFmtId="0" fontId="56" fillId="0" borderId="0" xfId="2" applyFont="1" applyAlignment="1">
      <alignment horizontal="distributed" vertical="center"/>
    </xf>
    <xf numFmtId="0" fontId="56" fillId="0" borderId="149" xfId="2" applyFont="1" applyBorder="1">
      <alignment vertical="center"/>
    </xf>
    <xf numFmtId="0" fontId="56" fillId="0" borderId="150" xfId="2" applyFont="1" applyBorder="1">
      <alignment vertical="center"/>
    </xf>
    <xf numFmtId="0" fontId="56" fillId="0" borderId="152" xfId="2" applyFont="1" applyBorder="1">
      <alignment vertical="center"/>
    </xf>
    <xf numFmtId="0" fontId="7" fillId="0" borderId="0" xfId="2">
      <alignment vertical="center"/>
    </xf>
    <xf numFmtId="0" fontId="56" fillId="0" borderId="155" xfId="2" applyFont="1" applyBorder="1">
      <alignment vertical="center"/>
    </xf>
    <xf numFmtId="0" fontId="56" fillId="0" borderId="138" xfId="2" applyFont="1" applyBorder="1">
      <alignment vertical="center"/>
    </xf>
    <xf numFmtId="0" fontId="59" fillId="0" borderId="0" xfId="2" applyFont="1" applyAlignment="1">
      <alignment horizontal="right" vertical="center" wrapText="1"/>
    </xf>
    <xf numFmtId="0" fontId="59" fillId="0" borderId="0" xfId="2" applyFont="1" applyAlignment="1">
      <alignment horizontal="center" vertical="center" wrapText="1"/>
    </xf>
    <xf numFmtId="0" fontId="60" fillId="0" borderId="0" xfId="2" applyFont="1">
      <alignment vertical="center"/>
    </xf>
    <xf numFmtId="0" fontId="59" fillId="0" borderId="0" xfId="2" applyFont="1">
      <alignment vertical="center"/>
    </xf>
    <xf numFmtId="0" fontId="57" fillId="0" borderId="0" xfId="2" applyFont="1" applyAlignment="1">
      <alignment horizontal="center" vertical="center"/>
    </xf>
    <xf numFmtId="0" fontId="56" fillId="9" borderId="0" xfId="2" applyFont="1" applyFill="1" applyAlignment="1">
      <alignment horizontal="right" vertical="center"/>
    </xf>
    <xf numFmtId="0" fontId="57" fillId="9" borderId="0" xfId="2" applyFont="1" applyFill="1">
      <alignment vertical="center"/>
    </xf>
    <xf numFmtId="0" fontId="57" fillId="9" borderId="0" xfId="2" applyFont="1" applyFill="1" applyAlignment="1">
      <alignment horizontal="center" vertical="center"/>
    </xf>
    <xf numFmtId="0" fontId="59" fillId="0" borderId="57" xfId="2" applyFont="1" applyBorder="1" applyAlignment="1">
      <alignment vertical="center" wrapText="1"/>
    </xf>
    <xf numFmtId="0" fontId="59" fillId="0" borderId="53" xfId="2" applyFont="1" applyBorder="1" applyAlignment="1">
      <alignment vertical="center" wrapText="1"/>
    </xf>
    <xf numFmtId="0" fontId="56" fillId="0" borderId="53" xfId="2" applyFont="1" applyBorder="1">
      <alignment vertical="center"/>
    </xf>
    <xf numFmtId="0" fontId="59" fillId="0" borderId="0" xfId="2" applyFont="1" applyAlignment="1">
      <alignment horizontal="right" vertical="center"/>
    </xf>
    <xf numFmtId="0" fontId="57" fillId="0" borderId="0" xfId="2" applyFont="1" applyAlignment="1">
      <alignment vertical="top"/>
    </xf>
    <xf numFmtId="0" fontId="57" fillId="0" borderId="0" xfId="2" applyFont="1" applyAlignment="1">
      <alignment horizontal="left" vertical="top"/>
    </xf>
    <xf numFmtId="0" fontId="57" fillId="0" borderId="0" xfId="2" applyFont="1" applyAlignment="1">
      <alignment vertical="top" wrapText="1"/>
    </xf>
    <xf numFmtId="0" fontId="59" fillId="0" borderId="0" xfId="2" applyFont="1" applyAlignment="1">
      <alignment horizontal="center" vertical="center"/>
    </xf>
    <xf numFmtId="0" fontId="59" fillId="0" borderId="0" xfId="2" applyFont="1" applyAlignment="1">
      <alignment horizontal="left" vertical="center"/>
    </xf>
    <xf numFmtId="0" fontId="59" fillId="0" borderId="0" xfId="2" applyFont="1" applyAlignment="1">
      <alignment vertical="center" wrapText="1"/>
    </xf>
    <xf numFmtId="0" fontId="56" fillId="0" borderId="0" xfId="2" applyFont="1" applyAlignment="1">
      <alignment vertical="center" wrapText="1"/>
    </xf>
    <xf numFmtId="49" fontId="59" fillId="0" borderId="0" xfId="2" applyNumberFormat="1" applyFont="1" applyAlignment="1">
      <alignment vertical="center" shrinkToFit="1"/>
    </xf>
    <xf numFmtId="0" fontId="62" fillId="0" borderId="0" xfId="2" applyFont="1">
      <alignment vertical="center"/>
    </xf>
    <xf numFmtId="0" fontId="57" fillId="0" borderId="0" xfId="2" applyFont="1">
      <alignment vertical="center"/>
    </xf>
    <xf numFmtId="0" fontId="56" fillId="0" borderId="161" xfId="2" applyFont="1" applyBorder="1" applyAlignment="1">
      <alignment horizontal="right" vertical="center"/>
    </xf>
    <xf numFmtId="0" fontId="62" fillId="0" borderId="0" xfId="2" applyFont="1" applyAlignment="1">
      <alignment horizontal="left" vertical="center"/>
    </xf>
    <xf numFmtId="0" fontId="56" fillId="0" borderId="53" xfId="2" applyFont="1" applyBorder="1" applyAlignment="1">
      <alignment horizontal="distributed" vertical="center"/>
    </xf>
    <xf numFmtId="0" fontId="56" fillId="0" borderId="0" xfId="2" applyFont="1" applyAlignment="1">
      <alignment horizontal="right" vertical="center"/>
    </xf>
    <xf numFmtId="58" fontId="56" fillId="0" borderId="139" xfId="2" applyNumberFormat="1" applyFont="1" applyBorder="1">
      <alignment vertical="center"/>
    </xf>
    <xf numFmtId="0" fontId="63" fillId="0" borderId="0" xfId="2" applyFont="1" applyAlignment="1">
      <alignment horizontal="center" vertical="center"/>
    </xf>
    <xf numFmtId="0" fontId="63" fillId="0" borderId="0" xfId="2" applyFont="1" applyAlignment="1">
      <alignment horizontal="left" vertical="center"/>
    </xf>
    <xf numFmtId="49" fontId="64" fillId="0" borderId="0" xfId="2" applyNumberFormat="1" applyFont="1">
      <alignment vertical="center"/>
    </xf>
    <xf numFmtId="0" fontId="64" fillId="0" borderId="0" xfId="2" applyFont="1">
      <alignment vertical="center"/>
    </xf>
    <xf numFmtId="0" fontId="66" fillId="0" borderId="0" xfId="2" applyFont="1">
      <alignment vertical="center"/>
    </xf>
    <xf numFmtId="0" fontId="57" fillId="0" borderId="8" xfId="2" applyFont="1" applyBorder="1" applyAlignment="1">
      <alignment horizontal="center" vertical="center" wrapText="1"/>
    </xf>
    <xf numFmtId="0" fontId="57" fillId="0" borderId="12" xfId="2" applyFont="1" applyBorder="1" applyAlignment="1">
      <alignment horizontal="center" vertical="center" wrapText="1"/>
    </xf>
    <xf numFmtId="0" fontId="59" fillId="0" borderId="172" xfId="2" applyFont="1" applyBorder="1">
      <alignment vertical="center"/>
    </xf>
    <xf numFmtId="0" fontId="59" fillId="0" borderId="173" xfId="2" applyFont="1" applyBorder="1">
      <alignment vertical="center"/>
    </xf>
    <xf numFmtId="0" fontId="59" fillId="0" borderId="139" xfId="2" applyFont="1" applyBorder="1">
      <alignment vertical="center"/>
    </xf>
    <xf numFmtId="0" fontId="62" fillId="0" borderId="139" xfId="2" applyFont="1" applyBorder="1">
      <alignment vertical="center"/>
    </xf>
    <xf numFmtId="0" fontId="59" fillId="0" borderId="175" xfId="2" applyFont="1" applyBorder="1">
      <alignment vertical="center"/>
    </xf>
    <xf numFmtId="0" fontId="59" fillId="0" borderId="2" xfId="2" applyFont="1" applyBorder="1">
      <alignment vertical="center"/>
    </xf>
    <xf numFmtId="0" fontId="62" fillId="0" borderId="62" xfId="2" applyFont="1" applyBorder="1" applyAlignment="1">
      <alignment horizontal="left" vertical="center"/>
    </xf>
    <xf numFmtId="0" fontId="59" fillId="0" borderId="176" xfId="2" applyFont="1" applyBorder="1">
      <alignment vertical="center"/>
    </xf>
    <xf numFmtId="0" fontId="59" fillId="0" borderId="53" xfId="2" applyFont="1" applyBorder="1">
      <alignment vertical="center"/>
    </xf>
    <xf numFmtId="0" fontId="59" fillId="0" borderId="10" xfId="2" applyFont="1" applyBorder="1">
      <alignment vertical="center"/>
    </xf>
    <xf numFmtId="0" fontId="56" fillId="0" borderId="0" xfId="2" applyFont="1" applyAlignment="1">
      <alignment horizontal="distributed" vertical="center" wrapText="1"/>
    </xf>
    <xf numFmtId="0" fontId="59" fillId="0" borderId="148" xfId="2" applyFont="1" applyBorder="1">
      <alignment vertical="center"/>
    </xf>
    <xf numFmtId="0" fontId="59" fillId="0" borderId="51" xfId="2" applyFont="1" applyBorder="1">
      <alignment vertical="center"/>
    </xf>
    <xf numFmtId="0" fontId="56" fillId="0" borderId="50" xfId="2" applyFont="1" applyBorder="1">
      <alignment vertical="center"/>
    </xf>
    <xf numFmtId="0" fontId="56" fillId="0" borderId="49" xfId="2" applyFont="1" applyBorder="1">
      <alignment vertical="center"/>
    </xf>
    <xf numFmtId="0" fontId="67" fillId="0" borderId="0" xfId="2" applyFont="1">
      <alignment vertical="center"/>
    </xf>
    <xf numFmtId="0" fontId="68" fillId="0" borderId="0" xfId="2" applyFont="1">
      <alignment vertical="center"/>
    </xf>
    <xf numFmtId="0" fontId="59" fillId="0" borderId="100" xfId="2" applyFont="1" applyBorder="1">
      <alignment vertical="center"/>
    </xf>
    <xf numFmtId="0" fontId="67" fillId="0" borderId="82" xfId="2" applyFont="1" applyBorder="1">
      <alignment vertical="center"/>
    </xf>
    <xf numFmtId="0" fontId="67" fillId="0" borderId="14" xfId="2" applyFont="1" applyBorder="1">
      <alignment vertical="center"/>
    </xf>
    <xf numFmtId="0" fontId="59" fillId="0" borderId="6" xfId="2" applyFont="1" applyBorder="1">
      <alignment vertical="center"/>
    </xf>
    <xf numFmtId="0" fontId="59" fillId="0" borderId="57" xfId="2" applyFont="1" applyBorder="1" applyAlignment="1">
      <alignment horizontal="right" vertical="center"/>
    </xf>
    <xf numFmtId="0" fontId="7" fillId="0" borderId="0" xfId="2" applyAlignment="1">
      <alignment vertical="center" wrapText="1"/>
    </xf>
    <xf numFmtId="0" fontId="59" fillId="0" borderId="84" xfId="2" applyFont="1" applyBorder="1">
      <alignment vertical="center"/>
    </xf>
    <xf numFmtId="0" fontId="59" fillId="0" borderId="146" xfId="2" applyFont="1" applyBorder="1">
      <alignment vertical="center"/>
    </xf>
    <xf numFmtId="0" fontId="7" fillId="0" borderId="152" xfId="2" applyBorder="1">
      <alignment vertical="center"/>
    </xf>
    <xf numFmtId="0" fontId="57" fillId="0" borderId="0" xfId="2" applyFont="1" applyAlignment="1">
      <alignment vertical="center" wrapText="1"/>
    </xf>
    <xf numFmtId="0" fontId="7" fillId="0" borderId="149" xfId="2" applyBorder="1">
      <alignment vertical="center"/>
    </xf>
    <xf numFmtId="0" fontId="69" fillId="11" borderId="51" xfId="2" applyFont="1" applyFill="1" applyBorder="1">
      <alignment vertical="center"/>
    </xf>
    <xf numFmtId="0" fontId="59" fillId="0" borderId="50" xfId="2" applyFont="1" applyBorder="1">
      <alignment vertical="center"/>
    </xf>
    <xf numFmtId="0" fontId="56" fillId="0" borderId="0" xfId="2" applyFont="1" applyAlignment="1">
      <alignment vertical="center" shrinkToFit="1"/>
    </xf>
    <xf numFmtId="0" fontId="59" fillId="0" borderId="0" xfId="2" applyFont="1" applyAlignment="1">
      <alignment horizontal="distributed" vertical="center"/>
    </xf>
    <xf numFmtId="0" fontId="71" fillId="0" borderId="0" xfId="2" applyFont="1" applyAlignment="1">
      <alignment horizontal="center" vertical="center"/>
    </xf>
    <xf numFmtId="0" fontId="62" fillId="0" borderId="0" xfId="2" applyFont="1" applyAlignment="1">
      <alignment horizontal="left" vertical="top"/>
    </xf>
    <xf numFmtId="0" fontId="59" fillId="0" borderId="6" xfId="2" applyFont="1" applyBorder="1" applyAlignment="1">
      <alignment horizontal="right" vertical="center"/>
    </xf>
    <xf numFmtId="192" fontId="56" fillId="0" borderId="8" xfId="2" applyNumberFormat="1" applyFont="1" applyBorder="1" applyProtection="1">
      <alignment vertical="center"/>
      <protection locked="0"/>
    </xf>
    <xf numFmtId="0" fontId="74" fillId="0" borderId="0" xfId="4" applyFont="1"/>
    <xf numFmtId="0" fontId="53" fillId="0" borderId="0" xfId="4" applyFont="1"/>
    <xf numFmtId="0" fontId="16" fillId="0" borderId="0" xfId="4" applyFont="1"/>
    <xf numFmtId="0" fontId="16" fillId="0" borderId="0" xfId="4" applyFont="1" applyAlignment="1">
      <alignment vertical="top"/>
    </xf>
    <xf numFmtId="0" fontId="75" fillId="0" borderId="0" xfId="4" applyFont="1"/>
    <xf numFmtId="0" fontId="76" fillId="0" borderId="0" xfId="4" applyFont="1"/>
    <xf numFmtId="0" fontId="77" fillId="0" borderId="0" xfId="4" applyFont="1" applyAlignment="1">
      <alignment vertical="top"/>
    </xf>
    <xf numFmtId="0" fontId="77" fillId="0" borderId="0" xfId="5" applyFont="1" applyAlignment="1">
      <alignment vertical="top"/>
    </xf>
    <xf numFmtId="0" fontId="77" fillId="0" borderId="0" xfId="4" applyFont="1"/>
    <xf numFmtId="0" fontId="77" fillId="0" borderId="0" xfId="4" applyFont="1" applyAlignment="1">
      <alignment horizontal="left" vertical="top"/>
    </xf>
    <xf numFmtId="0" fontId="77" fillId="0" borderId="0" xfId="4" applyFont="1" applyAlignment="1">
      <alignment vertical="top" wrapText="1"/>
    </xf>
    <xf numFmtId="0" fontId="77" fillId="0" borderId="0" xfId="4" applyFont="1" applyAlignment="1">
      <alignment horizontal="left" vertical="top" wrapText="1"/>
    </xf>
    <xf numFmtId="176" fontId="77" fillId="0" borderId="0" xfId="6" applyNumberFormat="1" applyFont="1" applyAlignment="1">
      <alignment vertical="top" shrinkToFit="1"/>
    </xf>
    <xf numFmtId="176" fontId="77" fillId="9" borderId="0" xfId="6" applyNumberFormat="1" applyFont="1" applyFill="1" applyAlignment="1">
      <alignment vertical="center" wrapText="1" shrinkToFit="1"/>
    </xf>
    <xf numFmtId="0" fontId="77" fillId="0" borderId="0" xfId="6" applyFont="1" applyAlignment="1">
      <alignment vertical="top" shrinkToFit="1"/>
    </xf>
    <xf numFmtId="0" fontId="77" fillId="0" borderId="0" xfId="6" applyFont="1" applyAlignment="1">
      <alignment horizontal="left" vertical="top" shrinkToFit="1"/>
    </xf>
    <xf numFmtId="0" fontId="77" fillId="0" borderId="0" xfId="6" applyFont="1" applyAlignment="1">
      <alignment horizontal="left" vertical="top" wrapText="1" shrinkToFit="1"/>
    </xf>
    <xf numFmtId="0" fontId="77" fillId="0" borderId="0" xfId="6" applyFont="1" applyAlignment="1">
      <alignment vertical="top" wrapText="1" shrinkToFit="1"/>
    </xf>
    <xf numFmtId="0" fontId="79" fillId="0" borderId="0" xfId="4" applyFont="1"/>
    <xf numFmtId="0" fontId="80" fillId="0" borderId="0" xfId="4" applyFont="1" applyAlignment="1">
      <alignment horizontal="left" vertical="top"/>
    </xf>
    <xf numFmtId="193" fontId="77" fillId="0" borderId="0" xfId="4" applyNumberFormat="1" applyFont="1" applyAlignment="1">
      <alignment vertical="top"/>
    </xf>
    <xf numFmtId="0" fontId="80" fillId="0" borderId="0" xfId="4" applyFont="1" applyAlignment="1">
      <alignment vertical="top"/>
    </xf>
    <xf numFmtId="0" fontId="80" fillId="0" borderId="0" xfId="4" applyFont="1" applyAlignment="1">
      <alignment horizontal="center" vertical="top"/>
    </xf>
    <xf numFmtId="0" fontId="81" fillId="11" borderId="51" xfId="2" applyFont="1" applyFill="1" applyBorder="1" applyAlignment="1">
      <alignment horizontal="center" vertical="center"/>
    </xf>
    <xf numFmtId="0" fontId="81" fillId="11" borderId="31" xfId="2" applyFont="1" applyFill="1" applyBorder="1" applyAlignment="1">
      <alignment horizontal="center" vertical="center"/>
    </xf>
    <xf numFmtId="194" fontId="82" fillId="8" borderId="8" xfId="4" applyNumberFormat="1" applyFont="1" applyFill="1" applyBorder="1" applyAlignment="1">
      <alignment horizontal="center" vertical="center"/>
    </xf>
    <xf numFmtId="0" fontId="83" fillId="0" borderId="0" xfId="4" applyFont="1"/>
    <xf numFmtId="176" fontId="75" fillId="0" borderId="0" xfId="6" applyNumberFormat="1" applyFont="1" applyAlignment="1">
      <alignment vertical="center" shrinkToFit="1"/>
    </xf>
    <xf numFmtId="38" fontId="77" fillId="8" borderId="156" xfId="6" applyNumberFormat="1" applyFont="1" applyFill="1" applyBorder="1" applyAlignment="1">
      <alignment vertical="center" shrinkToFit="1"/>
    </xf>
    <xf numFmtId="38" fontId="77" fillId="8" borderId="158" xfId="6" applyNumberFormat="1" applyFont="1" applyFill="1" applyBorder="1" applyAlignment="1">
      <alignment vertical="center" shrinkToFit="1"/>
    </xf>
    <xf numFmtId="38" fontId="77" fillId="8" borderId="163" xfId="6" applyNumberFormat="1" applyFont="1" applyFill="1" applyBorder="1" applyAlignment="1">
      <alignment vertical="center" shrinkToFit="1"/>
    </xf>
    <xf numFmtId="38" fontId="77" fillId="0" borderId="198" xfId="6" applyNumberFormat="1" applyFont="1" applyBorder="1" applyAlignment="1">
      <alignment vertical="center" shrinkToFit="1"/>
    </xf>
    <xf numFmtId="38" fontId="77" fillId="8" borderId="162" xfId="6" applyNumberFormat="1" applyFont="1" applyFill="1" applyBorder="1" applyAlignment="1">
      <alignment vertical="center" shrinkToFit="1"/>
    </xf>
    <xf numFmtId="0" fontId="77" fillId="0" borderId="5" xfId="6" applyFont="1" applyBorder="1" applyAlignment="1">
      <alignment vertical="center" shrinkToFit="1"/>
    </xf>
    <xf numFmtId="38" fontId="77" fillId="0" borderId="13" xfId="6" applyNumberFormat="1" applyFont="1" applyBorder="1" applyAlignment="1" applyProtection="1">
      <alignment vertical="center" shrinkToFit="1"/>
      <protection locked="0"/>
    </xf>
    <xf numFmtId="38" fontId="77" fillId="0" borderId="0" xfId="6" applyNumberFormat="1" applyFont="1" applyAlignment="1" applyProtection="1">
      <alignment vertical="center" shrinkToFit="1"/>
      <protection locked="0"/>
    </xf>
    <xf numFmtId="38" fontId="77" fillId="0" borderId="1" xfId="6" applyNumberFormat="1" applyFont="1" applyBorder="1" applyAlignment="1" applyProtection="1">
      <alignment vertical="center" shrinkToFit="1"/>
      <protection locked="0"/>
    </xf>
    <xf numFmtId="38" fontId="77" fillId="0" borderId="8" xfId="6" applyNumberFormat="1" applyFont="1" applyBorder="1" applyAlignment="1" applyProtection="1">
      <alignment vertical="center" shrinkToFit="1"/>
      <protection locked="0"/>
    </xf>
    <xf numFmtId="38" fontId="77" fillId="8" borderId="8" xfId="6" applyNumberFormat="1" applyFont="1" applyFill="1" applyBorder="1" applyAlignment="1">
      <alignment vertical="center" shrinkToFit="1"/>
    </xf>
    <xf numFmtId="38" fontId="77" fillId="0" borderId="69" xfId="6" applyNumberFormat="1" applyFont="1" applyBorder="1" applyAlignment="1" applyProtection="1">
      <alignment vertical="center" shrinkToFit="1"/>
      <protection locked="0"/>
    </xf>
    <xf numFmtId="38" fontId="77" fillId="0" borderId="90" xfId="6" applyNumberFormat="1" applyFont="1" applyBorder="1" applyAlignment="1" applyProtection="1">
      <alignment vertical="center" shrinkToFit="1"/>
      <protection locked="0"/>
    </xf>
    <xf numFmtId="0" fontId="77" fillId="0" borderId="205" xfId="6" applyFont="1" applyBorder="1" applyAlignment="1">
      <alignment vertical="center" shrinkToFit="1"/>
    </xf>
    <xf numFmtId="38" fontId="77" fillId="0" borderId="5" xfId="6" applyNumberFormat="1" applyFont="1" applyBorder="1" applyAlignment="1" applyProtection="1">
      <alignment vertical="center" shrinkToFit="1"/>
      <protection locked="0"/>
    </xf>
    <xf numFmtId="38" fontId="77" fillId="0" borderId="7" xfId="6" applyNumberFormat="1" applyFont="1" applyBorder="1" applyAlignment="1" applyProtection="1">
      <alignment vertical="center" shrinkToFit="1"/>
      <protection locked="0"/>
    </xf>
    <xf numFmtId="38" fontId="77" fillId="0" borderId="59" xfId="6" applyNumberFormat="1" applyFont="1" applyBorder="1" applyAlignment="1" applyProtection="1">
      <alignment vertical="center" shrinkToFit="1"/>
      <protection locked="0"/>
    </xf>
    <xf numFmtId="0" fontId="77" fillId="0" borderId="90" xfId="6" applyFont="1" applyBorder="1" applyAlignment="1">
      <alignment vertical="center" shrinkToFit="1"/>
    </xf>
    <xf numFmtId="0" fontId="77" fillId="0" borderId="8" xfId="6" applyFont="1" applyBorder="1" applyAlignment="1" applyProtection="1">
      <alignment horizontal="center" vertical="center" shrinkToFit="1"/>
      <protection locked="0"/>
    </xf>
    <xf numFmtId="38" fontId="77" fillId="0" borderId="9" xfId="6" applyNumberFormat="1" applyFont="1" applyBorder="1" applyAlignment="1" applyProtection="1">
      <alignment vertical="center" shrinkToFit="1"/>
      <protection locked="0"/>
    </xf>
    <xf numFmtId="38" fontId="77" fillId="0" borderId="10" xfId="6" applyNumberFormat="1" applyFont="1" applyBorder="1" applyAlignment="1" applyProtection="1">
      <alignment vertical="center" shrinkToFit="1"/>
      <protection locked="0"/>
    </xf>
    <xf numFmtId="38" fontId="77" fillId="0" borderId="58" xfId="6" applyNumberFormat="1" applyFont="1" applyBorder="1" applyAlignment="1" applyProtection="1">
      <alignment vertical="center" shrinkToFit="1"/>
      <protection locked="0"/>
    </xf>
    <xf numFmtId="0" fontId="77" fillId="0" borderId="9" xfId="6" applyFont="1" applyBorder="1" applyAlignment="1" applyProtection="1">
      <alignment horizontal="center" vertical="center" shrinkToFit="1"/>
      <protection locked="0"/>
    </xf>
    <xf numFmtId="0" fontId="77" fillId="0" borderId="70" xfId="6" applyFont="1" applyBorder="1" applyAlignment="1">
      <alignment vertical="center" shrinkToFit="1"/>
    </xf>
    <xf numFmtId="0" fontId="0" fillId="0" borderId="0" xfId="7" applyFont="1" applyAlignment="1">
      <alignment horizontal="center" vertical="center" wrapText="1" shrinkToFit="1"/>
    </xf>
    <xf numFmtId="197" fontId="85" fillId="9" borderId="1" xfId="6" applyNumberFormat="1" applyFont="1" applyFill="1" applyBorder="1" applyAlignment="1">
      <alignment horizontal="center" vertical="center" wrapText="1" shrinkToFit="1"/>
    </xf>
    <xf numFmtId="0" fontId="82"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87" fillId="9" borderId="91" xfId="4" applyFont="1" applyFill="1" applyBorder="1" applyAlignment="1">
      <alignment horizontal="center" vertical="center" wrapText="1"/>
    </xf>
    <xf numFmtId="0" fontId="87" fillId="9" borderId="5" xfId="4" applyFont="1" applyFill="1" applyBorder="1" applyAlignment="1">
      <alignment horizontal="center" vertical="center"/>
    </xf>
    <xf numFmtId="0" fontId="87" fillId="9" borderId="8" xfId="4" applyFont="1" applyFill="1" applyBorder="1" applyAlignment="1">
      <alignment horizontal="center" vertical="center"/>
    </xf>
    <xf numFmtId="0" fontId="87" fillId="9" borderId="59" xfId="4" applyFont="1" applyFill="1" applyBorder="1" applyAlignment="1">
      <alignment horizontal="center" vertical="center"/>
    </xf>
    <xf numFmtId="0" fontId="87" fillId="9" borderId="8" xfId="6" applyFont="1" applyFill="1" applyBorder="1" applyAlignment="1">
      <alignment horizontal="center" vertical="center"/>
    </xf>
    <xf numFmtId="0" fontId="87" fillId="9" borderId="5" xfId="6" applyFont="1" applyFill="1" applyBorder="1" applyAlignment="1">
      <alignment horizontal="center" vertical="center"/>
    </xf>
    <xf numFmtId="0" fontId="87" fillId="9" borderId="90" xfId="6" applyFont="1" applyFill="1" applyBorder="1" applyAlignment="1">
      <alignment horizontal="center" vertical="center"/>
    </xf>
    <xf numFmtId="0" fontId="88" fillId="0" borderId="0" xfId="4" applyFont="1"/>
    <xf numFmtId="0" fontId="87" fillId="0" borderId="0" xfId="6" applyFont="1" applyAlignment="1">
      <alignment horizontal="left" vertical="center"/>
    </xf>
    <xf numFmtId="0" fontId="88" fillId="0" borderId="138" xfId="4" applyFont="1" applyBorder="1" applyAlignment="1">
      <alignment horizontal="center" vertical="center"/>
    </xf>
    <xf numFmtId="0" fontId="88" fillId="0" borderId="0" xfId="4" applyFont="1" applyAlignment="1">
      <alignment horizontal="center" vertical="center"/>
    </xf>
    <xf numFmtId="0" fontId="89" fillId="0" borderId="138" xfId="4" applyFont="1" applyBorder="1" applyAlignment="1">
      <alignment horizontal="center" vertical="center"/>
    </xf>
    <xf numFmtId="0" fontId="89" fillId="0" borderId="0" xfId="4" applyFont="1" applyAlignment="1">
      <alignment horizontal="center" vertical="center"/>
    </xf>
    <xf numFmtId="0" fontId="74" fillId="0" borderId="0" xfId="4" applyFont="1" applyAlignment="1">
      <alignment horizontal="center" vertical="center"/>
    </xf>
    <xf numFmtId="0" fontId="91" fillId="0" borderId="0" xfId="4" applyFont="1" applyAlignment="1">
      <alignment vertical="top"/>
    </xf>
    <xf numFmtId="0" fontId="92" fillId="0" borderId="0" xfId="2" applyFont="1">
      <alignment vertical="center"/>
    </xf>
    <xf numFmtId="0" fontId="56" fillId="0" borderId="0" xfId="2" applyFont="1" applyAlignment="1">
      <alignment vertical="top"/>
    </xf>
    <xf numFmtId="0" fontId="56" fillId="0" borderId="0" xfId="2" applyFont="1" applyAlignment="1">
      <alignment vertical="top" wrapText="1"/>
    </xf>
    <xf numFmtId="38" fontId="56" fillId="8" borderId="161" xfId="3" applyFont="1" applyFill="1" applyBorder="1" applyAlignment="1" applyProtection="1">
      <alignment horizontal="right" vertical="center"/>
    </xf>
    <xf numFmtId="38" fontId="56" fillId="8" borderId="163" xfId="3" applyFont="1" applyFill="1" applyBorder="1" applyAlignment="1" applyProtection="1">
      <alignment horizontal="right" vertical="center"/>
    </xf>
    <xf numFmtId="38" fontId="56" fillId="0" borderId="61" xfId="3" applyFont="1" applyBorder="1" applyAlignment="1" applyProtection="1">
      <alignment horizontal="right" vertical="center"/>
    </xf>
    <xf numFmtId="38" fontId="56" fillId="0" borderId="9" xfId="3" applyFont="1" applyBorder="1" applyAlignment="1" applyProtection="1">
      <alignment horizontal="right" vertical="center"/>
    </xf>
    <xf numFmtId="0" fontId="56" fillId="0" borderId="9" xfId="2" applyFont="1" applyBorder="1" applyAlignment="1">
      <alignment horizontal="center" vertical="center"/>
    </xf>
    <xf numFmtId="0" fontId="56" fillId="0" borderId="70" xfId="2" applyFont="1" applyBorder="1" applyAlignment="1">
      <alignment horizontal="center" vertical="center"/>
    </xf>
    <xf numFmtId="0" fontId="56" fillId="0" borderId="49" xfId="2" applyFont="1" applyBorder="1" applyAlignment="1">
      <alignment horizontal="center" vertical="center"/>
    </xf>
    <xf numFmtId="0" fontId="7" fillId="0" borderId="0" xfId="2" applyAlignment="1">
      <alignment horizontal="left" vertical="top" wrapText="1"/>
    </xf>
    <xf numFmtId="0" fontId="62" fillId="0" borderId="0" xfId="2" applyFont="1" applyAlignment="1">
      <alignment horizontal="left" vertical="top" shrinkToFit="1"/>
    </xf>
    <xf numFmtId="0" fontId="56" fillId="9" borderId="0" xfId="2" applyFont="1" applyFill="1">
      <alignment vertical="center"/>
    </xf>
    <xf numFmtId="0" fontId="56" fillId="9" borderId="0" xfId="2" applyFont="1" applyFill="1" applyAlignment="1">
      <alignment horizontal="distributed" vertical="center"/>
    </xf>
    <xf numFmtId="0" fontId="62" fillId="9" borderId="0" xfId="2" applyFont="1" applyFill="1">
      <alignment vertical="center"/>
    </xf>
    <xf numFmtId="0" fontId="58" fillId="0" borderId="0" xfId="2" applyFont="1">
      <alignment vertical="center"/>
    </xf>
    <xf numFmtId="198" fontId="63" fillId="0" borderId="0" xfId="2" applyNumberFormat="1" applyFont="1" applyAlignment="1">
      <alignment horizontal="center" vertical="center"/>
    </xf>
    <xf numFmtId="0" fontId="94" fillId="9" borderId="0" xfId="2" applyFont="1" applyFill="1">
      <alignment vertical="center"/>
    </xf>
    <xf numFmtId="0" fontId="7" fillId="9" borderId="0" xfId="2" applyFill="1">
      <alignment vertical="center"/>
    </xf>
    <xf numFmtId="0" fontId="59" fillId="9" borderId="0" xfId="2" applyFont="1" applyFill="1">
      <alignment vertical="center"/>
    </xf>
    <xf numFmtId="0" fontId="95" fillId="9" borderId="0" xfId="2" applyFont="1" applyFill="1">
      <alignment vertical="center"/>
    </xf>
    <xf numFmtId="0" fontId="96" fillId="9" borderId="0" xfId="2" applyFont="1" applyFill="1">
      <alignment vertical="center"/>
    </xf>
    <xf numFmtId="0" fontId="97" fillId="9" borderId="0" xfId="2" applyFont="1" applyFill="1" applyAlignment="1">
      <alignment vertical="center" shrinkToFit="1"/>
    </xf>
    <xf numFmtId="0" fontId="98" fillId="9" borderId="0" xfId="2" applyFont="1" applyFill="1" applyAlignment="1">
      <alignment vertical="center" shrinkToFit="1"/>
    </xf>
    <xf numFmtId="0" fontId="98" fillId="9" borderId="0" xfId="2" applyFont="1" applyFill="1">
      <alignment vertical="center"/>
    </xf>
    <xf numFmtId="0" fontId="99" fillId="9" borderId="0" xfId="2" applyFont="1" applyFill="1">
      <alignment vertical="center"/>
    </xf>
    <xf numFmtId="0" fontId="100" fillId="9" borderId="0" xfId="2" applyFont="1" applyFill="1">
      <alignment vertical="center"/>
    </xf>
    <xf numFmtId="0" fontId="101" fillId="0" borderId="0" xfId="2" applyFont="1">
      <alignment vertical="center"/>
    </xf>
    <xf numFmtId="0" fontId="56" fillId="2" borderId="90" xfId="2" applyFont="1" applyFill="1" applyBorder="1" applyAlignment="1" applyProtection="1">
      <alignment horizontal="center" vertical="center" shrinkToFit="1"/>
      <protection locked="0"/>
    </xf>
    <xf numFmtId="0" fontId="56" fillId="2" borderId="8" xfId="2" applyFont="1" applyFill="1" applyBorder="1" applyAlignment="1" applyProtection="1">
      <alignment horizontal="center" vertical="center" shrinkToFit="1"/>
      <protection locked="0"/>
    </xf>
    <xf numFmtId="38" fontId="56" fillId="2" borderId="8" xfId="3" applyFont="1" applyFill="1" applyBorder="1" applyAlignment="1" applyProtection="1">
      <alignment horizontal="right" vertical="center" shrinkToFit="1"/>
      <protection locked="0"/>
    </xf>
    <xf numFmtId="38" fontId="56" fillId="2" borderId="60" xfId="3" applyFont="1" applyFill="1" applyBorder="1" applyAlignment="1" applyProtection="1">
      <alignment horizontal="right" vertical="center" shrinkToFit="1"/>
      <protection locked="0"/>
    </xf>
    <xf numFmtId="0" fontId="56" fillId="2" borderId="205" xfId="2" applyFont="1" applyFill="1" applyBorder="1" applyAlignment="1" applyProtection="1">
      <alignment horizontal="center" vertical="center" shrinkToFit="1"/>
      <protection locked="0"/>
    </xf>
    <xf numFmtId="0" fontId="56" fillId="2" borderId="1" xfId="2" applyFont="1" applyFill="1" applyBorder="1" applyAlignment="1" applyProtection="1">
      <alignment horizontal="center" vertical="center" shrinkToFit="1"/>
      <protection locked="0"/>
    </xf>
    <xf numFmtId="38" fontId="56" fillId="2" borderId="1" xfId="3" applyFont="1" applyFill="1" applyBorder="1" applyAlignment="1" applyProtection="1">
      <alignment horizontal="right" vertical="center" shrinkToFit="1"/>
      <protection locked="0"/>
    </xf>
    <xf numFmtId="38" fontId="56" fillId="2" borderId="132" xfId="3" applyFont="1" applyFill="1" applyBorder="1" applyAlignment="1" applyProtection="1">
      <alignment horizontal="right" vertical="center" shrinkToFit="1"/>
      <protection locked="0"/>
    </xf>
    <xf numFmtId="0" fontId="64" fillId="0" borderId="0" xfId="2" applyFont="1" applyAlignment="1">
      <alignment horizontal="left" vertical="center"/>
    </xf>
    <xf numFmtId="0" fontId="101" fillId="0" borderId="8" xfId="4" applyFont="1" applyBorder="1"/>
    <xf numFmtId="0" fontId="51" fillId="2" borderId="31" xfId="0" applyFont="1" applyFill="1" applyBorder="1" applyAlignment="1" applyProtection="1">
      <alignment horizontal="center" vertical="center"/>
      <protection locked="0"/>
    </xf>
    <xf numFmtId="0" fontId="51" fillId="2" borderId="31" xfId="0" applyFont="1" applyFill="1" applyBorder="1" applyAlignment="1" applyProtection="1">
      <alignment horizontal="center" vertical="center" shrinkToFit="1"/>
      <protection locked="0"/>
    </xf>
    <xf numFmtId="0" fontId="51" fillId="2" borderId="31" xfId="0" applyFont="1" applyFill="1" applyBorder="1" applyProtection="1">
      <alignment vertical="center"/>
      <protection locked="0"/>
    </xf>
    <xf numFmtId="0" fontId="53" fillId="2" borderId="31" xfId="0" applyFont="1" applyFill="1" applyBorder="1" applyProtection="1">
      <alignment vertical="center"/>
      <protection locked="0"/>
    </xf>
    <xf numFmtId="0" fontId="56" fillId="0" borderId="158" xfId="2" applyFont="1" applyBorder="1" applyAlignment="1" applyProtection="1">
      <alignment horizontal="right" vertical="center"/>
    </xf>
    <xf numFmtId="0" fontId="56" fillId="9" borderId="0" xfId="2" applyFont="1" applyFill="1" applyAlignment="1" applyProtection="1">
      <alignment horizontal="center" vertical="center" wrapText="1"/>
    </xf>
    <xf numFmtId="0" fontId="56" fillId="9" borderId="0" xfId="2" applyFont="1" applyFill="1" applyAlignment="1" applyProtection="1">
      <alignment horizontal="center" vertical="center"/>
    </xf>
    <xf numFmtId="0" fontId="61" fillId="9" borderId="0" xfId="2" applyFont="1" applyFill="1" applyAlignment="1" applyProtection="1">
      <alignment horizontal="center" vertical="center"/>
    </xf>
    <xf numFmtId="0" fontId="7" fillId="0" borderId="0" xfId="2" applyAlignment="1" applyProtection="1">
      <alignment vertical="center" wrapText="1"/>
    </xf>
    <xf numFmtId="0" fontId="59" fillId="0" borderId="0" xfId="2" applyFont="1" applyAlignment="1" applyProtection="1">
      <alignment horizontal="center" vertical="center"/>
    </xf>
    <xf numFmtId="0" fontId="56" fillId="0" borderId="0" xfId="2" applyFont="1" applyProtection="1">
      <alignment vertical="center"/>
    </xf>
    <xf numFmtId="0" fontId="56" fillId="0" borderId="149" xfId="2" applyFont="1" applyBorder="1" applyProtection="1">
      <alignment vertical="center"/>
    </xf>
    <xf numFmtId="0" fontId="56" fillId="0" borderId="190" xfId="2" applyFont="1" applyBorder="1" applyProtection="1">
      <alignment vertical="center"/>
    </xf>
    <xf numFmtId="0" fontId="56" fillId="0" borderId="190" xfId="2" applyFont="1" applyBorder="1" applyAlignment="1" applyProtection="1">
      <alignment horizontal="center" vertical="center" wrapText="1"/>
    </xf>
    <xf numFmtId="0" fontId="56" fillId="0" borderId="190" xfId="2" applyFont="1" applyBorder="1" applyAlignment="1" applyProtection="1">
      <alignment horizontal="distributed" vertical="center"/>
    </xf>
    <xf numFmtId="0" fontId="56" fillId="0" borderId="147" xfId="2" applyFont="1" applyBorder="1" applyProtection="1">
      <alignment vertical="center"/>
    </xf>
    <xf numFmtId="0" fontId="56" fillId="0" borderId="147" xfId="2" applyFont="1" applyBorder="1" applyAlignment="1" applyProtection="1">
      <alignment horizontal="center" vertical="center" wrapText="1"/>
    </xf>
    <xf numFmtId="0" fontId="56" fillId="0" borderId="147" xfId="2" applyFont="1" applyBorder="1" applyAlignment="1" applyProtection="1">
      <alignment horizontal="distributed" vertical="center"/>
    </xf>
    <xf numFmtId="0" fontId="56" fillId="0" borderId="152" xfId="2" applyFont="1" applyBorder="1" applyProtection="1">
      <alignment vertical="center"/>
    </xf>
    <xf numFmtId="0" fontId="56" fillId="0" borderId="0" xfId="2" applyFont="1" applyAlignment="1" applyProtection="1">
      <alignment horizontal="center" vertical="center" wrapText="1"/>
    </xf>
    <xf numFmtId="0" fontId="56" fillId="0" borderId="0" xfId="2" applyFont="1" applyAlignment="1" applyProtection="1">
      <alignment horizontal="distributed" vertical="center"/>
    </xf>
    <xf numFmtId="0" fontId="56" fillId="0" borderId="154" xfId="2" applyFont="1" applyBorder="1" applyProtection="1">
      <alignment vertical="center"/>
    </xf>
    <xf numFmtId="0" fontId="56" fillId="0" borderId="154" xfId="2" applyFont="1" applyBorder="1" applyAlignment="1" applyProtection="1">
      <alignment horizontal="center" vertical="center" wrapText="1"/>
    </xf>
    <xf numFmtId="0" fontId="56" fillId="0" borderId="147" xfId="2" applyFont="1" applyBorder="1" applyAlignment="1" applyProtection="1">
      <alignment vertical="center" wrapText="1"/>
    </xf>
    <xf numFmtId="0" fontId="56" fillId="0" borderId="39" xfId="2" applyFont="1" applyBorder="1" applyProtection="1">
      <alignment vertical="center"/>
    </xf>
    <xf numFmtId="0" fontId="56" fillId="0" borderId="33" xfId="2" applyFont="1" applyBorder="1" applyAlignment="1" applyProtection="1">
      <alignment horizontal="center" vertical="center" wrapText="1"/>
    </xf>
    <xf numFmtId="0" fontId="56" fillId="0" borderId="152" xfId="2" applyFont="1" applyBorder="1" applyAlignment="1" applyProtection="1">
      <alignment horizontal="center" vertical="center" wrapText="1"/>
    </xf>
    <xf numFmtId="0" fontId="56" fillId="0" borderId="152" xfId="2" applyFont="1" applyBorder="1" applyAlignment="1" applyProtection="1">
      <alignment horizontal="distributed" vertical="center"/>
    </xf>
    <xf numFmtId="0" fontId="56" fillId="0" borderId="40" xfId="2" applyFont="1" applyBorder="1" applyProtection="1">
      <alignment vertical="center"/>
    </xf>
    <xf numFmtId="0" fontId="56" fillId="0" borderId="154" xfId="2" applyFont="1" applyBorder="1" applyAlignment="1" applyProtection="1">
      <alignment horizontal="distributed" vertical="center"/>
    </xf>
    <xf numFmtId="0" fontId="56" fillId="0" borderId="184" xfId="2" applyFont="1" applyBorder="1" applyProtection="1">
      <alignment vertical="center"/>
    </xf>
    <xf numFmtId="0" fontId="56" fillId="0" borderId="80" xfId="2" applyFont="1" applyBorder="1" applyProtection="1">
      <alignment vertical="center"/>
    </xf>
    <xf numFmtId="0" fontId="56" fillId="0" borderId="139" xfId="2" applyFont="1" applyBorder="1" applyProtection="1">
      <alignment vertical="center"/>
    </xf>
    <xf numFmtId="0" fontId="56" fillId="0" borderId="139" xfId="2" applyFont="1" applyBorder="1" applyAlignment="1" applyProtection="1">
      <alignment horizontal="center" vertical="center" wrapText="1"/>
    </xf>
    <xf numFmtId="0" fontId="56" fillId="0" borderId="139" xfId="2" applyFont="1" applyBorder="1" applyAlignment="1" applyProtection="1">
      <alignment horizontal="distributed" vertical="center"/>
    </xf>
    <xf numFmtId="0" fontId="7" fillId="0" borderId="0" xfId="2" applyProtection="1">
      <alignment vertical="center"/>
    </xf>
    <xf numFmtId="0" fontId="56" fillId="0" borderId="180" xfId="2" applyFont="1" applyBorder="1" applyProtection="1">
      <alignment vertical="center"/>
    </xf>
    <xf numFmtId="0" fontId="56" fillId="0" borderId="149" xfId="2" applyFont="1" applyBorder="1" applyAlignment="1" applyProtection="1">
      <alignment horizontal="center" vertical="center" wrapText="1"/>
    </xf>
    <xf numFmtId="0" fontId="56" fillId="0" borderId="149" xfId="2" applyFont="1" applyBorder="1" applyAlignment="1" applyProtection="1">
      <alignment horizontal="distributed" vertical="center"/>
    </xf>
    <xf numFmtId="0" fontId="56" fillId="0" borderId="148" xfId="2" applyFont="1" applyBorder="1" applyAlignment="1" applyProtection="1">
      <alignment horizontal="center" vertical="center" wrapText="1"/>
    </xf>
    <xf numFmtId="0" fontId="56" fillId="0" borderId="151" xfId="2" applyFont="1" applyBorder="1" applyAlignment="1" applyProtection="1">
      <alignment horizontal="center" vertical="center" wrapText="1"/>
    </xf>
    <xf numFmtId="0" fontId="56" fillId="0" borderId="146" xfId="2" applyFont="1" applyBorder="1" applyAlignment="1" applyProtection="1">
      <alignment horizontal="center" vertical="center" wrapText="1"/>
    </xf>
    <xf numFmtId="0" fontId="56" fillId="0" borderId="153" xfId="2" applyFont="1" applyBorder="1" applyAlignment="1" applyProtection="1">
      <alignment horizontal="center" vertical="center" wrapText="1"/>
    </xf>
    <xf numFmtId="0" fontId="56" fillId="0" borderId="187" xfId="2" applyFont="1" applyBorder="1" applyProtection="1">
      <alignment vertical="center"/>
    </xf>
    <xf numFmtId="0" fontId="56" fillId="0" borderId="186" xfId="2" applyFont="1" applyBorder="1" applyProtection="1">
      <alignment vertical="center"/>
    </xf>
    <xf numFmtId="0" fontId="56" fillId="0" borderId="186" xfId="2" applyFont="1" applyBorder="1" applyAlignment="1" applyProtection="1">
      <alignment horizontal="center" vertical="center" wrapText="1"/>
    </xf>
    <xf numFmtId="0" fontId="56" fillId="0" borderId="186" xfId="2" applyFont="1" applyBorder="1" applyAlignment="1" applyProtection="1">
      <alignment horizontal="distributed" vertical="center"/>
    </xf>
    <xf numFmtId="0" fontId="56" fillId="0" borderId="185" xfId="2" applyFont="1" applyBorder="1" applyAlignment="1" applyProtection="1">
      <alignment horizontal="center" vertical="center" wrapText="1"/>
    </xf>
    <xf numFmtId="0" fontId="56" fillId="0" borderId="146" xfId="2" applyFont="1" applyBorder="1" applyAlignment="1" applyProtection="1">
      <alignment vertical="center" wrapText="1"/>
    </xf>
    <xf numFmtId="0" fontId="56" fillId="0" borderId="13" xfId="2" applyFont="1" applyBorder="1" applyProtection="1">
      <alignment vertical="center"/>
    </xf>
    <xf numFmtId="0" fontId="56" fillId="0" borderId="138" xfId="2" applyFont="1" applyBorder="1" applyAlignment="1" applyProtection="1">
      <alignment horizontal="center" vertical="center" wrapText="1"/>
    </xf>
    <xf numFmtId="0" fontId="56" fillId="0" borderId="189" xfId="2" applyFont="1" applyBorder="1" applyAlignment="1" applyProtection="1">
      <alignment horizontal="center" vertical="center" wrapText="1"/>
    </xf>
    <xf numFmtId="0" fontId="56" fillId="0" borderId="104" xfId="2" applyFont="1" applyBorder="1" applyAlignment="1" applyProtection="1">
      <alignment horizontal="center" vertical="center" wrapText="1"/>
    </xf>
    <xf numFmtId="0" fontId="56" fillId="0" borderId="34" xfId="2" applyFont="1" applyBorder="1" applyAlignment="1" applyProtection="1">
      <alignment horizontal="center" vertical="center" wrapText="1"/>
    </xf>
    <xf numFmtId="0" fontId="56" fillId="0" borderId="32" xfId="2" applyFont="1" applyBorder="1" applyAlignment="1" applyProtection="1">
      <alignment horizontal="center" vertical="center" wrapText="1"/>
    </xf>
    <xf numFmtId="0" fontId="59" fillId="0" borderId="138" xfId="2" applyFont="1" applyBorder="1" applyAlignment="1" applyProtection="1">
      <alignment horizontal="center" vertical="center"/>
    </xf>
    <xf numFmtId="0" fontId="59" fillId="0" borderId="161" xfId="2" applyFont="1" applyBorder="1" applyAlignment="1" applyProtection="1">
      <alignment horizontal="center" vertical="center"/>
    </xf>
    <xf numFmtId="0" fontId="56" fillId="0" borderId="50" xfId="2" applyFont="1" applyBorder="1" applyProtection="1">
      <alignment vertical="center"/>
    </xf>
    <xf numFmtId="0" fontId="56" fillId="0" borderId="50" xfId="2" applyFont="1" applyBorder="1" applyAlignment="1" applyProtection="1">
      <alignment horizontal="center" vertical="center" wrapText="1"/>
    </xf>
    <xf numFmtId="0" fontId="56" fillId="0" borderId="50" xfId="2" applyFont="1" applyBorder="1" applyAlignment="1" applyProtection="1">
      <alignment horizontal="distributed" vertical="center"/>
    </xf>
    <xf numFmtId="0" fontId="59" fillId="0" borderId="51" xfId="2" applyFont="1" applyBorder="1" applyProtection="1">
      <alignment vertical="center"/>
    </xf>
    <xf numFmtId="0" fontId="59" fillId="0" borderId="148" xfId="2" applyFont="1" applyBorder="1" applyProtection="1">
      <alignment vertical="center"/>
    </xf>
    <xf numFmtId="0" fontId="56" fillId="0" borderId="144" xfId="2" applyFont="1" applyBorder="1" applyProtection="1">
      <alignment vertical="center"/>
    </xf>
    <xf numFmtId="0" fontId="56" fillId="0" borderId="144" xfId="2" applyFont="1" applyBorder="1" applyAlignment="1" applyProtection="1">
      <alignment horizontal="distributed" vertical="center"/>
    </xf>
    <xf numFmtId="0" fontId="56" fillId="0" borderId="144" xfId="2" applyFont="1" applyBorder="1" applyAlignment="1" applyProtection="1">
      <alignment horizontal="center" vertical="center" wrapText="1"/>
    </xf>
    <xf numFmtId="0" fontId="59" fillId="0" borderId="143" xfId="2" applyFont="1" applyBorder="1" applyProtection="1">
      <alignment vertical="center"/>
    </xf>
    <xf numFmtId="0" fontId="56" fillId="0" borderId="0" xfId="2" applyFont="1" applyAlignment="1" applyProtection="1">
      <alignment horizontal="distributed" vertical="center" wrapText="1"/>
    </xf>
    <xf numFmtId="0" fontId="59" fillId="0" borderId="0" xfId="2" applyFont="1" applyProtection="1">
      <alignment vertical="center"/>
    </xf>
    <xf numFmtId="0" fontId="56" fillId="0" borderId="0" xfId="2" applyFont="1" applyAlignment="1" applyProtection="1">
      <alignment vertical="center" shrinkToFit="1"/>
    </xf>
    <xf numFmtId="0" fontId="59" fillId="0" borderId="10" xfId="2" applyFont="1" applyBorder="1" applyProtection="1">
      <alignment vertical="center"/>
    </xf>
    <xf numFmtId="0" fontId="56" fillId="0" borderId="10" xfId="2" applyFont="1" applyBorder="1" applyAlignment="1" applyProtection="1">
      <alignment vertical="center" shrinkToFit="1"/>
    </xf>
    <xf numFmtId="0" fontId="66" fillId="0" borderId="0" xfId="2" applyFont="1" applyProtection="1">
      <alignment vertical="center"/>
    </xf>
    <xf numFmtId="0" fontId="63" fillId="0" borderId="0" xfId="2" applyFont="1" applyAlignment="1" applyProtection="1">
      <alignment horizontal="center" vertical="center"/>
    </xf>
    <xf numFmtId="0" fontId="56" fillId="0" borderId="0" xfId="2" applyFont="1" applyAlignment="1" applyProtection="1">
      <alignment horizontal="right" vertical="center"/>
    </xf>
    <xf numFmtId="0" fontId="56" fillId="0" borderId="5" xfId="2" applyFont="1" applyBorder="1" applyProtection="1">
      <alignment vertical="center"/>
    </xf>
    <xf numFmtId="0" fontId="56" fillId="0" borderId="7" xfId="2" applyFont="1" applyBorder="1" applyProtection="1">
      <alignment vertical="center"/>
    </xf>
    <xf numFmtId="0" fontId="56" fillId="0" borderId="6" xfId="2" applyFont="1" applyBorder="1" applyProtection="1">
      <alignment vertical="center"/>
    </xf>
    <xf numFmtId="0" fontId="69" fillId="11" borderId="51" xfId="2" applyFont="1" applyFill="1" applyBorder="1" applyProtection="1">
      <alignment vertical="center"/>
    </xf>
    <xf numFmtId="0" fontId="59" fillId="0" borderId="9" xfId="2" applyFont="1" applyBorder="1" applyAlignment="1" applyProtection="1">
      <alignment horizontal="center" vertical="center"/>
    </xf>
    <xf numFmtId="0" fontId="59" fillId="0" borderId="6" xfId="2" applyFont="1" applyBorder="1" applyAlignment="1" applyProtection="1">
      <alignment horizontal="right" vertical="center"/>
    </xf>
    <xf numFmtId="0" fontId="59" fillId="0" borderId="4" xfId="2" applyFont="1" applyBorder="1" applyAlignment="1" applyProtection="1">
      <alignment horizontal="right" vertical="center"/>
    </xf>
    <xf numFmtId="0" fontId="59" fillId="0" borderId="0" xfId="2" applyFont="1" applyAlignment="1" applyProtection="1">
      <alignment horizontal="right" vertical="center"/>
    </xf>
    <xf numFmtId="0" fontId="59" fillId="0" borderId="8" xfId="2" applyFont="1" applyBorder="1" applyAlignment="1" applyProtection="1">
      <alignment horizontal="center" vertical="center"/>
    </xf>
    <xf numFmtId="0" fontId="59" fillId="0" borderId="12" xfId="2" applyFont="1" applyBorder="1" applyAlignment="1" applyProtection="1">
      <alignment horizontal="right" vertical="center"/>
    </xf>
    <xf numFmtId="0" fontId="59" fillId="0" borderId="0" xfId="2" applyFont="1" applyAlignment="1" applyProtection="1">
      <alignment horizontal="left" vertical="center" wrapText="1"/>
    </xf>
    <xf numFmtId="38" fontId="71" fillId="9" borderId="0" xfId="3" applyFont="1" applyFill="1" applyBorder="1" applyAlignment="1" applyProtection="1">
      <alignment horizontal="center" vertical="center"/>
    </xf>
    <xf numFmtId="0" fontId="59" fillId="9" borderId="0" xfId="2" applyFont="1" applyFill="1" applyAlignment="1" applyProtection="1">
      <alignment horizontal="right" vertical="center"/>
    </xf>
    <xf numFmtId="0" fontId="59" fillId="0" borderId="3" xfId="2" applyFont="1" applyBorder="1" applyAlignment="1" applyProtection="1">
      <alignment horizontal="center" vertical="center"/>
    </xf>
    <xf numFmtId="0" fontId="69" fillId="11" borderId="31" xfId="2" applyFont="1" applyFill="1" applyBorder="1" applyProtection="1">
      <alignment vertical="center"/>
    </xf>
    <xf numFmtId="0" fontId="59" fillId="0" borderId="13" xfId="2" applyFont="1" applyBorder="1" applyAlignment="1" applyProtection="1">
      <alignment horizontal="center" vertical="center"/>
    </xf>
    <xf numFmtId="0" fontId="64" fillId="0" borderId="0" xfId="2" applyFont="1" applyProtection="1">
      <alignment vertical="center"/>
    </xf>
    <xf numFmtId="0" fontId="64" fillId="0" borderId="0" xfId="2" applyFont="1" applyAlignment="1" applyProtection="1">
      <alignment horizontal="right" vertical="center"/>
    </xf>
    <xf numFmtId="192" fontId="64" fillId="0" borderId="8" xfId="2" applyNumberFormat="1" applyFont="1" applyBorder="1" applyProtection="1">
      <alignment vertical="center"/>
    </xf>
    <xf numFmtId="0" fontId="56" fillId="0" borderId="0" xfId="2" applyFont="1" applyAlignment="1" applyProtection="1">
      <alignment horizontal="center" vertical="top"/>
    </xf>
    <xf numFmtId="0" fontId="59" fillId="0" borderId="14" xfId="2" applyFont="1" applyBorder="1" applyAlignment="1" applyProtection="1">
      <alignment horizontal="center" vertical="center"/>
    </xf>
    <xf numFmtId="38" fontId="71" fillId="9" borderId="0" xfId="2" applyNumberFormat="1" applyFont="1" applyFill="1" applyAlignment="1" applyProtection="1">
      <alignment horizontal="right"/>
    </xf>
    <xf numFmtId="0" fontId="59" fillId="0" borderId="1" xfId="2" applyFont="1" applyBorder="1" applyProtection="1">
      <alignment vertical="center"/>
    </xf>
    <xf numFmtId="0" fontId="59" fillId="0" borderId="8" xfId="2" applyFont="1" applyBorder="1" applyProtection="1">
      <alignment vertical="center"/>
    </xf>
    <xf numFmtId="0" fontId="62" fillId="0" borderId="0" xfId="2" applyFont="1" applyAlignment="1" applyProtection="1">
      <alignment horizontal="left" vertical="top"/>
    </xf>
    <xf numFmtId="0" fontId="62" fillId="0" borderId="0" xfId="2" applyFont="1" applyAlignment="1" applyProtection="1">
      <alignment horizontal="left" vertical="center"/>
    </xf>
    <xf numFmtId="0" fontId="77" fillId="0" borderId="196" xfId="6" applyFont="1" applyBorder="1" applyAlignment="1" applyProtection="1">
      <alignment horizontal="center" vertical="center" shrinkToFit="1"/>
    </xf>
    <xf numFmtId="196" fontId="77" fillId="0" borderId="208" xfId="6" applyNumberFormat="1" applyFont="1" applyBorder="1" applyAlignment="1" applyProtection="1">
      <alignment horizontal="center" vertical="center" shrinkToFit="1"/>
    </xf>
    <xf numFmtId="0" fontId="77" fillId="0" borderId="209" xfId="6" applyFont="1" applyBorder="1" applyAlignment="1" applyProtection="1">
      <alignment horizontal="center" vertical="center" shrinkToFit="1"/>
    </xf>
    <xf numFmtId="0" fontId="77" fillId="0" borderId="201" xfId="6" applyFont="1" applyBorder="1" applyAlignment="1" applyProtection="1">
      <alignment horizontal="center" vertical="center" shrinkToFit="1"/>
    </xf>
    <xf numFmtId="196" fontId="77" fillId="0" borderId="199" xfId="6" applyNumberFormat="1" applyFont="1" applyBorder="1" applyAlignment="1" applyProtection="1">
      <alignment horizontal="center" vertical="center" shrinkToFit="1"/>
    </xf>
    <xf numFmtId="0" fontId="77" fillId="0" borderId="196" xfId="6" applyFont="1" applyBorder="1" applyAlignment="1" applyProtection="1">
      <alignment vertical="center" shrinkToFit="1"/>
    </xf>
    <xf numFmtId="0" fontId="77" fillId="0" borderId="204" xfId="6" applyFont="1" applyBorder="1" applyAlignment="1" applyProtection="1">
      <alignment vertical="center" shrinkToFit="1"/>
    </xf>
    <xf numFmtId="0" fontId="77" fillId="0" borderId="198" xfId="6" applyFont="1" applyBorder="1" applyAlignment="1" applyProtection="1">
      <alignment horizontal="center" vertical="center" shrinkToFit="1"/>
    </xf>
    <xf numFmtId="196" fontId="77" fillId="0" borderId="203" xfId="6" applyNumberFormat="1" applyFont="1" applyBorder="1" applyAlignment="1" applyProtection="1">
      <alignment horizontal="center" vertical="center" shrinkToFit="1"/>
    </xf>
    <xf numFmtId="0" fontId="56" fillId="9" borderId="0" xfId="2" applyFont="1" applyFill="1" applyProtection="1">
      <alignment vertical="center"/>
    </xf>
    <xf numFmtId="58" fontId="56" fillId="0" borderId="0" xfId="2" applyNumberFormat="1" applyFont="1" applyProtection="1">
      <alignment vertical="center"/>
    </xf>
    <xf numFmtId="0" fontId="59" fillId="0" borderId="12" xfId="2" applyFont="1" applyBorder="1" applyAlignment="1">
      <alignment horizontal="right" vertical="center"/>
    </xf>
    <xf numFmtId="0" fontId="77" fillId="0" borderId="14" xfId="6" applyFont="1" applyBorder="1" applyAlignment="1" applyProtection="1">
      <alignment horizontal="center" vertical="center" shrinkToFit="1"/>
      <protection locked="0"/>
    </xf>
    <xf numFmtId="38" fontId="77" fillId="0" borderId="8" xfId="1" applyFont="1" applyBorder="1" applyAlignment="1" applyProtection="1">
      <alignment vertical="center" shrinkToFit="1"/>
      <protection locked="0"/>
    </xf>
    <xf numFmtId="0" fontId="102" fillId="0" borderId="0" xfId="4" applyFont="1"/>
    <xf numFmtId="0" fontId="85" fillId="0" borderId="0" xfId="4" applyFont="1"/>
    <xf numFmtId="0" fontId="89" fillId="0" borderId="8" xfId="4" applyFont="1" applyBorder="1" applyAlignment="1">
      <alignment horizontal="center"/>
    </xf>
    <xf numFmtId="0" fontId="89" fillId="0" borderId="8" xfId="4" applyFont="1" applyBorder="1"/>
    <xf numFmtId="0" fontId="89" fillId="0" borderId="8" xfId="4" applyFont="1" applyBorder="1" applyAlignment="1">
      <alignment shrinkToFit="1"/>
    </xf>
    <xf numFmtId="0" fontId="103" fillId="0" borderId="0" xfId="0" applyFont="1" applyAlignment="1">
      <alignment vertical="top" textRotation="255" wrapText="1"/>
    </xf>
    <xf numFmtId="0" fontId="103" fillId="0" borderId="0" xfId="0" applyFont="1" applyAlignment="1">
      <alignment vertical="center" shrinkToFit="1"/>
    </xf>
    <xf numFmtId="38" fontId="103" fillId="0" borderId="0" xfId="0" applyNumberFormat="1" applyFont="1" applyAlignment="1">
      <alignment vertical="center" shrinkToFit="1"/>
    </xf>
    <xf numFmtId="0" fontId="20" fillId="0" borderId="0" xfId="0" applyFont="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49" xfId="0" applyFont="1" applyFill="1" applyBorder="1" applyAlignment="1" applyProtection="1">
      <alignment horizontal="center" vertical="center" shrinkToFit="1"/>
    </xf>
    <xf numFmtId="0" fontId="22" fillId="0" borderId="50"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shrinkToFi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8" xfId="0" applyFont="1" applyBorder="1" applyAlignment="1">
      <alignment horizontal="center" vertical="center"/>
    </xf>
    <xf numFmtId="0" fontId="17" fillId="0" borderId="10" xfId="0" applyFont="1" applyBorder="1" applyAlignment="1">
      <alignment horizontal="center" vertical="center"/>
    </xf>
    <xf numFmtId="0" fontId="21" fillId="0" borderId="57"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59" xfId="0" applyFont="1" applyBorder="1" applyAlignment="1">
      <alignment horizontal="center" vertical="center"/>
    </xf>
    <xf numFmtId="0" fontId="21" fillId="0" borderId="7" xfId="0" applyFont="1" applyBorder="1" applyAlignment="1">
      <alignment horizontal="center" vertical="center"/>
    </xf>
    <xf numFmtId="0" fontId="21" fillId="0" borderId="60" xfId="0" applyFont="1" applyBorder="1" applyAlignment="1">
      <alignment horizontal="center" vertical="center"/>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1" fillId="9" borderId="59"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60" xfId="0" applyFont="1" applyFill="1" applyBorder="1" applyAlignment="1">
      <alignment horizontal="center" vertical="center"/>
    </xf>
    <xf numFmtId="184" fontId="21" fillId="0" borderId="59" xfId="0" applyNumberFormat="1" applyFont="1" applyBorder="1" applyAlignment="1">
      <alignment horizontal="center" vertical="center"/>
    </xf>
    <xf numFmtId="184" fontId="21" fillId="0" borderId="7" xfId="0" applyNumberFormat="1" applyFont="1" applyBorder="1" applyAlignment="1">
      <alignment horizontal="center" vertical="center"/>
    </xf>
    <xf numFmtId="184" fontId="21" fillId="0" borderId="60" xfId="0" applyNumberFormat="1" applyFont="1" applyBorder="1" applyAlignment="1">
      <alignment horizontal="center" vertical="center"/>
    </xf>
    <xf numFmtId="0" fontId="21" fillId="0" borderId="62" xfId="0" applyFont="1" applyBorder="1" applyAlignment="1">
      <alignment horizontal="left" vertical="center"/>
    </xf>
    <xf numFmtId="0" fontId="21" fillId="0" borderId="2" xfId="0" applyFont="1" applyBorder="1" applyAlignment="1">
      <alignment horizontal="left" vertical="center"/>
    </xf>
    <xf numFmtId="0" fontId="21" fillId="0" borderId="58" xfId="0" applyFont="1" applyBorder="1" applyAlignment="1">
      <alignment horizontal="left" vertical="center"/>
    </xf>
    <xf numFmtId="0" fontId="21" fillId="0" borderId="10" xfId="0" applyFont="1" applyBorder="1" applyAlignment="1">
      <alignment horizontal="left" vertical="center"/>
    </xf>
    <xf numFmtId="0" fontId="21" fillId="0" borderId="69" xfId="0" applyFont="1" applyBorder="1" applyAlignment="1">
      <alignment horizontal="lef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93" xfId="0" applyFont="1" applyBorder="1" applyAlignment="1">
      <alignment horizontal="left" vertical="center"/>
    </xf>
    <xf numFmtId="0" fontId="21" fillId="0" borderId="94" xfId="0" applyFont="1" applyBorder="1" applyAlignment="1">
      <alignment horizontal="lef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1" xfId="0" applyFont="1" applyBorder="1" applyAlignment="1">
      <alignment horizontal="center" vertical="center" wrapText="1"/>
    </xf>
    <xf numFmtId="0" fontId="21" fillId="0" borderId="4" xfId="0" applyFont="1" applyBorder="1" applyAlignment="1">
      <alignment horizontal="left" vertical="center"/>
    </xf>
    <xf numFmtId="0" fontId="21" fillId="0" borderId="71" xfId="0" applyFont="1" applyBorder="1" applyAlignment="1">
      <alignment horizontal="left" vertical="center"/>
    </xf>
    <xf numFmtId="0" fontId="21" fillId="0" borderId="72" xfId="0" applyFont="1" applyBorder="1" applyAlignment="1">
      <alignment horizontal="left" vertical="center"/>
    </xf>
    <xf numFmtId="0" fontId="21" fillId="0" borderId="78" xfId="0" applyFont="1" applyBorder="1" applyAlignment="1">
      <alignment horizontal="left" vertical="center"/>
    </xf>
    <xf numFmtId="0" fontId="21" fillId="0" borderId="79" xfId="0" applyFont="1" applyBorder="1" applyAlignment="1">
      <alignment horizontal="left" vertical="center"/>
    </xf>
    <xf numFmtId="0" fontId="21" fillId="0" borderId="59" xfId="0" applyFont="1" applyBorder="1" applyAlignment="1">
      <alignment horizontal="left" vertical="center"/>
    </xf>
    <xf numFmtId="0" fontId="21" fillId="0" borderId="6" xfId="0" applyFont="1" applyBorder="1" applyAlignment="1">
      <alignment horizontal="left" vertical="center"/>
    </xf>
    <xf numFmtId="0" fontId="21" fillId="2" borderId="49" xfId="0" applyFont="1" applyFill="1" applyBorder="1" applyAlignment="1" applyProtection="1">
      <alignment horizontal="left" vertical="top"/>
      <protection locked="0"/>
    </xf>
    <xf numFmtId="0" fontId="21" fillId="2" borderId="50" xfId="0" applyFont="1" applyFill="1" applyBorder="1" applyAlignment="1" applyProtection="1">
      <alignment horizontal="left" vertical="top"/>
      <protection locked="0"/>
    </xf>
    <xf numFmtId="0" fontId="21" fillId="2" borderId="51" xfId="0" applyFont="1" applyFill="1" applyBorder="1" applyAlignment="1" applyProtection="1">
      <alignment horizontal="left" vertical="top"/>
      <protection locked="0"/>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1" xfId="0" applyFont="1" applyBorder="1" applyAlignment="1">
      <alignment horizontal="center" vertical="center" shrinkToFit="1"/>
    </xf>
    <xf numFmtId="0" fontId="29" fillId="0" borderId="52"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49"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0" fontId="29" fillId="0" borderId="51" xfId="0" applyFont="1" applyBorder="1" applyAlignment="1" applyProtection="1">
      <alignment horizontal="center" vertical="center" wrapText="1"/>
    </xf>
    <xf numFmtId="0" fontId="29" fillId="0" borderId="0" xfId="0" applyFont="1" applyAlignment="1" applyProtection="1">
      <alignment horizontal="center" vertical="center"/>
    </xf>
    <xf numFmtId="0" fontId="29" fillId="0" borderId="49"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51" xfId="0" applyFont="1" applyBorder="1" applyAlignment="1" applyProtection="1">
      <alignment horizontal="center" vertical="center"/>
    </xf>
    <xf numFmtId="0" fontId="29" fillId="0" borderId="5" xfId="0" applyFont="1" applyBorder="1" applyAlignment="1" applyProtection="1">
      <alignment horizontal="left" vertical="center"/>
    </xf>
    <xf numFmtId="0" fontId="29" fillId="0" borderId="7" xfId="0" applyFont="1" applyBorder="1" applyAlignment="1" applyProtection="1">
      <alignment horizontal="left" vertical="center"/>
    </xf>
    <xf numFmtId="0" fontId="29" fillId="0" borderId="3" xfId="0" applyFont="1" applyBorder="1" applyAlignment="1" applyProtection="1">
      <alignment horizontal="left" vertical="center"/>
    </xf>
    <xf numFmtId="0" fontId="29" fillId="0" borderId="2" xfId="0" applyFont="1" applyBorder="1" applyAlignment="1" applyProtection="1">
      <alignment horizontal="left" vertical="center"/>
    </xf>
    <xf numFmtId="0" fontId="29" fillId="0" borderId="107" xfId="0" applyFont="1" applyBorder="1" applyAlignment="1" applyProtection="1">
      <alignment horizontal="left" vertical="center"/>
    </xf>
    <xf numFmtId="0" fontId="29" fillId="0" borderId="108" xfId="0" applyFont="1" applyBorder="1" applyAlignment="1" applyProtection="1">
      <alignment horizontal="left" vertical="center"/>
    </xf>
    <xf numFmtId="0" fontId="29" fillId="0" borderId="23" xfId="0" applyFont="1" applyBorder="1" applyAlignment="1" applyProtection="1">
      <alignment horizontal="left" vertical="center"/>
    </xf>
    <xf numFmtId="0" fontId="31" fillId="0" borderId="108" xfId="0" applyFont="1" applyBorder="1" applyAlignment="1" applyProtection="1">
      <alignment horizontal="left" vertical="center"/>
    </xf>
    <xf numFmtId="0" fontId="31" fillId="0" borderId="23" xfId="0" applyFont="1" applyBorder="1" applyAlignment="1" applyProtection="1">
      <alignment horizontal="left" vertical="center"/>
    </xf>
    <xf numFmtId="0" fontId="29" fillId="0" borderId="112" xfId="0" applyFont="1" applyBorder="1" applyAlignment="1" applyProtection="1">
      <alignment horizontal="left" vertical="center"/>
    </xf>
    <xf numFmtId="0" fontId="29" fillId="0" borderId="113" xfId="0" applyFont="1" applyBorder="1" applyAlignment="1" applyProtection="1">
      <alignment horizontal="left" vertical="center"/>
    </xf>
    <xf numFmtId="0" fontId="29" fillId="0" borderId="0" xfId="0" applyFont="1" applyAlignment="1" applyProtection="1">
      <alignment horizontal="left" vertical="top" wrapText="1"/>
    </xf>
    <xf numFmtId="0" fontId="29" fillId="0" borderId="60" xfId="0" applyFont="1" applyBorder="1" applyAlignment="1" applyProtection="1">
      <alignment horizontal="left" vertical="center"/>
    </xf>
    <xf numFmtId="0" fontId="29" fillId="0" borderId="59"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188" fontId="29" fillId="0" borderId="115" xfId="0" applyNumberFormat="1" applyFont="1" applyBorder="1" applyAlignment="1" applyProtection="1">
      <alignment horizontal="center" vertical="center" wrapText="1"/>
    </xf>
    <xf numFmtId="188" fontId="29" fillId="0" borderId="116" xfId="0" applyNumberFormat="1" applyFont="1" applyBorder="1" applyAlignment="1" applyProtection="1">
      <alignment horizontal="center" vertical="center" wrapText="1"/>
    </xf>
    <xf numFmtId="188" fontId="29" fillId="0" borderId="58" xfId="0" applyNumberFormat="1" applyFont="1" applyBorder="1" applyAlignment="1" applyProtection="1">
      <alignment horizontal="center" vertical="center" wrapText="1"/>
    </xf>
    <xf numFmtId="188" fontId="29" fillId="0" borderId="61" xfId="0" applyNumberFormat="1" applyFont="1" applyBorder="1" applyAlignment="1" applyProtection="1">
      <alignment horizontal="center" vertical="center" wrapText="1"/>
    </xf>
    <xf numFmtId="0" fontId="29" fillId="0" borderId="58" xfId="0" applyFont="1" applyBorder="1" applyAlignment="1" applyProtection="1">
      <alignment horizontal="center" vertical="center" wrapText="1"/>
    </xf>
    <xf numFmtId="0" fontId="29" fillId="0" borderId="61" xfId="0" applyFont="1" applyBorder="1" applyAlignment="1" applyProtection="1">
      <alignment horizontal="center" vertical="center" wrapText="1"/>
    </xf>
    <xf numFmtId="0" fontId="56" fillId="0" borderId="159" xfId="2" applyFont="1" applyFill="1" applyBorder="1" applyAlignment="1" applyProtection="1">
      <alignment horizontal="center" vertical="center" wrapText="1"/>
    </xf>
    <xf numFmtId="0" fontId="56" fillId="0" borderId="157" xfId="2" applyFont="1" applyFill="1" applyBorder="1" applyAlignment="1" applyProtection="1">
      <alignment horizontal="center" vertical="center"/>
    </xf>
    <xf numFmtId="0" fontId="56" fillId="0" borderId="157" xfId="2" applyFont="1" applyFill="1" applyBorder="1" applyAlignment="1" applyProtection="1">
      <alignment horizontal="center" vertical="center" wrapText="1"/>
    </xf>
    <xf numFmtId="0" fontId="56" fillId="0" borderId="156" xfId="2" applyFont="1" applyFill="1" applyBorder="1" applyAlignment="1" applyProtection="1">
      <alignment horizontal="center" vertical="center" wrapText="1"/>
    </xf>
    <xf numFmtId="0" fontId="56" fillId="0" borderId="52" xfId="2" applyFont="1" applyBorder="1" applyAlignment="1">
      <alignment horizontal="center" vertical="center" wrapText="1"/>
    </xf>
    <xf numFmtId="0" fontId="56" fillId="0" borderId="88" xfId="2" applyFont="1" applyBorder="1" applyAlignment="1">
      <alignment horizontal="center" vertical="center" wrapText="1"/>
    </xf>
    <xf numFmtId="0" fontId="56" fillId="0" borderId="52" xfId="2" applyFont="1" applyBorder="1" applyAlignment="1">
      <alignment horizontal="left" vertical="center" wrapText="1"/>
    </xf>
    <xf numFmtId="0" fontId="56" fillId="0" borderId="160" xfId="2" applyFont="1" applyBorder="1" applyAlignment="1">
      <alignment horizontal="left" vertical="center" wrapText="1"/>
    </xf>
    <xf numFmtId="0" fontId="62" fillId="0" borderId="3" xfId="2" applyFont="1" applyBorder="1" applyAlignment="1">
      <alignment horizontal="center" vertical="center" wrapText="1"/>
    </xf>
    <xf numFmtId="0" fontId="62" fillId="0" borderId="131" xfId="2" applyFont="1" applyBorder="1" applyAlignment="1">
      <alignment horizontal="center" vertical="center" wrapText="1"/>
    </xf>
    <xf numFmtId="0" fontId="65" fillId="0" borderId="0" xfId="2" applyFont="1" applyAlignment="1">
      <alignment horizontal="center" vertical="center"/>
    </xf>
    <xf numFmtId="0" fontId="56" fillId="0" borderId="10" xfId="2" applyFont="1" applyBorder="1" applyAlignment="1">
      <alignment horizontal="center" vertical="center" shrinkToFit="1"/>
    </xf>
    <xf numFmtId="0" fontId="59" fillId="0" borderId="54" xfId="2" applyFont="1" applyBorder="1" applyAlignment="1">
      <alignment horizontal="distributed" vertical="center"/>
    </xf>
    <xf numFmtId="0" fontId="56" fillId="0" borderId="87" xfId="2" applyFont="1" applyBorder="1" applyAlignment="1" applyProtection="1">
      <alignment horizontal="center" vertical="center" shrinkToFit="1"/>
    </xf>
    <xf numFmtId="0" fontId="56" fillId="0" borderId="56" xfId="2" applyFont="1" applyBorder="1" applyAlignment="1" applyProtection="1">
      <alignment horizontal="center" vertical="center" shrinkToFit="1"/>
    </xf>
    <xf numFmtId="0" fontId="56" fillId="0" borderId="157" xfId="2" applyFont="1" applyFill="1" applyBorder="1" applyAlignment="1" applyProtection="1">
      <alignment horizontal="center" vertical="center" shrinkToFit="1"/>
    </xf>
    <xf numFmtId="0" fontId="56" fillId="0" borderId="156" xfId="2" applyFont="1" applyFill="1" applyBorder="1" applyAlignment="1" applyProtection="1">
      <alignment horizontal="center" vertical="center" shrinkToFit="1"/>
    </xf>
    <xf numFmtId="0" fontId="59" fillId="0" borderId="90" xfId="2" applyFont="1" applyBorder="1" applyAlignment="1">
      <alignment horizontal="distributed" vertical="center"/>
    </xf>
    <xf numFmtId="0" fontId="56" fillId="0" borderId="5" xfId="2" applyFont="1" applyFill="1" applyBorder="1" applyAlignment="1" applyProtection="1">
      <alignment horizontal="center" vertical="center" shrinkToFit="1"/>
    </xf>
    <xf numFmtId="0" fontId="56" fillId="0" borderId="91" xfId="2" applyFont="1" applyFill="1" applyBorder="1" applyAlignment="1" applyProtection="1">
      <alignment horizontal="center" vertical="center" shrinkToFit="1"/>
    </xf>
    <xf numFmtId="0" fontId="59" fillId="0" borderId="162" xfId="2" applyFont="1" applyBorder="1" applyAlignment="1">
      <alignment horizontal="distributed" vertical="center"/>
    </xf>
    <xf numFmtId="0" fontId="56" fillId="0" borderId="0" xfId="2" applyFont="1" applyAlignment="1">
      <alignment horizontal="center" vertical="center"/>
    </xf>
    <xf numFmtId="0" fontId="7" fillId="0" borderId="0" xfId="2" applyAlignment="1">
      <alignment horizontal="center" vertical="center"/>
    </xf>
    <xf numFmtId="0" fontId="57" fillId="0" borderId="9" xfId="2" applyFont="1" applyBorder="1" applyAlignment="1">
      <alignment vertical="center" wrapText="1"/>
    </xf>
    <xf numFmtId="0" fontId="59" fillId="0" borderId="177" xfId="2" applyFont="1" applyBorder="1" applyAlignment="1">
      <alignment horizontal="center" vertical="top"/>
    </xf>
    <xf numFmtId="0" fontId="59" fillId="0" borderId="92" xfId="2" applyFont="1" applyBorder="1" applyAlignment="1">
      <alignment horizontal="center" vertical="top"/>
    </xf>
    <xf numFmtId="0" fontId="59" fillId="0" borderId="174" xfId="2" applyFont="1" applyBorder="1" applyAlignment="1">
      <alignment horizontal="center" vertical="top"/>
    </xf>
    <xf numFmtId="0" fontId="59" fillId="0" borderId="88" xfId="2" applyFont="1" applyBorder="1" applyAlignment="1">
      <alignment horizontal="center" vertical="top"/>
    </xf>
    <xf numFmtId="0" fontId="59" fillId="0" borderId="85" xfId="2" applyFont="1" applyBorder="1" applyAlignment="1">
      <alignment horizontal="center" vertical="top"/>
    </xf>
    <xf numFmtId="0" fontId="59" fillId="0" borderId="103" xfId="2" applyFont="1" applyBorder="1" applyAlignment="1">
      <alignment horizontal="center" vertical="top"/>
    </xf>
    <xf numFmtId="0" fontId="57" fillId="0" borderId="8" xfId="2" applyFont="1" applyBorder="1" applyAlignment="1">
      <alignment horizontal="left" vertical="center" wrapText="1"/>
    </xf>
    <xf numFmtId="0" fontId="57" fillId="0" borderId="91" xfId="2" applyFont="1" applyBorder="1" applyAlignment="1">
      <alignment horizontal="left" vertical="center" wrapText="1"/>
    </xf>
    <xf numFmtId="0" fontId="57" fillId="2" borderId="82" xfId="2" applyFont="1" applyFill="1" applyBorder="1" applyAlignment="1" applyProtection="1">
      <alignment horizontal="left" vertical="center" wrapText="1"/>
      <protection locked="0"/>
    </xf>
    <xf numFmtId="0" fontId="57" fillId="2" borderId="83" xfId="2" applyFont="1" applyFill="1" applyBorder="1" applyAlignment="1" applyProtection="1">
      <alignment horizontal="left" vertical="center" wrapText="1"/>
      <protection locked="0"/>
    </xf>
    <xf numFmtId="0" fontId="57" fillId="0" borderId="8" xfId="2" applyFont="1" applyBorder="1" applyAlignment="1">
      <alignment vertical="center" wrapText="1"/>
    </xf>
    <xf numFmtId="0" fontId="57" fillId="0" borderId="163" xfId="2" applyFont="1" applyBorder="1" applyAlignment="1">
      <alignment vertical="center" wrapText="1"/>
    </xf>
    <xf numFmtId="0" fontId="57" fillId="0" borderId="6" xfId="2" applyFont="1" applyBorder="1" applyAlignment="1">
      <alignment horizontal="center" vertical="center" wrapText="1"/>
    </xf>
    <xf numFmtId="0" fontId="57" fillId="0" borderId="158" xfId="2" applyFont="1" applyBorder="1" applyAlignment="1">
      <alignment horizontal="center" vertical="center" wrapText="1"/>
    </xf>
    <xf numFmtId="0" fontId="59" fillId="0" borderId="115" xfId="2" applyFont="1" applyBorder="1" applyAlignment="1">
      <alignment vertical="center" wrapText="1"/>
    </xf>
    <xf numFmtId="0" fontId="59" fillId="0" borderId="171" xfId="2" applyFont="1" applyBorder="1" applyAlignment="1">
      <alignment vertical="center" wrapText="1"/>
    </xf>
    <xf numFmtId="0" fontId="59" fillId="0" borderId="170" xfId="2" applyFont="1" applyBorder="1" applyAlignment="1">
      <alignment vertical="center" wrapText="1"/>
    </xf>
    <xf numFmtId="0" fontId="57" fillId="0" borderId="1" xfId="2" applyFont="1" applyBorder="1" applyAlignment="1">
      <alignment horizontal="center" vertical="center" wrapText="1"/>
    </xf>
    <xf numFmtId="0" fontId="57" fillId="0" borderId="82" xfId="2" applyFont="1" applyBorder="1" applyAlignment="1">
      <alignment horizontal="center" vertical="center" wrapText="1"/>
    </xf>
    <xf numFmtId="0" fontId="59" fillId="0" borderId="55" xfId="2" applyFont="1" applyBorder="1" applyAlignment="1">
      <alignment horizontal="distributed" vertical="center"/>
    </xf>
    <xf numFmtId="0" fontId="56" fillId="0" borderId="87" xfId="2" applyFont="1" applyBorder="1" applyAlignment="1">
      <alignment vertical="center" shrinkToFit="1"/>
    </xf>
    <xf numFmtId="0" fontId="56" fillId="0" borderId="171" xfId="2" applyFont="1" applyBorder="1" applyAlignment="1">
      <alignment vertical="center" shrinkToFit="1"/>
    </xf>
    <xf numFmtId="0" fontId="56" fillId="0" borderId="116" xfId="2" applyFont="1" applyBorder="1" applyAlignment="1">
      <alignment vertical="center" shrinkToFit="1"/>
    </xf>
    <xf numFmtId="0" fontId="56" fillId="0" borderId="7" xfId="2" applyFont="1" applyBorder="1" applyAlignment="1">
      <alignment horizontal="distributed" vertical="center"/>
    </xf>
    <xf numFmtId="0" fontId="56" fillId="2" borderId="7" xfId="2" applyFont="1" applyFill="1" applyBorder="1" applyAlignment="1" applyProtection="1">
      <alignment horizontal="center" vertical="center" shrinkToFit="1"/>
      <protection locked="0"/>
    </xf>
    <xf numFmtId="0" fontId="57" fillId="0" borderId="166" xfId="2" applyFont="1" applyBorder="1" applyAlignment="1">
      <alignment horizontal="left" vertical="center" wrapText="1"/>
    </xf>
    <xf numFmtId="0" fontId="57" fillId="0" borderId="165" xfId="2" applyFont="1" applyBorder="1" applyAlignment="1">
      <alignment horizontal="left" vertical="center" wrapText="1"/>
    </xf>
    <xf numFmtId="0" fontId="57" fillId="0" borderId="164" xfId="2" applyFont="1" applyBorder="1" applyAlignment="1">
      <alignment horizontal="left" vertical="center" wrapText="1"/>
    </xf>
    <xf numFmtId="58" fontId="56" fillId="0" borderId="0" xfId="2" applyNumberFormat="1" applyFont="1" applyAlignment="1">
      <alignment horizontal="center" vertical="center"/>
    </xf>
    <xf numFmtId="0" fontId="59" fillId="0" borderId="8" xfId="2" applyFont="1" applyBorder="1" applyAlignment="1">
      <alignment horizontal="distributed" vertical="center"/>
    </xf>
    <xf numFmtId="0" fontId="56" fillId="0" borderId="10" xfId="2" applyFont="1" applyBorder="1" applyAlignment="1">
      <alignment horizontal="distributed" vertical="center"/>
    </xf>
    <xf numFmtId="0" fontId="56" fillId="2" borderId="10" xfId="2" applyFont="1" applyFill="1" applyBorder="1" applyAlignment="1" applyProtection="1">
      <alignment horizontal="center" vertical="center" shrinkToFit="1"/>
      <protection locked="0"/>
    </xf>
    <xf numFmtId="0" fontId="56" fillId="0" borderId="157" xfId="2" applyFont="1" applyBorder="1" applyAlignment="1">
      <alignment horizontal="center" vertical="center"/>
    </xf>
    <xf numFmtId="0" fontId="56" fillId="0" borderId="178" xfId="2" applyFont="1" applyBorder="1" applyAlignment="1">
      <alignment horizontal="center" vertical="center"/>
    </xf>
    <xf numFmtId="0" fontId="56" fillId="0" borderId="161" xfId="2" applyFont="1" applyBorder="1" applyAlignment="1">
      <alignment horizontal="center" vertical="center"/>
    </xf>
    <xf numFmtId="0" fontId="56" fillId="0" borderId="5" xfId="2" applyFont="1" applyBorder="1" applyAlignment="1">
      <alignment vertical="center" shrinkToFit="1"/>
    </xf>
    <xf numFmtId="0" fontId="56" fillId="0" borderId="7" xfId="2" applyFont="1" applyBorder="1" applyAlignment="1">
      <alignment vertical="center" shrinkToFit="1"/>
    </xf>
    <xf numFmtId="0" fontId="56" fillId="0" borderId="60" xfId="2" applyFont="1" applyBorder="1" applyAlignment="1">
      <alignment vertical="center" shrinkToFit="1"/>
    </xf>
    <xf numFmtId="0" fontId="59" fillId="0" borderId="163" xfId="2" applyFont="1" applyBorder="1" applyAlignment="1">
      <alignment horizontal="distributed" vertical="center"/>
    </xf>
    <xf numFmtId="38" fontId="59" fillId="2" borderId="169" xfId="3" applyFont="1" applyFill="1" applyBorder="1" applyAlignment="1" applyProtection="1">
      <alignment horizontal="center" vertical="center"/>
      <protection locked="0"/>
    </xf>
    <xf numFmtId="38" fontId="59" fillId="2" borderId="168" xfId="3" applyFont="1" applyFill="1" applyBorder="1" applyAlignment="1" applyProtection="1">
      <alignment horizontal="center" vertical="center"/>
      <protection locked="0"/>
    </xf>
    <xf numFmtId="38" fontId="59" fillId="2" borderId="167" xfId="3" applyFont="1" applyFill="1" applyBorder="1" applyAlignment="1" applyProtection="1">
      <alignment horizontal="center" vertical="center"/>
      <protection locked="0"/>
    </xf>
    <xf numFmtId="0" fontId="56" fillId="2" borderId="0" xfId="2" applyFont="1" applyFill="1" applyAlignment="1" applyProtection="1">
      <alignment horizontal="center" vertical="center" shrinkToFit="1"/>
      <protection locked="0"/>
    </xf>
    <xf numFmtId="0" fontId="59" fillId="2" borderId="11" xfId="2" applyFont="1" applyFill="1" applyBorder="1" applyAlignment="1" applyProtection="1">
      <alignment horizontal="left" vertical="center" wrapText="1"/>
      <protection locked="0"/>
    </xf>
    <xf numFmtId="0" fontId="59" fillId="2" borderId="10" xfId="2" applyFont="1" applyFill="1" applyBorder="1" applyAlignment="1" applyProtection="1">
      <alignment horizontal="left" vertical="center" wrapText="1"/>
      <protection locked="0"/>
    </xf>
    <xf numFmtId="0" fontId="59" fillId="2" borderId="61" xfId="2" applyFont="1" applyFill="1" applyBorder="1" applyAlignment="1" applyProtection="1">
      <alignment horizontal="left" vertical="center" wrapText="1"/>
      <protection locked="0"/>
    </xf>
    <xf numFmtId="0" fontId="56" fillId="0" borderId="52" xfId="2" applyFont="1" applyBorder="1" applyAlignment="1" applyProtection="1">
      <alignment horizontal="center" vertical="center" textRotation="255" shrinkToFit="1"/>
    </xf>
    <xf numFmtId="0" fontId="56" fillId="0" borderId="182" xfId="2" applyFont="1" applyBorder="1" applyAlignment="1" applyProtection="1">
      <alignment horizontal="center" vertical="center" textRotation="255" shrinkToFit="1"/>
    </xf>
    <xf numFmtId="0" fontId="56" fillId="0" borderId="69" xfId="2" applyFont="1" applyBorder="1" applyAlignment="1" applyProtection="1">
      <alignment horizontal="center" vertical="center" textRotation="255" shrinkToFit="1"/>
    </xf>
    <xf numFmtId="0" fontId="56" fillId="0" borderId="104" xfId="2" applyFont="1" applyBorder="1" applyAlignment="1" applyProtection="1">
      <alignment horizontal="center" vertical="center" textRotation="255" shrinkToFit="1"/>
    </xf>
    <xf numFmtId="0" fontId="56" fillId="0" borderId="58" xfId="2" applyFont="1" applyBorder="1" applyAlignment="1" applyProtection="1">
      <alignment horizontal="center" vertical="center" textRotation="255" shrinkToFit="1"/>
    </xf>
    <xf numFmtId="0" fontId="56" fillId="0" borderId="12" xfId="2" applyFont="1" applyBorder="1" applyAlignment="1" applyProtection="1">
      <alignment horizontal="center" vertical="center" textRotation="255" shrinkToFit="1"/>
    </xf>
    <xf numFmtId="0" fontId="56" fillId="0" borderId="52" xfId="2" applyFont="1" applyBorder="1" applyAlignment="1">
      <alignment vertical="center" wrapText="1"/>
    </xf>
    <xf numFmtId="0" fontId="7" fillId="0" borderId="53" xfId="2" applyBorder="1" applyAlignment="1">
      <alignment vertical="center" wrapText="1"/>
    </xf>
    <xf numFmtId="0" fontId="7" fillId="0" borderId="57" xfId="2" applyBorder="1" applyAlignment="1">
      <alignment vertical="center" wrapText="1"/>
    </xf>
    <xf numFmtId="0" fontId="7" fillId="0" borderId="99" xfId="2" applyBorder="1" applyAlignment="1">
      <alignment vertical="center" wrapText="1"/>
    </xf>
    <xf numFmtId="0" fontId="7" fillId="0" borderId="139" xfId="2" applyBorder="1" applyAlignment="1">
      <alignment vertical="center" wrapText="1"/>
    </xf>
    <xf numFmtId="0" fontId="7" fillId="0" borderId="84" xfId="2" applyBorder="1" applyAlignment="1">
      <alignment vertical="center" wrapText="1"/>
    </xf>
    <xf numFmtId="0" fontId="56" fillId="0" borderId="52" xfId="2" applyFont="1" applyBorder="1" applyProtection="1">
      <alignment vertical="center"/>
    </xf>
    <xf numFmtId="0" fontId="7" fillId="0" borderId="53" xfId="2" applyBorder="1" applyProtection="1">
      <alignment vertical="center"/>
    </xf>
    <xf numFmtId="0" fontId="7" fillId="0" borderId="182" xfId="2" applyBorder="1" applyProtection="1">
      <alignment vertical="center"/>
    </xf>
    <xf numFmtId="0" fontId="56" fillId="0" borderId="159" xfId="2" applyFont="1" applyBorder="1" applyProtection="1">
      <alignment vertical="center"/>
    </xf>
    <xf numFmtId="0" fontId="7" fillId="0" borderId="178" xfId="2" applyBorder="1" applyProtection="1">
      <alignment vertical="center"/>
    </xf>
    <xf numFmtId="0" fontId="7" fillId="0" borderId="158" xfId="2" applyBorder="1" applyProtection="1">
      <alignment vertical="center"/>
    </xf>
    <xf numFmtId="0" fontId="59" fillId="0" borderId="160" xfId="2" applyFont="1" applyBorder="1" applyAlignment="1" applyProtection="1">
      <alignment horizontal="center" vertical="center" wrapText="1"/>
    </xf>
    <xf numFmtId="0" fontId="7" fillId="0" borderId="53" xfId="2" applyBorder="1" applyAlignment="1" applyProtection="1">
      <alignment horizontal="center" vertical="center"/>
    </xf>
    <xf numFmtId="0" fontId="59" fillId="0" borderId="157" xfId="2" applyFont="1" applyBorder="1" applyAlignment="1" applyProtection="1">
      <alignment horizontal="center" vertical="center" wrapText="1"/>
    </xf>
    <xf numFmtId="0" fontId="7" fillId="0" borderId="178" xfId="2" applyBorder="1" applyAlignment="1" applyProtection="1">
      <alignment horizontal="center" vertical="center"/>
    </xf>
    <xf numFmtId="0" fontId="56" fillId="0" borderId="53" xfId="2" applyFont="1" applyBorder="1" applyAlignment="1">
      <alignment horizontal="center" vertical="center" wrapText="1"/>
    </xf>
    <xf numFmtId="0" fontId="56" fillId="0" borderId="57" xfId="2" applyFont="1" applyBorder="1" applyAlignment="1">
      <alignment horizontal="center" vertical="center" wrapText="1"/>
    </xf>
    <xf numFmtId="0" fontId="56" fillId="0" borderId="69" xfId="2" applyFont="1" applyBorder="1" applyAlignment="1">
      <alignment horizontal="center" vertical="center" wrapText="1"/>
    </xf>
    <xf numFmtId="0" fontId="56" fillId="0" borderId="0" xfId="2" applyFont="1" applyAlignment="1">
      <alignment horizontal="center" vertical="center" wrapText="1"/>
    </xf>
    <xf numFmtId="0" fontId="56" fillId="0" borderId="138" xfId="2" applyFont="1" applyBorder="1" applyAlignment="1">
      <alignment horizontal="center" vertical="center" wrapText="1"/>
    </xf>
    <xf numFmtId="0" fontId="56" fillId="0" borderId="99" xfId="2" applyFont="1" applyBorder="1" applyAlignment="1">
      <alignment horizontal="center" vertical="center" wrapText="1"/>
    </xf>
    <xf numFmtId="0" fontId="56" fillId="0" borderId="139" xfId="2" applyFont="1" applyBorder="1" applyAlignment="1">
      <alignment horizontal="center" vertical="center" wrapText="1"/>
    </xf>
    <xf numFmtId="0" fontId="56" fillId="0" borderId="84" xfId="2" applyFont="1" applyBorder="1" applyAlignment="1">
      <alignment horizontal="center" vertical="center" wrapText="1"/>
    </xf>
    <xf numFmtId="0" fontId="56" fillId="0" borderId="232" xfId="2" applyFont="1" applyFill="1" applyBorder="1" applyAlignment="1" applyProtection="1">
      <alignment horizontal="center" vertical="center"/>
    </xf>
    <xf numFmtId="0" fontId="56" fillId="0" borderId="218" xfId="2" applyFont="1" applyFill="1" applyBorder="1" applyAlignment="1" applyProtection="1">
      <alignment horizontal="center" vertical="center"/>
    </xf>
    <xf numFmtId="0" fontId="56" fillId="0" borderId="219" xfId="2" applyFont="1" applyFill="1" applyBorder="1" applyAlignment="1" applyProtection="1">
      <alignment horizontal="center" vertical="center"/>
    </xf>
    <xf numFmtId="0" fontId="56" fillId="0" borderId="223" xfId="2" applyFont="1" applyFill="1" applyBorder="1" applyAlignment="1" applyProtection="1">
      <alignment horizontal="center" vertical="center"/>
    </xf>
    <xf numFmtId="0" fontId="56" fillId="0" borderId="224" xfId="2" applyFont="1" applyFill="1" applyBorder="1" applyAlignment="1" applyProtection="1">
      <alignment horizontal="center" vertical="center"/>
    </xf>
    <xf numFmtId="0" fontId="56" fillId="0" borderId="225" xfId="2" applyFont="1" applyFill="1" applyBorder="1" applyAlignment="1" applyProtection="1">
      <alignment horizontal="center" vertical="center"/>
    </xf>
    <xf numFmtId="0" fontId="56" fillId="0" borderId="217" xfId="2" applyFont="1" applyFill="1" applyBorder="1" applyAlignment="1" applyProtection="1">
      <alignment horizontal="center" vertical="center"/>
    </xf>
    <xf numFmtId="0" fontId="56" fillId="0" borderId="238" xfId="2" applyFont="1" applyFill="1" applyBorder="1" applyAlignment="1" applyProtection="1">
      <alignment horizontal="center" vertical="center"/>
    </xf>
    <xf numFmtId="0" fontId="56" fillId="0" borderId="227" xfId="2" applyFont="1" applyFill="1" applyBorder="1" applyAlignment="1" applyProtection="1">
      <alignment horizontal="center" vertical="center"/>
    </xf>
    <xf numFmtId="0" fontId="56" fillId="0" borderId="228" xfId="2" applyFont="1" applyFill="1" applyBorder="1" applyAlignment="1" applyProtection="1">
      <alignment horizontal="center" vertical="center"/>
    </xf>
    <xf numFmtId="0" fontId="56" fillId="0" borderId="62" xfId="2" applyFont="1" applyBorder="1" applyAlignment="1" applyProtection="1">
      <alignment horizontal="center" vertical="center" textRotation="255" shrinkToFit="1"/>
    </xf>
    <xf numFmtId="0" fontId="56" fillId="0" borderId="4" xfId="2" applyFont="1" applyBorder="1" applyAlignment="1" applyProtection="1">
      <alignment horizontal="center" vertical="center" textRotation="255" shrinkToFit="1"/>
    </xf>
    <xf numFmtId="0" fontId="56" fillId="0" borderId="99" xfId="2" applyFont="1" applyBorder="1" applyAlignment="1" applyProtection="1">
      <alignment horizontal="center" vertical="center" textRotation="255" shrinkToFit="1"/>
    </xf>
    <xf numFmtId="0" fontId="56" fillId="0" borderId="100" xfId="2" applyFont="1" applyBorder="1" applyAlignment="1" applyProtection="1">
      <alignment horizontal="center" vertical="center" textRotation="255" shrinkToFit="1"/>
    </xf>
    <xf numFmtId="0" fontId="56" fillId="0" borderId="220" xfId="2" applyFont="1" applyFill="1" applyBorder="1" applyAlignment="1" applyProtection="1">
      <alignment horizontal="center" vertical="center"/>
    </xf>
    <xf numFmtId="0" fontId="56" fillId="0" borderId="221" xfId="2" applyFont="1" applyFill="1" applyBorder="1" applyAlignment="1" applyProtection="1">
      <alignment horizontal="center" vertical="center"/>
    </xf>
    <xf numFmtId="0" fontId="56" fillId="0" borderId="222" xfId="2" applyFont="1" applyFill="1" applyBorder="1" applyAlignment="1" applyProtection="1">
      <alignment horizontal="center" vertical="center"/>
    </xf>
    <xf numFmtId="0" fontId="56" fillId="0" borderId="234" xfId="2" applyFont="1" applyFill="1" applyBorder="1" applyAlignment="1" applyProtection="1">
      <alignment horizontal="center" vertical="center"/>
    </xf>
    <xf numFmtId="0" fontId="56" fillId="0" borderId="239" xfId="2" applyFont="1" applyFill="1" applyBorder="1" applyAlignment="1" applyProtection="1">
      <alignment horizontal="center" vertical="center"/>
    </xf>
    <xf numFmtId="0" fontId="56" fillId="0" borderId="230" xfId="2" applyFont="1" applyFill="1" applyBorder="1" applyAlignment="1" applyProtection="1">
      <alignment horizontal="center" vertical="center"/>
    </xf>
    <xf numFmtId="0" fontId="56" fillId="0" borderId="231" xfId="2" applyFont="1" applyFill="1" applyBorder="1" applyAlignment="1" applyProtection="1">
      <alignment horizontal="center" vertical="center"/>
    </xf>
    <xf numFmtId="0" fontId="58" fillId="0" borderId="187" xfId="2" applyFont="1" applyBorder="1" applyAlignment="1" applyProtection="1">
      <alignment horizontal="left" vertical="center" shrinkToFit="1"/>
    </xf>
    <xf numFmtId="0" fontId="56" fillId="0" borderId="186" xfId="2" applyFont="1" applyBorder="1" applyAlignment="1" applyProtection="1">
      <alignment horizontal="left" vertical="center" shrinkToFit="1"/>
    </xf>
    <xf numFmtId="0" fontId="56" fillId="0" borderId="188" xfId="2" applyFont="1" applyBorder="1" applyAlignment="1" applyProtection="1">
      <alignment horizontal="left" vertical="center" shrinkToFit="1"/>
    </xf>
    <xf numFmtId="0" fontId="56" fillId="0" borderId="240" xfId="2" applyFont="1" applyFill="1" applyBorder="1" applyAlignment="1" applyProtection="1">
      <alignment horizontal="center" vertical="center"/>
    </xf>
    <xf numFmtId="0" fontId="56" fillId="0" borderId="236" xfId="2" applyFont="1" applyFill="1" applyBorder="1" applyAlignment="1" applyProtection="1">
      <alignment horizontal="center" vertical="center"/>
    </xf>
    <xf numFmtId="0" fontId="56" fillId="0" borderId="237" xfId="2" applyFont="1" applyFill="1" applyBorder="1" applyAlignment="1" applyProtection="1">
      <alignment horizontal="center" vertical="center"/>
    </xf>
    <xf numFmtId="0" fontId="58" fillId="0" borderId="179" xfId="2" applyFont="1" applyBorder="1" applyAlignment="1" applyProtection="1">
      <alignment horizontal="left" vertical="center" shrinkToFit="1"/>
    </xf>
    <xf numFmtId="0" fontId="56" fillId="0" borderId="144" xfId="2" applyFont="1" applyBorder="1" applyAlignment="1" applyProtection="1">
      <alignment horizontal="left" vertical="center" shrinkToFit="1"/>
    </xf>
    <xf numFmtId="0" fontId="56" fillId="0" borderId="143" xfId="2" applyFont="1" applyBorder="1" applyAlignment="1" applyProtection="1">
      <alignment horizontal="left" vertical="center" shrinkToFit="1"/>
    </xf>
    <xf numFmtId="0" fontId="56" fillId="0" borderId="226" xfId="2" applyFont="1" applyFill="1" applyBorder="1" applyAlignment="1" applyProtection="1">
      <alignment horizontal="center" vertical="center"/>
    </xf>
    <xf numFmtId="0" fontId="56" fillId="0" borderId="181" xfId="2" applyFont="1" applyFill="1" applyBorder="1" applyAlignment="1" applyProtection="1">
      <alignment horizontal="center" vertical="center"/>
    </xf>
    <xf numFmtId="0" fontId="56" fillId="0" borderId="50" xfId="2" applyFont="1" applyFill="1" applyBorder="1" applyAlignment="1" applyProtection="1">
      <alignment horizontal="center" vertical="center"/>
    </xf>
    <xf numFmtId="0" fontId="56" fillId="0" borderId="235" xfId="2" applyFont="1" applyFill="1" applyBorder="1" applyAlignment="1" applyProtection="1">
      <alignment horizontal="center" vertical="center"/>
    </xf>
    <xf numFmtId="0" fontId="56" fillId="0" borderId="179" xfId="2" applyFont="1" applyFill="1" applyBorder="1" applyAlignment="1" applyProtection="1">
      <alignment horizontal="right" vertical="center"/>
    </xf>
    <xf numFmtId="0" fontId="59" fillId="0" borderId="144" xfId="2" applyFont="1" applyFill="1" applyBorder="1" applyAlignment="1" applyProtection="1">
      <alignment horizontal="right" vertical="center"/>
    </xf>
    <xf numFmtId="0" fontId="56" fillId="0" borderId="241" xfId="2" applyFont="1" applyFill="1" applyBorder="1" applyAlignment="1" applyProtection="1">
      <alignment horizontal="center" vertical="center"/>
    </xf>
    <xf numFmtId="0" fontId="7" fillId="0" borderId="241" xfId="2" applyFill="1" applyBorder="1" applyAlignment="1" applyProtection="1">
      <alignment horizontal="center" vertical="center"/>
    </xf>
    <xf numFmtId="0" fontId="56" fillId="0" borderId="242" xfId="2" applyFont="1" applyFill="1" applyBorder="1" applyAlignment="1" applyProtection="1">
      <alignment horizontal="center" vertical="center"/>
    </xf>
    <xf numFmtId="0" fontId="7" fillId="0" borderId="242" xfId="2" applyFill="1" applyBorder="1" applyAlignment="1" applyProtection="1">
      <alignment horizontal="center" vertical="center"/>
    </xf>
    <xf numFmtId="0" fontId="58" fillId="0" borderId="184" xfId="2" applyFont="1" applyBorder="1" applyAlignment="1" applyProtection="1">
      <alignment horizontal="left" vertical="center" wrapText="1"/>
    </xf>
    <xf numFmtId="0" fontId="58" fillId="0" borderId="152" xfId="2" applyFont="1" applyBorder="1" applyAlignment="1" applyProtection="1">
      <alignment horizontal="left" vertical="center" wrapText="1"/>
    </xf>
    <xf numFmtId="0" fontId="58" fillId="0" borderId="151" xfId="2" applyFont="1" applyBorder="1" applyAlignment="1" applyProtection="1">
      <alignment horizontal="left" vertical="center" wrapText="1"/>
    </xf>
    <xf numFmtId="0" fontId="59" fillId="0" borderId="53" xfId="2" applyFont="1" applyBorder="1" applyAlignment="1">
      <alignment vertical="center" wrapText="1"/>
    </xf>
    <xf numFmtId="0" fontId="59" fillId="0" borderId="57" xfId="2" applyFont="1" applyBorder="1" applyAlignment="1">
      <alignment vertical="center" wrapText="1"/>
    </xf>
    <xf numFmtId="0" fontId="59" fillId="0" borderId="99" xfId="2" applyFont="1" applyBorder="1" applyAlignment="1">
      <alignment vertical="center" wrapText="1"/>
    </xf>
    <xf numFmtId="0" fontId="59" fillId="0" borderId="139" xfId="2" applyFont="1" applyBorder="1" applyAlignment="1">
      <alignment vertical="center" wrapText="1"/>
    </xf>
    <xf numFmtId="0" fontId="59" fillId="0" borderId="84" xfId="2" applyFont="1" applyBorder="1" applyAlignment="1">
      <alignment vertical="center" wrapText="1"/>
    </xf>
    <xf numFmtId="0" fontId="56" fillId="0" borderId="54" xfId="2" applyFont="1" applyBorder="1" applyAlignment="1">
      <alignment horizontal="left" vertical="center" wrapText="1"/>
    </xf>
    <xf numFmtId="0" fontId="59" fillId="0" borderId="55" xfId="2" applyFont="1" applyBorder="1" applyAlignment="1">
      <alignment horizontal="left" vertical="center" wrapText="1"/>
    </xf>
    <xf numFmtId="0" fontId="59" fillId="0" borderId="56" xfId="2" applyFont="1" applyBorder="1" applyAlignment="1">
      <alignment horizontal="left" vertical="center" wrapText="1"/>
    </xf>
    <xf numFmtId="0" fontId="56" fillId="0" borderId="191" xfId="2" applyFont="1" applyBorder="1" applyAlignment="1">
      <alignment horizontal="left" vertical="center" wrapText="1"/>
    </xf>
    <xf numFmtId="0" fontId="59" fillId="0" borderId="14" xfId="2" applyFont="1" applyBorder="1" applyAlignment="1">
      <alignment horizontal="left" vertical="center" wrapText="1"/>
    </xf>
    <xf numFmtId="0" fontId="59" fillId="0" borderId="128" xfId="2" applyFont="1" applyBorder="1" applyAlignment="1">
      <alignment horizontal="left" vertical="center" wrapText="1"/>
    </xf>
    <xf numFmtId="0" fontId="59" fillId="0" borderId="162" xfId="2" applyFont="1" applyBorder="1" applyAlignment="1">
      <alignment horizontal="left" vertical="center" wrapText="1"/>
    </xf>
    <xf numFmtId="0" fontId="59" fillId="0" borderId="163" xfId="2" applyFont="1" applyBorder="1" applyAlignment="1">
      <alignment horizontal="left" vertical="center" wrapText="1"/>
    </xf>
    <xf numFmtId="0" fontId="59" fillId="0" borderId="156" xfId="2" applyFont="1" applyBorder="1" applyAlignment="1">
      <alignment horizontal="left" vertical="center" wrapText="1"/>
    </xf>
    <xf numFmtId="0" fontId="56" fillId="0" borderId="186" xfId="2" applyFont="1" applyFill="1" applyBorder="1" applyAlignment="1" applyProtection="1">
      <alignment horizontal="center" vertical="center"/>
    </xf>
    <xf numFmtId="0" fontId="56" fillId="0" borderId="185" xfId="2" applyFont="1" applyFill="1" applyBorder="1" applyAlignment="1" applyProtection="1">
      <alignment horizontal="center" vertical="center"/>
    </xf>
    <xf numFmtId="0" fontId="56" fillId="0" borderId="52" xfId="2" applyFont="1" applyBorder="1" applyAlignment="1" applyProtection="1">
      <alignment horizontal="center" vertical="center" textRotation="255" wrapText="1" shrinkToFit="1"/>
    </xf>
    <xf numFmtId="0" fontId="56" fillId="0" borderId="182" xfId="2" applyFont="1" applyBorder="1" applyAlignment="1" applyProtection="1">
      <alignment horizontal="center" vertical="center" textRotation="255" wrapText="1" shrinkToFit="1"/>
    </xf>
    <xf numFmtId="0" fontId="56" fillId="0" borderId="69" xfId="2" applyFont="1" applyBorder="1" applyAlignment="1" applyProtection="1">
      <alignment horizontal="center" vertical="center" textRotation="255" wrapText="1" shrinkToFit="1"/>
    </xf>
    <xf numFmtId="0" fontId="56" fillId="0" borderId="104" xfId="2" applyFont="1" applyBorder="1" applyAlignment="1" applyProtection="1">
      <alignment horizontal="center" vertical="center" textRotation="255" wrapText="1" shrinkToFit="1"/>
    </xf>
    <xf numFmtId="0" fontId="56" fillId="0" borderId="99" xfId="2" applyFont="1" applyBorder="1" applyAlignment="1" applyProtection="1">
      <alignment horizontal="center" vertical="center" textRotation="255" wrapText="1" shrinkToFit="1"/>
    </xf>
    <xf numFmtId="0" fontId="56" fillId="0" borderId="100" xfId="2" applyFont="1" applyBorder="1" applyAlignment="1" applyProtection="1">
      <alignment horizontal="center" vertical="center" textRotation="255" wrapText="1" shrinkToFit="1"/>
    </xf>
    <xf numFmtId="0" fontId="56" fillId="0" borderId="233" xfId="2" applyFont="1" applyFill="1" applyBorder="1" applyAlignment="1" applyProtection="1">
      <alignment horizontal="center" vertical="center"/>
    </xf>
    <xf numFmtId="0" fontId="56" fillId="0" borderId="183" xfId="2" applyFont="1" applyBorder="1" applyAlignment="1" applyProtection="1">
      <alignment horizontal="left" vertical="center" shrinkToFit="1"/>
    </xf>
    <xf numFmtId="0" fontId="56" fillId="0" borderId="180" xfId="2" applyFont="1" applyFill="1" applyBorder="1" applyAlignment="1" applyProtection="1">
      <alignment horizontal="right" vertical="center"/>
    </xf>
    <xf numFmtId="0" fontId="56" fillId="0" borderId="149" xfId="2" applyFont="1" applyFill="1" applyBorder="1" applyAlignment="1" applyProtection="1">
      <alignment horizontal="right" vertical="center"/>
    </xf>
    <xf numFmtId="0" fontId="59" fillId="0" borderId="132" xfId="2" applyFont="1" applyBorder="1" applyAlignment="1">
      <alignment horizontal="center" vertical="center"/>
    </xf>
    <xf numFmtId="0" fontId="59" fillId="0" borderId="138" xfId="2" applyFont="1" applyBorder="1" applyAlignment="1">
      <alignment horizontal="center" vertical="center"/>
    </xf>
    <xf numFmtId="0" fontId="59" fillId="0" borderId="84" xfId="2" applyFont="1" applyBorder="1" applyAlignment="1">
      <alignment horizontal="center" vertical="center"/>
    </xf>
    <xf numFmtId="0" fontId="56" fillId="0" borderId="147" xfId="2" applyFont="1" applyFill="1" applyBorder="1" applyAlignment="1" applyProtection="1">
      <alignment horizontal="center" vertical="center"/>
    </xf>
    <xf numFmtId="0" fontId="56" fillId="0" borderId="146" xfId="2" applyFont="1" applyFill="1" applyBorder="1" applyAlignment="1" applyProtection="1">
      <alignment horizontal="center" vertical="center"/>
    </xf>
    <xf numFmtId="38" fontId="56" fillId="0" borderId="62" xfId="3" applyFont="1" applyFill="1" applyBorder="1" applyAlignment="1" applyProtection="1">
      <alignment horizontal="right" vertical="center"/>
    </xf>
    <xf numFmtId="38" fontId="56" fillId="0" borderId="2" xfId="3" applyFont="1" applyFill="1" applyBorder="1" applyAlignment="1" applyProtection="1">
      <alignment horizontal="right" vertical="center"/>
    </xf>
    <xf numFmtId="38" fontId="56" fillId="0" borderId="69" xfId="3" applyFont="1" applyFill="1" applyBorder="1" applyAlignment="1" applyProtection="1">
      <alignment horizontal="right" vertical="center"/>
    </xf>
    <xf numFmtId="38" fontId="56" fillId="0" borderId="0" xfId="3" applyFont="1" applyFill="1" applyBorder="1" applyAlignment="1" applyProtection="1">
      <alignment horizontal="right" vertical="center"/>
    </xf>
    <xf numFmtId="38" fontId="56" fillId="0" borderId="99" xfId="3" applyFont="1" applyFill="1" applyBorder="1" applyAlignment="1" applyProtection="1">
      <alignment horizontal="right" vertical="center"/>
    </xf>
    <xf numFmtId="38" fontId="56" fillId="0" borderId="139" xfId="3" applyFont="1" applyFill="1" applyBorder="1" applyAlignment="1" applyProtection="1">
      <alignment horizontal="right" vertical="center"/>
    </xf>
    <xf numFmtId="0" fontId="61" fillId="0" borderId="139" xfId="2" applyFont="1" applyFill="1" applyBorder="1" applyAlignment="1" applyProtection="1">
      <alignment horizontal="center" vertical="center"/>
    </xf>
    <xf numFmtId="0" fontId="56" fillId="0" borderId="5" xfId="2" applyFont="1" applyBorder="1" applyAlignment="1">
      <alignment horizontal="center" vertical="center" wrapText="1"/>
    </xf>
    <xf numFmtId="0" fontId="56" fillId="0" borderId="7" xfId="2" applyFont="1" applyBorder="1" applyAlignment="1">
      <alignment horizontal="center" vertical="center" wrapText="1"/>
    </xf>
    <xf numFmtId="0" fontId="56" fillId="0" borderId="6" xfId="2" applyFont="1" applyBorder="1" applyAlignment="1">
      <alignment horizontal="center" vertical="center" wrapText="1"/>
    </xf>
    <xf numFmtId="0" fontId="56" fillId="0" borderId="152" xfId="2" applyFont="1" applyFill="1" applyBorder="1" applyAlignment="1" applyProtection="1">
      <alignment horizontal="center" vertical="center"/>
    </xf>
    <xf numFmtId="0" fontId="56" fillId="0" borderId="151" xfId="2" applyFont="1" applyFill="1" applyBorder="1" applyAlignment="1" applyProtection="1">
      <alignment horizontal="center" vertical="center"/>
    </xf>
    <xf numFmtId="38" fontId="56" fillId="0" borderId="3" xfId="3" applyFont="1" applyFill="1" applyBorder="1" applyAlignment="1" applyProtection="1">
      <alignment horizontal="right" vertical="center"/>
    </xf>
    <xf numFmtId="38" fontId="56" fillId="0" borderId="7" xfId="3" applyFont="1" applyFill="1" applyBorder="1" applyAlignment="1" applyProtection="1">
      <alignment horizontal="right" vertical="center"/>
    </xf>
    <xf numFmtId="0" fontId="56" fillId="0" borderId="214" xfId="2" applyFont="1" applyFill="1" applyBorder="1" applyAlignment="1" applyProtection="1">
      <alignment horizontal="center" vertical="center"/>
    </xf>
    <xf numFmtId="0" fontId="59" fillId="0" borderId="215" xfId="2" applyFont="1" applyFill="1" applyBorder="1" applyAlignment="1" applyProtection="1">
      <alignment horizontal="center" vertical="center"/>
    </xf>
    <xf numFmtId="0" fontId="59" fillId="0" borderId="216" xfId="2" applyFont="1" applyFill="1" applyBorder="1" applyAlignment="1" applyProtection="1">
      <alignment horizontal="center" vertical="center"/>
    </xf>
    <xf numFmtId="0" fontId="56" fillId="0" borderId="58" xfId="2" applyFont="1" applyBorder="1" applyAlignment="1" applyProtection="1">
      <alignment horizontal="center" vertical="center" textRotation="255" wrapText="1" shrinkToFit="1"/>
    </xf>
    <xf numFmtId="0" fontId="56" fillId="0" borderId="12" xfId="2" applyFont="1" applyBorder="1" applyAlignment="1" applyProtection="1">
      <alignment horizontal="center" vertical="center" textRotation="255" wrapText="1" shrinkToFit="1"/>
    </xf>
    <xf numFmtId="0" fontId="56" fillId="8" borderId="50" xfId="2" applyFont="1" applyFill="1" applyBorder="1" applyAlignment="1">
      <alignment horizontal="center" vertical="center"/>
    </xf>
    <xf numFmtId="0" fontId="56" fillId="0" borderId="229" xfId="2" applyFont="1" applyFill="1" applyBorder="1" applyAlignment="1" applyProtection="1">
      <alignment horizontal="center" vertical="center"/>
    </xf>
    <xf numFmtId="0" fontId="56" fillId="0" borderId="149" xfId="2" applyFont="1" applyFill="1" applyBorder="1" applyAlignment="1" applyProtection="1">
      <alignment horizontal="center" vertical="center"/>
    </xf>
    <xf numFmtId="0" fontId="56" fillId="0" borderId="148" xfId="2" applyFont="1" applyFill="1" applyBorder="1" applyAlignment="1" applyProtection="1">
      <alignment horizontal="center" vertical="center"/>
    </xf>
    <xf numFmtId="0" fontId="56" fillId="0" borderId="52" xfId="2" applyFont="1" applyBorder="1">
      <alignment vertical="center"/>
    </xf>
    <xf numFmtId="0" fontId="7" fillId="0" borderId="53" xfId="2" applyBorder="1">
      <alignment vertical="center"/>
    </xf>
    <xf numFmtId="0" fontId="7" fillId="0" borderId="57" xfId="2" applyBorder="1">
      <alignment vertical="center"/>
    </xf>
    <xf numFmtId="0" fontId="7" fillId="0" borderId="85" xfId="2" applyBorder="1">
      <alignment vertical="center"/>
    </xf>
    <xf numFmtId="0" fontId="7" fillId="0" borderId="103" xfId="2" applyBorder="1">
      <alignment vertical="center"/>
    </xf>
    <xf numFmtId="0" fontId="56" fillId="2" borderId="39" xfId="2" applyFont="1" applyFill="1" applyBorder="1" applyAlignment="1" applyProtection="1">
      <alignment horizontal="right" vertical="center"/>
      <protection locked="0"/>
    </xf>
    <xf numFmtId="0" fontId="59" fillId="2" borderId="147" xfId="2" applyFont="1" applyFill="1" applyBorder="1" applyAlignment="1" applyProtection="1">
      <alignment horizontal="right" vertical="center"/>
      <protection locked="0"/>
    </xf>
    <xf numFmtId="0" fontId="56" fillId="0" borderId="145" xfId="2" applyFont="1" applyBorder="1" applyAlignment="1">
      <alignment horizontal="left" vertical="center" wrapText="1"/>
    </xf>
    <xf numFmtId="0" fontId="56" fillId="0" borderId="144" xfId="2" applyFont="1" applyBorder="1" applyAlignment="1">
      <alignment horizontal="left" vertical="center" wrapText="1"/>
    </xf>
    <xf numFmtId="0" fontId="56" fillId="0" borderId="183" xfId="2" applyFont="1" applyBorder="1" applyAlignment="1">
      <alignment horizontal="left" vertical="center" wrapText="1"/>
    </xf>
    <xf numFmtId="0" fontId="56" fillId="2" borderId="80" xfId="2" applyFont="1" applyFill="1" applyBorder="1" applyAlignment="1" applyProtection="1">
      <alignment horizontal="right" vertical="center"/>
      <protection locked="0"/>
    </xf>
    <xf numFmtId="0" fontId="59" fillId="2" borderId="139" xfId="2" applyFont="1" applyFill="1" applyBorder="1" applyAlignment="1" applyProtection="1">
      <alignment horizontal="right" vertical="center"/>
      <protection locked="0"/>
    </xf>
    <xf numFmtId="0" fontId="59" fillId="0" borderId="4" xfId="2" applyFont="1" applyBorder="1" applyAlignment="1">
      <alignment horizontal="center" vertical="center"/>
    </xf>
    <xf numFmtId="0" fontId="59" fillId="0" borderId="104" xfId="2" applyFont="1" applyBorder="1" applyAlignment="1">
      <alignment horizontal="center" vertical="center"/>
    </xf>
    <xf numFmtId="0" fontId="59" fillId="0" borderId="100" xfId="2" applyFont="1" applyBorder="1" applyAlignment="1">
      <alignment horizontal="center" vertical="center"/>
    </xf>
    <xf numFmtId="38" fontId="56" fillId="0" borderId="13" xfId="3" applyFont="1" applyFill="1" applyBorder="1" applyAlignment="1" applyProtection="1">
      <alignment horizontal="right" vertical="center"/>
    </xf>
    <xf numFmtId="38" fontId="56" fillId="0" borderId="80" xfId="3" applyFont="1" applyFill="1" applyBorder="1" applyAlignment="1" applyProtection="1">
      <alignment horizontal="right" vertical="center"/>
    </xf>
    <xf numFmtId="0" fontId="56" fillId="0" borderId="181" xfId="2" applyFont="1" applyFill="1" applyBorder="1" applyAlignment="1" applyProtection="1">
      <alignment horizontal="right" vertical="center"/>
    </xf>
    <xf numFmtId="0" fontId="7" fillId="0" borderId="50" xfId="2" applyFill="1" applyBorder="1" applyAlignment="1" applyProtection="1">
      <alignment horizontal="right" vertical="center"/>
    </xf>
    <xf numFmtId="0" fontId="56" fillId="0" borderId="86" xfId="2" applyFont="1" applyBorder="1" applyAlignment="1">
      <alignment horizontal="center" vertical="center" wrapText="1"/>
    </xf>
    <xf numFmtId="0" fontId="59" fillId="0" borderId="55" xfId="2" applyFont="1" applyBorder="1">
      <alignment vertical="center"/>
    </xf>
    <xf numFmtId="0" fontId="62" fillId="0" borderId="53" xfId="2" applyFont="1" applyBorder="1" applyAlignment="1">
      <alignment vertical="center" wrapText="1"/>
    </xf>
    <xf numFmtId="0" fontId="57" fillId="0" borderId="49" xfId="2" applyFont="1" applyBorder="1" applyAlignment="1">
      <alignment horizontal="center" vertical="center" wrapText="1"/>
    </xf>
    <xf numFmtId="0" fontId="57" fillId="0" borderId="50" xfId="2" applyFont="1" applyBorder="1" applyAlignment="1">
      <alignment horizontal="center" vertical="center" wrapText="1"/>
    </xf>
    <xf numFmtId="0" fontId="57" fillId="0" borderId="51" xfId="2" applyFont="1" applyBorder="1" applyAlignment="1">
      <alignment horizontal="center" vertical="center" wrapText="1"/>
    </xf>
    <xf numFmtId="0" fontId="56" fillId="0" borderId="49" xfId="2" applyFont="1" applyBorder="1" applyAlignment="1">
      <alignment horizontal="center" vertical="center"/>
    </xf>
    <xf numFmtId="0" fontId="56" fillId="0" borderId="50" xfId="2" applyFont="1" applyBorder="1" applyAlignment="1">
      <alignment horizontal="center" vertical="center"/>
    </xf>
    <xf numFmtId="0" fontId="56" fillId="0" borderId="51" xfId="2" applyFont="1" applyBorder="1" applyAlignment="1">
      <alignment horizontal="center" vertical="center"/>
    </xf>
    <xf numFmtId="0" fontId="59" fillId="0" borderId="157" xfId="2" applyFont="1" applyBorder="1" applyAlignment="1">
      <alignment horizontal="center" vertical="center"/>
    </xf>
    <xf numFmtId="0" fontId="59" fillId="0" borderId="178" xfId="2" applyFont="1" applyBorder="1" applyAlignment="1">
      <alignment horizontal="center" vertical="center"/>
    </xf>
    <xf numFmtId="0" fontId="59" fillId="0" borderId="161" xfId="2" applyFont="1" applyBorder="1" applyAlignment="1">
      <alignment horizontal="center" vertical="center"/>
    </xf>
    <xf numFmtId="0" fontId="59" fillId="2" borderId="52" xfId="2" applyFont="1" applyFill="1" applyBorder="1" applyAlignment="1" applyProtection="1">
      <alignment horizontal="center" vertical="center"/>
      <protection locked="0"/>
    </xf>
    <xf numFmtId="0" fontId="59" fillId="2" borderId="53" xfId="2" applyFont="1" applyFill="1" applyBorder="1" applyAlignment="1" applyProtection="1">
      <alignment horizontal="center" vertical="center"/>
      <protection locked="0"/>
    </xf>
    <xf numFmtId="0" fontId="59" fillId="2" borderId="57" xfId="2" applyFont="1" applyFill="1" applyBorder="1" applyAlignment="1" applyProtection="1">
      <alignment horizontal="center" vertical="center"/>
      <protection locked="0"/>
    </xf>
    <xf numFmtId="0" fontId="59" fillId="2" borderId="99" xfId="2" applyFont="1" applyFill="1" applyBorder="1" applyAlignment="1" applyProtection="1">
      <alignment horizontal="center" vertical="center"/>
      <protection locked="0"/>
    </xf>
    <xf numFmtId="0" fontId="59" fillId="2" borderId="139" xfId="2" applyFont="1" applyFill="1" applyBorder="1" applyAlignment="1" applyProtection="1">
      <alignment horizontal="center" vertical="center"/>
      <protection locked="0"/>
    </xf>
    <xf numFmtId="0" fontId="59" fillId="2" borderId="84" xfId="2" applyFont="1" applyFill="1" applyBorder="1" applyAlignment="1" applyProtection="1">
      <alignment horizontal="center" vertical="center"/>
      <protection locked="0"/>
    </xf>
    <xf numFmtId="0" fontId="56" fillId="0" borderId="55" xfId="2" applyFont="1" applyBorder="1" applyAlignment="1">
      <alignment horizontal="center" vertical="center" wrapText="1"/>
    </xf>
    <xf numFmtId="0" fontId="59" fillId="0" borderId="56" xfId="2" applyFont="1" applyBorder="1">
      <alignment vertical="center"/>
    </xf>
    <xf numFmtId="0" fontId="56" fillId="0" borderId="193" xfId="2" applyFont="1" applyBorder="1" applyAlignment="1">
      <alignment vertical="center" wrapText="1"/>
    </xf>
    <xf numFmtId="0" fontId="59" fillId="0" borderId="192" xfId="2" applyFont="1" applyBorder="1" applyAlignment="1">
      <alignment vertical="center" wrapText="1"/>
    </xf>
    <xf numFmtId="0" fontId="59" fillId="0" borderId="192" xfId="2" applyFont="1" applyBorder="1">
      <alignment vertical="center"/>
    </xf>
    <xf numFmtId="0" fontId="70" fillId="0" borderId="0" xfId="2" applyFont="1" applyAlignment="1">
      <alignment horizontal="center" vertical="center"/>
    </xf>
    <xf numFmtId="0" fontId="56" fillId="0" borderId="55" xfId="2" applyFont="1" applyBorder="1" applyAlignment="1">
      <alignment vertical="center" shrinkToFit="1"/>
    </xf>
    <xf numFmtId="0" fontId="56" fillId="0" borderId="56" xfId="2" applyFont="1" applyBorder="1" applyAlignment="1">
      <alignment vertical="center" shrinkToFit="1"/>
    </xf>
    <xf numFmtId="0" fontId="56" fillId="0" borderId="8" xfId="2" applyFont="1" applyBorder="1" applyAlignment="1">
      <alignment vertical="center" shrinkToFit="1"/>
    </xf>
    <xf numFmtId="0" fontId="56" fillId="0" borderId="91" xfId="2" applyFont="1" applyBorder="1" applyAlignment="1">
      <alignment vertical="center" shrinkToFit="1"/>
    </xf>
    <xf numFmtId="0" fontId="56" fillId="2" borderId="180" xfId="2" applyNumberFormat="1" applyFont="1" applyFill="1" applyBorder="1" applyAlignment="1" applyProtection="1">
      <alignment horizontal="right" vertical="center"/>
      <protection locked="0"/>
    </xf>
    <xf numFmtId="0" fontId="56" fillId="2" borderId="149" xfId="2" applyNumberFormat="1" applyFont="1" applyFill="1" applyBorder="1" applyAlignment="1" applyProtection="1">
      <alignment horizontal="right" vertical="center"/>
      <protection locked="0"/>
    </xf>
    <xf numFmtId="0" fontId="59" fillId="0" borderId="90" xfId="2" applyFont="1" applyBorder="1" applyAlignment="1" applyProtection="1">
      <alignment horizontal="distributed" vertical="center"/>
    </xf>
    <xf numFmtId="0" fontId="59" fillId="0" borderId="8" xfId="2" applyFont="1" applyBorder="1" applyAlignment="1" applyProtection="1">
      <alignment horizontal="distributed" vertical="center"/>
    </xf>
    <xf numFmtId="0" fontId="56" fillId="0" borderId="11" xfId="2" applyFont="1" applyBorder="1" applyAlignment="1" applyProtection="1">
      <alignment vertical="center" shrinkToFit="1"/>
    </xf>
    <xf numFmtId="0" fontId="56" fillId="0" borderId="10" xfId="2" applyFont="1" applyBorder="1" applyAlignment="1" applyProtection="1">
      <alignment vertical="center" shrinkToFit="1"/>
    </xf>
    <xf numFmtId="0" fontId="56" fillId="0" borderId="61" xfId="2" applyFont="1" applyBorder="1" applyAlignment="1" applyProtection="1">
      <alignment vertical="center" shrinkToFit="1"/>
    </xf>
    <xf numFmtId="0" fontId="70" fillId="0" borderId="0" xfId="2" applyFont="1" applyAlignment="1" applyProtection="1">
      <alignment horizontal="center" vertical="center"/>
    </xf>
    <xf numFmtId="0" fontId="59" fillId="0" borderId="54" xfId="2" applyFont="1" applyBorder="1" applyAlignment="1" applyProtection="1">
      <alignment horizontal="distributed" vertical="center"/>
    </xf>
    <xf numFmtId="0" fontId="59" fillId="0" borderId="55" xfId="2" applyFont="1" applyBorder="1" applyAlignment="1" applyProtection="1">
      <alignment horizontal="distributed" vertical="center"/>
    </xf>
    <xf numFmtId="0" fontId="56" fillId="0" borderId="87" xfId="2" applyFont="1" applyBorder="1" applyAlignment="1" applyProtection="1">
      <alignment vertical="center" shrinkToFit="1"/>
    </xf>
    <xf numFmtId="0" fontId="56" fillId="0" borderId="171" xfId="2" applyFont="1" applyBorder="1" applyAlignment="1" applyProtection="1">
      <alignment vertical="center" shrinkToFit="1"/>
    </xf>
    <xf numFmtId="0" fontId="56" fillId="0" borderId="116" xfId="2" applyFont="1" applyBorder="1" applyAlignment="1" applyProtection="1">
      <alignment vertical="center" shrinkToFit="1"/>
    </xf>
    <xf numFmtId="0" fontId="59" fillId="0" borderId="162" xfId="2" applyFont="1" applyBorder="1" applyAlignment="1" applyProtection="1">
      <alignment horizontal="distributed" vertical="center"/>
    </xf>
    <xf numFmtId="0" fontId="59" fillId="0" borderId="163" xfId="2" applyFont="1" applyBorder="1" applyAlignment="1" applyProtection="1">
      <alignment horizontal="distributed" vertical="center"/>
    </xf>
    <xf numFmtId="0" fontId="56" fillId="0" borderId="7" xfId="2" applyFont="1" applyBorder="1" applyAlignment="1" applyProtection="1">
      <alignment horizontal="center" vertical="center" wrapText="1"/>
    </xf>
    <xf numFmtId="0" fontId="56" fillId="0" borderId="6" xfId="2" applyFont="1" applyBorder="1" applyAlignment="1" applyProtection="1">
      <alignment horizontal="center" vertical="center" wrapText="1"/>
    </xf>
    <xf numFmtId="0" fontId="56" fillId="0" borderId="5" xfId="2" applyFont="1" applyBorder="1" applyAlignment="1" applyProtection="1">
      <alignment horizontal="center" vertical="center"/>
    </xf>
    <xf numFmtId="0" fontId="56" fillId="0" borderId="7" xfId="2" applyFont="1" applyBorder="1" applyAlignment="1" applyProtection="1">
      <alignment horizontal="center" vertical="center"/>
    </xf>
    <xf numFmtId="0" fontId="56" fillId="0" borderId="6" xfId="2" applyFont="1" applyBorder="1" applyAlignment="1" applyProtection="1">
      <alignment horizontal="center" vertical="center"/>
    </xf>
    <xf numFmtId="0" fontId="59" fillId="0" borderId="5" xfId="2" applyFont="1" applyBorder="1" applyAlignment="1" applyProtection="1">
      <alignment horizontal="left" vertical="center" wrapText="1"/>
    </xf>
    <xf numFmtId="0" fontId="59" fillId="0" borderId="7" xfId="2" applyFont="1" applyBorder="1" applyAlignment="1" applyProtection="1">
      <alignment horizontal="left" vertical="center" wrapText="1"/>
    </xf>
    <xf numFmtId="0" fontId="59" fillId="0" borderId="6" xfId="2" applyFont="1" applyBorder="1" applyAlignment="1" applyProtection="1">
      <alignment horizontal="left" vertical="center" wrapText="1"/>
    </xf>
    <xf numFmtId="192" fontId="71" fillId="8" borderId="7" xfId="2" applyNumberFormat="1" applyFont="1" applyFill="1" applyBorder="1" applyAlignment="1">
      <alignment horizontal="right" vertical="center"/>
    </xf>
    <xf numFmtId="0" fontId="56" fillId="0" borderId="157" xfId="2" applyFont="1" applyBorder="1" applyAlignment="1" applyProtection="1">
      <alignment horizontal="center" vertical="center"/>
    </xf>
    <xf numFmtId="0" fontId="56" fillId="0" borderId="178" xfId="2" applyFont="1" applyBorder="1" applyAlignment="1" applyProtection="1">
      <alignment horizontal="center" vertical="center"/>
    </xf>
    <xf numFmtId="0" fontId="56" fillId="0" borderId="161" xfId="2" applyFont="1" applyBorder="1" applyAlignment="1" applyProtection="1">
      <alignment horizontal="center" vertical="center"/>
    </xf>
    <xf numFmtId="0" fontId="56" fillId="0" borderId="195" xfId="2" applyFont="1" applyBorder="1" applyAlignment="1" applyProtection="1">
      <alignment horizontal="left" vertical="center"/>
    </xf>
    <xf numFmtId="0" fontId="56" fillId="0" borderId="106" xfId="2" applyFont="1" applyBorder="1" applyAlignment="1" applyProtection="1">
      <alignment horizontal="left" vertical="center"/>
    </xf>
    <xf numFmtId="0" fontId="56" fillId="0" borderId="194" xfId="2" applyFont="1" applyBorder="1" applyAlignment="1" applyProtection="1">
      <alignment horizontal="left" vertical="center"/>
    </xf>
    <xf numFmtId="0" fontId="59" fillId="0" borderId="8" xfId="2" applyFont="1" applyBorder="1" applyAlignment="1" applyProtection="1">
      <alignment horizontal="left" vertical="center" wrapText="1"/>
    </xf>
    <xf numFmtId="192" fontId="71" fillId="0" borderId="7" xfId="2" applyNumberFormat="1" applyFont="1" applyFill="1" applyBorder="1" applyAlignment="1" applyProtection="1">
      <alignment horizontal="right" vertical="center"/>
    </xf>
    <xf numFmtId="0" fontId="56" fillId="0" borderId="81" xfId="2" applyFont="1" applyBorder="1" applyAlignment="1" applyProtection="1">
      <alignment horizontal="left" vertical="center"/>
    </xf>
    <xf numFmtId="0" fontId="56" fillId="0" borderId="82" xfId="2" applyFont="1" applyBorder="1" applyAlignment="1" applyProtection="1">
      <alignment horizontal="left" vertical="center"/>
    </xf>
    <xf numFmtId="0" fontId="56" fillId="0" borderId="83" xfId="2" applyFont="1" applyBorder="1" applyAlignment="1" applyProtection="1">
      <alignment horizontal="left" vertical="center"/>
    </xf>
    <xf numFmtId="192" fontId="71" fillId="8" borderId="7" xfId="2" applyNumberFormat="1" applyFont="1" applyFill="1" applyBorder="1" applyAlignment="1" applyProtection="1">
      <alignment horizontal="right" vertical="center"/>
    </xf>
    <xf numFmtId="38" fontId="71" fillId="8" borderId="5" xfId="2" applyNumberFormat="1" applyFont="1" applyFill="1" applyBorder="1" applyAlignment="1" applyProtection="1">
      <alignment horizontal="right"/>
    </xf>
    <xf numFmtId="38" fontId="71" fillId="8" borderId="7" xfId="2" applyNumberFormat="1" applyFont="1" applyFill="1" applyBorder="1" applyAlignment="1" applyProtection="1">
      <alignment horizontal="right"/>
    </xf>
    <xf numFmtId="38" fontId="71" fillId="8" borderId="6" xfId="2" applyNumberFormat="1" applyFont="1" applyFill="1" applyBorder="1" applyAlignment="1" applyProtection="1">
      <alignment horizontal="right"/>
    </xf>
    <xf numFmtId="0" fontId="72" fillId="9" borderId="7" xfId="2" applyFont="1" applyFill="1" applyBorder="1" applyAlignment="1" applyProtection="1">
      <alignment horizontal="left" vertical="center" wrapText="1"/>
    </xf>
    <xf numFmtId="0" fontId="72" fillId="9" borderId="6" xfId="2" applyFont="1" applyFill="1" applyBorder="1" applyAlignment="1" applyProtection="1">
      <alignment horizontal="left" vertical="center" wrapText="1"/>
    </xf>
    <xf numFmtId="192" fontId="71" fillId="2" borderId="7" xfId="2" applyNumberFormat="1" applyFont="1" applyFill="1" applyBorder="1" applyAlignment="1" applyProtection="1">
      <alignment horizontal="right" vertical="center"/>
      <protection locked="0"/>
    </xf>
    <xf numFmtId="0" fontId="59" fillId="2" borderId="5" xfId="2" applyFont="1" applyFill="1" applyBorder="1" applyAlignment="1" applyProtection="1">
      <alignment horizontal="center" vertical="center" wrapText="1"/>
      <protection locked="0"/>
    </xf>
    <xf numFmtId="0" fontId="59" fillId="2" borderId="7" xfId="2" applyFont="1" applyFill="1" applyBorder="1" applyAlignment="1" applyProtection="1">
      <alignment horizontal="center" vertical="center" wrapText="1"/>
      <protection locked="0"/>
    </xf>
    <xf numFmtId="0" fontId="59" fillId="2" borderId="6" xfId="2" applyFont="1" applyFill="1" applyBorder="1" applyAlignment="1" applyProtection="1">
      <alignment horizontal="center" vertical="center" wrapText="1"/>
      <protection locked="0"/>
    </xf>
    <xf numFmtId="0" fontId="56" fillId="0" borderId="5" xfId="2" applyFont="1" applyBorder="1" applyAlignment="1" applyProtection="1">
      <alignment horizontal="center" vertical="center" wrapText="1"/>
    </xf>
    <xf numFmtId="0" fontId="59" fillId="0" borderId="0" xfId="2" applyFont="1" applyAlignment="1" applyProtection="1">
      <alignment horizontal="center" vertical="center"/>
    </xf>
    <xf numFmtId="0" fontId="59" fillId="0" borderId="3" xfId="2" applyFont="1" applyBorder="1" applyAlignment="1" applyProtection="1">
      <alignment horizontal="left" vertical="center" wrapText="1"/>
    </xf>
    <xf numFmtId="0" fontId="59" fillId="0" borderId="2" xfId="2" applyFont="1" applyBorder="1" applyAlignment="1" applyProtection="1">
      <alignment horizontal="left" vertical="center" wrapText="1"/>
    </xf>
    <xf numFmtId="0" fontId="59" fillId="0" borderId="4" xfId="2" applyFont="1" applyBorder="1" applyAlignment="1" applyProtection="1">
      <alignment horizontal="left" vertical="center" wrapText="1"/>
    </xf>
    <xf numFmtId="0" fontId="56" fillId="0" borderId="7" xfId="2" applyFont="1" applyBorder="1" applyAlignment="1" applyProtection="1">
      <alignment horizontal="distributed"/>
    </xf>
    <xf numFmtId="0" fontId="62" fillId="0" borderId="0" xfId="2" applyFont="1" applyAlignment="1" applyProtection="1">
      <alignment horizontal="left" vertical="top" wrapText="1"/>
    </xf>
    <xf numFmtId="0" fontId="7" fillId="0" borderId="0" xfId="2" applyAlignment="1" applyProtection="1">
      <alignment horizontal="left" vertical="top" wrapText="1"/>
    </xf>
    <xf numFmtId="0" fontId="56" fillId="2" borderId="0" xfId="2" applyFont="1" applyFill="1" applyAlignment="1" applyProtection="1">
      <alignment horizontal="left" shrinkToFit="1"/>
      <protection locked="0"/>
    </xf>
    <xf numFmtId="0" fontId="56" fillId="0" borderId="0" xfId="2" applyFont="1" applyAlignment="1" applyProtection="1">
      <alignment horizontal="center" vertical="center"/>
    </xf>
    <xf numFmtId="0" fontId="56" fillId="0" borderId="10" xfId="2" applyFont="1" applyBorder="1" applyAlignment="1" applyProtection="1">
      <alignment horizontal="distributed"/>
    </xf>
    <xf numFmtId="192" fontId="71" fillId="0" borderId="7" xfId="2" applyNumberFormat="1" applyFont="1" applyBorder="1" applyAlignment="1" applyProtection="1">
      <alignment horizontal="right" vertical="center"/>
    </xf>
    <xf numFmtId="0" fontId="89" fillId="0" borderId="53" xfId="4" applyFont="1" applyBorder="1" applyAlignment="1">
      <alignment horizontal="center" vertical="center" wrapText="1"/>
    </xf>
    <xf numFmtId="0" fontId="89" fillId="0" borderId="57" xfId="4" applyFont="1" applyBorder="1" applyAlignment="1">
      <alignment horizontal="center" vertical="center" wrapText="1"/>
    </xf>
    <xf numFmtId="0" fontId="89" fillId="0" borderId="0" xfId="4" applyFont="1" applyAlignment="1">
      <alignment horizontal="center" vertical="center" wrapText="1"/>
    </xf>
    <xf numFmtId="0" fontId="89" fillId="0" borderId="138" xfId="4" applyFont="1" applyBorder="1" applyAlignment="1">
      <alignment horizontal="center" vertical="center" wrapText="1"/>
    </xf>
    <xf numFmtId="0" fontId="89" fillId="0" borderId="139" xfId="4" applyFont="1" applyBorder="1" applyAlignment="1">
      <alignment horizontal="center" vertical="center" wrapText="1"/>
    </xf>
    <xf numFmtId="0" fontId="89" fillId="0" borderId="84" xfId="4" applyFont="1" applyBorder="1" applyAlignment="1">
      <alignment horizontal="center" vertical="center" wrapText="1"/>
    </xf>
    <xf numFmtId="0" fontId="87" fillId="0" borderId="0" xfId="6" applyFont="1" applyAlignment="1">
      <alignment horizontal="left" vertical="center"/>
    </xf>
    <xf numFmtId="0" fontId="77" fillId="0" borderId="8" xfId="6" applyFont="1" applyBorder="1" applyAlignment="1">
      <alignment horizontal="center" vertical="center"/>
    </xf>
    <xf numFmtId="0" fontId="77" fillId="0" borderId="8" xfId="6" applyFont="1" applyBorder="1" applyAlignment="1">
      <alignment horizontal="center" vertical="center" wrapText="1"/>
    </xf>
    <xf numFmtId="0" fontId="77" fillId="0" borderId="6" xfId="6" applyFont="1" applyBorder="1" applyAlignment="1">
      <alignment horizontal="center" vertical="center" wrapText="1" shrinkToFit="1"/>
    </xf>
    <xf numFmtId="0" fontId="77" fillId="0" borderId="8" xfId="6" applyFont="1" applyBorder="1" applyAlignment="1">
      <alignment horizontal="center" vertical="center" wrapText="1" shrinkToFit="1"/>
    </xf>
    <xf numFmtId="0" fontId="86" fillId="9" borderId="132" xfId="6" applyFont="1" applyFill="1" applyBorder="1" applyAlignment="1">
      <alignment horizontal="center" vertical="center"/>
    </xf>
    <xf numFmtId="0" fontId="86" fillId="9" borderId="61" xfId="6" applyFont="1" applyFill="1" applyBorder="1" applyAlignment="1">
      <alignment horizontal="center" vertical="center"/>
    </xf>
    <xf numFmtId="0" fontId="86" fillId="9" borderId="5" xfId="4" applyFont="1" applyFill="1" applyBorder="1" applyAlignment="1">
      <alignment horizontal="center" vertical="center"/>
    </xf>
    <xf numFmtId="0" fontId="86" fillId="9" borderId="7" xfId="4" applyFont="1" applyFill="1" applyBorder="1" applyAlignment="1">
      <alignment horizontal="center" vertical="center"/>
    </xf>
    <xf numFmtId="0" fontId="86" fillId="9" borderId="6" xfId="4" applyFont="1" applyFill="1" applyBorder="1" applyAlignment="1">
      <alignment horizontal="center" vertical="center"/>
    </xf>
    <xf numFmtId="0" fontId="82" fillId="9" borderId="90" xfId="7" applyFont="1" applyFill="1" applyBorder="1" applyAlignment="1">
      <alignment horizontal="center" vertical="center" wrapText="1" shrinkToFit="1"/>
    </xf>
    <xf numFmtId="0" fontId="82" fillId="9" borderId="8" xfId="7" applyFont="1" applyFill="1" applyBorder="1" applyAlignment="1">
      <alignment horizontal="center" vertical="center" wrapText="1" shrinkToFit="1"/>
    </xf>
    <xf numFmtId="0" fontId="82" fillId="9" borderId="3" xfId="7" applyFont="1" applyFill="1" applyBorder="1" applyAlignment="1">
      <alignment horizontal="center" vertical="center" wrapText="1" shrinkToFit="1"/>
    </xf>
    <xf numFmtId="0" fontId="82" fillId="9" borderId="13" xfId="7" applyFont="1" applyFill="1" applyBorder="1" applyAlignment="1">
      <alignment horizontal="center" vertical="center" wrapText="1" shrinkToFit="1"/>
    </xf>
    <xf numFmtId="0" fontId="82" fillId="9" borderId="11" xfId="7" applyFont="1" applyFill="1" applyBorder="1" applyAlignment="1">
      <alignment horizontal="center" vertical="center" wrapText="1" shrinkToFit="1"/>
    </xf>
    <xf numFmtId="0" fontId="82" fillId="12" borderId="8" xfId="7" applyFont="1" applyFill="1" applyBorder="1" applyAlignment="1">
      <alignment horizontal="center" vertical="center" wrapText="1" shrinkToFit="1"/>
    </xf>
    <xf numFmtId="0" fontId="87" fillId="9" borderId="54" xfId="6" applyFont="1" applyFill="1" applyBorder="1" applyAlignment="1">
      <alignment horizontal="center" vertical="center"/>
    </xf>
    <xf numFmtId="0" fontId="87" fillId="9" borderId="55" xfId="6" applyFont="1" applyFill="1" applyBorder="1" applyAlignment="1">
      <alignment horizontal="center" vertical="center"/>
    </xf>
    <xf numFmtId="0" fontId="87" fillId="9" borderId="87" xfId="6" applyFont="1" applyFill="1" applyBorder="1" applyAlignment="1">
      <alignment horizontal="center" vertical="center"/>
    </xf>
    <xf numFmtId="0" fontId="87" fillId="9" borderId="56" xfId="6" applyFont="1" applyFill="1" applyBorder="1" applyAlignment="1">
      <alignment horizontal="center" vertical="center"/>
    </xf>
    <xf numFmtId="0" fontId="87" fillId="9" borderId="115" xfId="4" applyFont="1" applyFill="1" applyBorder="1" applyAlignment="1">
      <alignment horizontal="center" vertical="center"/>
    </xf>
    <xf numFmtId="0" fontId="87" fillId="9" borderId="53" xfId="4" applyFont="1" applyFill="1" applyBorder="1" applyAlignment="1">
      <alignment horizontal="center" vertical="center"/>
    </xf>
    <xf numFmtId="0" fontId="87" fillId="9" borderId="171" xfId="4" applyFont="1" applyFill="1" applyBorder="1" applyAlignment="1">
      <alignment horizontal="center" vertical="center"/>
    </xf>
    <xf numFmtId="0" fontId="87" fillId="9" borderId="116" xfId="4" applyFont="1" applyFill="1" applyBorder="1" applyAlignment="1">
      <alignment horizontal="center" vertical="center"/>
    </xf>
    <xf numFmtId="0" fontId="82" fillId="9" borderId="7" xfId="6" applyFont="1" applyFill="1" applyBorder="1" applyAlignment="1">
      <alignment horizontal="center" vertical="center" wrapText="1"/>
    </xf>
    <xf numFmtId="0" fontId="82" fillId="9" borderId="6" xfId="6" applyFont="1" applyFill="1" applyBorder="1" applyAlignment="1">
      <alignment horizontal="center" vertical="center" wrapText="1"/>
    </xf>
    <xf numFmtId="0" fontId="82" fillId="9" borderId="6" xfId="7" applyFont="1" applyFill="1" applyBorder="1" applyAlignment="1">
      <alignment horizontal="center" vertical="center" wrapText="1" shrinkToFit="1"/>
    </xf>
    <xf numFmtId="0" fontId="82" fillId="12" borderId="91" xfId="7" applyFont="1" applyFill="1" applyBorder="1" applyAlignment="1">
      <alignment horizontal="center" vertical="center" wrapText="1" shrinkToFit="1"/>
    </xf>
    <xf numFmtId="0" fontId="90" fillId="0" borderId="88" xfId="6" applyFont="1" applyBorder="1" applyAlignment="1">
      <alignment horizontal="center" vertical="center"/>
    </xf>
    <xf numFmtId="0" fontId="90" fillId="0" borderId="85" xfId="6" applyFont="1" applyBorder="1" applyAlignment="1">
      <alignment horizontal="center" vertical="center"/>
    </xf>
    <xf numFmtId="0" fontId="90" fillId="0" borderId="103" xfId="6" applyFont="1" applyBorder="1" applyAlignment="1">
      <alignment horizontal="center" vertical="center"/>
    </xf>
    <xf numFmtId="0" fontId="82" fillId="9" borderId="131" xfId="7" applyFont="1" applyFill="1" applyBorder="1" applyAlignment="1">
      <alignment horizontal="center" vertical="center" wrapText="1" shrinkToFit="1"/>
    </xf>
    <xf numFmtId="0" fontId="82" fillId="9" borderId="128" xfId="7" applyFont="1" applyFill="1" applyBorder="1" applyAlignment="1">
      <alignment horizontal="center" vertical="center" wrapText="1" shrinkToFit="1"/>
    </xf>
    <xf numFmtId="0" fontId="82" fillId="9" borderId="5" xfId="7" applyFont="1" applyFill="1" applyBorder="1" applyAlignment="1">
      <alignment horizontal="center" vertical="center" shrinkToFit="1"/>
    </xf>
    <xf numFmtId="0" fontId="82" fillId="9" borderId="7" xfId="7" applyFont="1" applyFill="1" applyBorder="1" applyAlignment="1">
      <alignment horizontal="center" vertical="center" shrinkToFit="1"/>
    </xf>
    <xf numFmtId="0" fontId="82" fillId="9" borderId="1" xfId="6" applyFont="1" applyFill="1" applyBorder="1" applyAlignment="1">
      <alignment horizontal="center" vertical="center" wrapText="1"/>
    </xf>
    <xf numFmtId="0" fontId="82" fillId="9" borderId="9" xfId="6" applyFont="1" applyFill="1" applyBorder="1" applyAlignment="1">
      <alignment horizontal="center" vertical="center" wrapText="1"/>
    </xf>
    <xf numFmtId="0" fontId="77" fillId="0" borderId="8" xfId="6" applyFont="1" applyBorder="1" applyAlignment="1" applyProtection="1">
      <alignment horizontal="left" vertical="center" shrinkToFit="1"/>
      <protection locked="0"/>
    </xf>
    <xf numFmtId="0" fontId="77" fillId="0" borderId="6" xfId="6" applyNumberFormat="1" applyFont="1" applyBorder="1" applyAlignment="1" applyProtection="1">
      <alignment horizontal="left" vertical="center" shrinkToFit="1"/>
      <protection locked="0"/>
    </xf>
    <xf numFmtId="0" fontId="77" fillId="0" borderId="8" xfId="6" applyNumberFormat="1" applyFont="1" applyBorder="1" applyAlignment="1" applyProtection="1">
      <alignment horizontal="left" vertical="center" shrinkToFit="1"/>
      <protection locked="0"/>
    </xf>
    <xf numFmtId="38" fontId="77" fillId="0" borderId="91" xfId="6" applyNumberFormat="1" applyFont="1" applyBorder="1" applyAlignment="1" applyProtection="1">
      <alignment horizontal="center" vertical="center" shrinkToFit="1"/>
    </xf>
    <xf numFmtId="0" fontId="84" fillId="9" borderId="6" xfId="6" applyNumberFormat="1" applyFont="1" applyFill="1" applyBorder="1" applyAlignment="1" applyProtection="1">
      <alignment horizontal="left" vertical="center" shrinkToFit="1"/>
      <protection locked="0"/>
    </xf>
    <xf numFmtId="0" fontId="84" fillId="9" borderId="8" xfId="6" applyNumberFormat="1" applyFont="1" applyFill="1" applyBorder="1" applyAlignment="1" applyProtection="1">
      <alignment horizontal="left" vertical="center" shrinkToFit="1"/>
      <protection locked="0"/>
    </xf>
    <xf numFmtId="0" fontId="82" fillId="9" borderId="59" xfId="7" applyFont="1" applyFill="1" applyBorder="1" applyAlignment="1">
      <alignment horizontal="center" vertical="center" wrapText="1" shrinkToFit="1"/>
    </xf>
    <xf numFmtId="0" fontId="82" fillId="9" borderId="5" xfId="6" applyFont="1" applyFill="1" applyBorder="1" applyAlignment="1">
      <alignment horizontal="center" vertical="center" wrapText="1"/>
    </xf>
    <xf numFmtId="0" fontId="77" fillId="0" borderId="5" xfId="6" applyFont="1" applyBorder="1" applyAlignment="1" applyProtection="1">
      <alignment horizontal="left" vertical="center" shrinkToFit="1"/>
      <protection locked="0"/>
    </xf>
    <xf numFmtId="0" fontId="77" fillId="0" borderId="7" xfId="6" applyFont="1" applyBorder="1" applyAlignment="1" applyProtection="1">
      <alignment horizontal="left" vertical="center" shrinkToFit="1"/>
      <protection locked="0"/>
    </xf>
    <xf numFmtId="0" fontId="77" fillId="0" borderId="6" xfId="6" applyFont="1" applyBorder="1" applyAlignment="1" applyProtection="1">
      <alignment horizontal="left" vertical="center" shrinkToFit="1"/>
      <protection locked="0"/>
    </xf>
    <xf numFmtId="0" fontId="84" fillId="9" borderId="6" xfId="6" applyNumberFormat="1" applyFont="1" applyFill="1" applyBorder="1" applyAlignment="1" applyProtection="1">
      <alignment horizontal="left" vertical="center" wrapText="1" shrinkToFit="1"/>
      <protection locked="0"/>
    </xf>
    <xf numFmtId="0" fontId="84" fillId="0" borderId="6" xfId="6" applyNumberFormat="1" applyFont="1" applyBorder="1" applyAlignment="1" applyProtection="1">
      <alignment horizontal="left" vertical="center" shrinkToFit="1"/>
      <protection locked="0"/>
    </xf>
    <xf numFmtId="0" fontId="84" fillId="0" borderId="8" xfId="6" applyNumberFormat="1" applyFont="1" applyBorder="1" applyAlignment="1" applyProtection="1">
      <alignment horizontal="left" vertical="center" shrinkToFit="1"/>
      <protection locked="0"/>
    </xf>
    <xf numFmtId="0" fontId="77" fillId="0" borderId="9" xfId="6" applyFont="1" applyBorder="1" applyAlignment="1" applyProtection="1">
      <alignment horizontal="left" vertical="center" shrinkToFit="1"/>
      <protection locked="0"/>
    </xf>
    <xf numFmtId="38" fontId="77" fillId="9" borderId="212" xfId="6" applyNumberFormat="1" applyFont="1" applyFill="1" applyBorder="1" applyAlignment="1" applyProtection="1">
      <alignment horizontal="center" vertical="center" shrinkToFit="1"/>
    </xf>
    <xf numFmtId="38" fontId="77" fillId="9" borderId="202" xfId="6" applyNumberFormat="1" applyFont="1" applyFill="1" applyBorder="1" applyAlignment="1" applyProtection="1">
      <alignment horizontal="center" vertical="center" shrinkToFit="1"/>
    </xf>
    <xf numFmtId="0" fontId="77" fillId="9" borderId="212" xfId="6" applyFont="1" applyFill="1" applyBorder="1" applyAlignment="1" applyProtection="1">
      <alignment horizontal="center" vertical="center" shrinkToFit="1"/>
    </xf>
    <xf numFmtId="0" fontId="77" fillId="9" borderId="202" xfId="6" applyFont="1" applyFill="1" applyBorder="1" applyAlignment="1" applyProtection="1">
      <alignment horizontal="center" vertical="center" shrinkToFit="1"/>
    </xf>
    <xf numFmtId="0" fontId="77" fillId="9" borderId="201" xfId="6" applyFont="1" applyFill="1" applyBorder="1" applyAlignment="1" applyProtection="1">
      <alignment horizontal="center" vertical="center" shrinkToFit="1"/>
    </xf>
    <xf numFmtId="38" fontId="77" fillId="0" borderId="211" xfId="6" applyNumberFormat="1" applyFont="1" applyBorder="1" applyAlignment="1" applyProtection="1">
      <alignment horizontal="center" vertical="center" shrinkToFit="1"/>
    </xf>
    <xf numFmtId="38" fontId="77" fillId="0" borderId="207" xfId="6" applyNumberFormat="1" applyFont="1" applyBorder="1" applyAlignment="1" applyProtection="1">
      <alignment horizontal="center" vertical="center" shrinkToFit="1"/>
    </xf>
    <xf numFmtId="38" fontId="77" fillId="0" borderId="200" xfId="6" applyNumberFormat="1" applyFont="1" applyBorder="1" applyAlignment="1" applyProtection="1">
      <alignment horizontal="center" vertical="center" shrinkToFit="1"/>
    </xf>
    <xf numFmtId="38" fontId="77" fillId="0" borderId="210" xfId="6" applyNumberFormat="1" applyFont="1" applyBorder="1" applyAlignment="1" applyProtection="1">
      <alignment horizontal="center" vertical="center" shrinkToFit="1"/>
    </xf>
    <xf numFmtId="38" fontId="77" fillId="0" borderId="206" xfId="6" applyNumberFormat="1" applyFont="1" applyBorder="1" applyAlignment="1" applyProtection="1">
      <alignment horizontal="center" vertical="center" shrinkToFit="1"/>
    </xf>
    <xf numFmtId="38" fontId="77" fillId="0" borderId="199" xfId="6" applyNumberFormat="1" applyFont="1" applyBorder="1" applyAlignment="1" applyProtection="1">
      <alignment horizontal="center" vertical="center" shrinkToFit="1"/>
    </xf>
    <xf numFmtId="0" fontId="77" fillId="0" borderId="0" xfId="4" applyFont="1" applyAlignment="1">
      <alignment horizontal="left" vertical="top" wrapText="1"/>
    </xf>
    <xf numFmtId="0" fontId="77" fillId="0" borderId="0" xfId="4" applyFont="1" applyAlignment="1">
      <alignment horizontal="left" vertical="top"/>
    </xf>
    <xf numFmtId="0" fontId="77" fillId="9" borderId="197" xfId="6" applyNumberFormat="1" applyFont="1" applyFill="1" applyBorder="1" applyAlignment="1">
      <alignment horizontal="left" vertical="center" shrinkToFit="1"/>
    </xf>
    <xf numFmtId="0" fontId="77" fillId="9" borderId="196" xfId="6" applyNumberFormat="1" applyFont="1" applyFill="1" applyBorder="1" applyAlignment="1">
      <alignment horizontal="left" vertical="center" shrinkToFit="1"/>
    </xf>
    <xf numFmtId="0" fontId="82" fillId="0" borderId="5" xfId="4" applyFont="1" applyBorder="1" applyAlignment="1">
      <alignment horizontal="left" vertical="center" wrapText="1"/>
    </xf>
    <xf numFmtId="0" fontId="82" fillId="0" borderId="7" xfId="4" applyFont="1" applyBorder="1" applyAlignment="1">
      <alignment horizontal="left" vertical="center" wrapText="1"/>
    </xf>
    <xf numFmtId="0" fontId="82" fillId="0" borderId="6" xfId="4" applyFont="1" applyBorder="1" applyAlignment="1">
      <alignment horizontal="left" vertical="center" wrapText="1"/>
    </xf>
    <xf numFmtId="0" fontId="77" fillId="0" borderId="0" xfId="6" applyFont="1" applyAlignment="1">
      <alignment horizontal="left" vertical="top" wrapText="1" shrinkToFit="1"/>
    </xf>
    <xf numFmtId="0" fontId="77" fillId="0" borderId="0" xfId="6" applyFont="1" applyAlignment="1">
      <alignment horizontal="left" vertical="top" shrinkToFit="1"/>
    </xf>
    <xf numFmtId="0" fontId="77" fillId="0" borderId="49" xfId="6" applyFont="1" applyBorder="1" applyAlignment="1">
      <alignment horizontal="center" vertical="center" shrinkToFit="1"/>
    </xf>
    <xf numFmtId="0" fontId="77" fillId="0" borderId="50" xfId="6" applyFont="1" applyBorder="1" applyAlignment="1">
      <alignment horizontal="center" vertical="center" shrinkToFit="1"/>
    </xf>
    <xf numFmtId="0" fontId="77" fillId="0" borderId="14" xfId="6" applyFont="1" applyBorder="1" applyAlignment="1" applyProtection="1">
      <alignment horizontal="left" vertical="center" shrinkToFit="1"/>
      <protection locked="0"/>
    </xf>
    <xf numFmtId="0" fontId="56" fillId="0" borderId="213" xfId="2" applyFont="1" applyBorder="1" applyAlignment="1">
      <alignment horizontal="center" vertical="center" wrapText="1"/>
    </xf>
    <xf numFmtId="0" fontId="56" fillId="0" borderId="83" xfId="2" applyFont="1" applyBorder="1" applyAlignment="1">
      <alignment horizontal="center" vertical="center" wrapText="1"/>
    </xf>
    <xf numFmtId="0" fontId="56" fillId="0" borderId="159" xfId="2" applyFont="1" applyBorder="1" applyAlignment="1">
      <alignment horizontal="center" vertical="center"/>
    </xf>
    <xf numFmtId="0" fontId="56" fillId="0" borderId="158" xfId="2" applyFont="1" applyBorder="1" applyAlignment="1">
      <alignment horizontal="center" vertical="center"/>
    </xf>
    <xf numFmtId="0" fontId="56" fillId="0" borderId="0" xfId="2" applyFont="1" applyAlignment="1">
      <alignment vertical="top" wrapText="1"/>
    </xf>
    <xf numFmtId="0" fontId="56" fillId="0" borderId="0" xfId="2" applyFont="1" applyAlignment="1">
      <alignment vertical="top"/>
    </xf>
    <xf numFmtId="0" fontId="56" fillId="0" borderId="193" xfId="2" applyFont="1" applyBorder="1" applyAlignment="1">
      <alignment horizontal="center" vertical="center"/>
    </xf>
    <xf numFmtId="0" fontId="56" fillId="0" borderId="81" xfId="2" applyFont="1" applyBorder="1" applyAlignment="1">
      <alignment horizontal="center" vertical="center"/>
    </xf>
    <xf numFmtId="0" fontId="56" fillId="0" borderId="192" xfId="2" applyFont="1" applyBorder="1" applyAlignment="1">
      <alignment horizontal="center" vertical="center"/>
    </xf>
    <xf numFmtId="0" fontId="56" fillId="0" borderId="82" xfId="2" applyFont="1" applyBorder="1" applyAlignment="1">
      <alignment horizontal="center" vertical="center"/>
    </xf>
    <xf numFmtId="0" fontId="56" fillId="0" borderId="192" xfId="2" applyFont="1" applyBorder="1" applyAlignment="1">
      <alignment horizontal="center" vertical="center" wrapText="1"/>
    </xf>
    <xf numFmtId="0" fontId="56" fillId="0" borderId="82" xfId="2" applyFont="1" applyBorder="1" applyAlignment="1">
      <alignment horizontal="center" vertical="center" wrapText="1"/>
    </xf>
    <xf numFmtId="0" fontId="56" fillId="2" borderId="0" xfId="2" applyFont="1" applyFill="1" applyAlignment="1" applyProtection="1">
      <alignment horizontal="left" vertical="center" shrinkToFit="1"/>
      <protection locked="0"/>
    </xf>
    <xf numFmtId="0" fontId="56" fillId="0" borderId="0" xfId="2" applyFont="1" applyAlignment="1">
      <alignment horizontal="left" vertical="center" wrapText="1"/>
    </xf>
    <xf numFmtId="0" fontId="62" fillId="0" borderId="0" xfId="2" applyFont="1" applyAlignment="1">
      <alignment horizontal="left" vertical="center" wrapText="1"/>
    </xf>
    <xf numFmtId="0" fontId="59" fillId="2" borderId="8" xfId="2" applyFont="1" applyFill="1" applyBorder="1" applyAlignment="1" applyProtection="1">
      <alignment horizontal="center" vertical="center"/>
      <protection locked="0"/>
    </xf>
    <xf numFmtId="0" fontId="62" fillId="0" borderId="8" xfId="2" applyFont="1" applyBorder="1" applyAlignment="1">
      <alignment horizontal="left" vertical="center" wrapText="1"/>
    </xf>
    <xf numFmtId="0" fontId="57" fillId="0" borderId="0" xfId="2" applyFont="1" applyAlignment="1">
      <alignment horizontal="left" vertical="top" wrapText="1"/>
    </xf>
    <xf numFmtId="0" fontId="70" fillId="0" borderId="0" xfId="2" applyFont="1" applyFill="1" applyAlignment="1" applyProtection="1">
      <alignment horizontal="center" vertical="center"/>
    </xf>
    <xf numFmtId="0" fontId="56" fillId="0" borderId="5" xfId="2" applyFont="1" applyBorder="1" applyAlignment="1">
      <alignment horizontal="center" vertical="center"/>
    </xf>
    <xf numFmtId="0" fontId="56" fillId="0" borderId="7" xfId="2" applyFont="1" applyBorder="1" applyAlignment="1">
      <alignment horizontal="center" vertical="center"/>
    </xf>
    <xf numFmtId="0" fontId="56" fillId="0" borderId="6" xfId="2" applyFont="1" applyBorder="1" applyAlignment="1">
      <alignment horizontal="center" vertical="center"/>
    </xf>
    <xf numFmtId="0" fontId="59" fillId="0" borderId="5" xfId="2" applyFont="1" applyBorder="1" applyAlignment="1">
      <alignment horizontal="center" vertical="center" wrapText="1"/>
    </xf>
    <xf numFmtId="0" fontId="59" fillId="0" borderId="7" xfId="2" applyFont="1" applyBorder="1" applyAlignment="1">
      <alignment horizontal="center" vertical="center" wrapText="1"/>
    </xf>
    <xf numFmtId="0" fontId="59" fillId="0" borderId="6" xfId="2" applyFont="1" applyBorder="1" applyAlignment="1">
      <alignment horizontal="center" vertical="center" wrapText="1"/>
    </xf>
    <xf numFmtId="192" fontId="71" fillId="0" borderId="7" xfId="2" applyNumberFormat="1" applyFont="1" applyFill="1" applyBorder="1" applyAlignment="1">
      <alignment horizontal="right" vertical="center"/>
    </xf>
    <xf numFmtId="0" fontId="56" fillId="0" borderId="11" xfId="2" applyFont="1" applyBorder="1" applyAlignment="1">
      <alignment vertical="center" shrinkToFit="1"/>
    </xf>
    <xf numFmtId="0" fontId="56" fillId="0" borderId="10" xfId="2" applyFont="1" applyBorder="1" applyAlignment="1">
      <alignment vertical="center" shrinkToFit="1"/>
    </xf>
    <xf numFmtId="0" fontId="56" fillId="0" borderId="61" xfId="2" applyFont="1" applyBorder="1" applyAlignment="1">
      <alignment vertical="center" shrinkToFit="1"/>
    </xf>
    <xf numFmtId="0" fontId="98" fillId="9" borderId="0" xfId="2" applyFont="1" applyFill="1" applyAlignment="1">
      <alignment horizontal="right" vertical="center" shrinkToFit="1"/>
    </xf>
    <xf numFmtId="0" fontId="98" fillId="9" borderId="0" xfId="2" applyFont="1" applyFill="1" applyAlignment="1" applyProtection="1">
      <alignment horizontal="center" vertical="center"/>
    </xf>
    <xf numFmtId="0" fontId="95" fillId="9" borderId="16" xfId="2" applyFont="1" applyFill="1" applyBorder="1" applyAlignment="1">
      <alignment horizontal="left" vertical="center" wrapText="1"/>
    </xf>
    <xf numFmtId="0" fontId="95" fillId="9" borderId="28" xfId="2" applyFont="1" applyFill="1" applyBorder="1" applyAlignment="1">
      <alignment horizontal="left" vertical="center" wrapText="1"/>
    </xf>
    <xf numFmtId="0" fontId="95" fillId="9" borderId="17" xfId="2" applyFont="1" applyFill="1" applyBorder="1" applyAlignment="1">
      <alignment horizontal="left" vertical="center" wrapText="1"/>
    </xf>
    <xf numFmtId="0" fontId="95" fillId="2" borderId="11" xfId="2" applyFont="1" applyFill="1" applyBorder="1" applyProtection="1">
      <alignment vertical="center"/>
      <protection locked="0"/>
    </xf>
    <xf numFmtId="0" fontId="95" fillId="2" borderId="10" xfId="2" applyFont="1" applyFill="1" applyBorder="1" applyProtection="1">
      <alignment vertical="center"/>
      <protection locked="0"/>
    </xf>
    <xf numFmtId="0" fontId="95" fillId="2" borderId="12" xfId="2" applyFont="1" applyFill="1" applyBorder="1" applyProtection="1">
      <alignment vertical="center"/>
      <protection locked="0"/>
    </xf>
    <xf numFmtId="0" fontId="59" fillId="9" borderId="54" xfId="2" applyFont="1" applyFill="1" applyBorder="1" applyAlignment="1">
      <alignment horizontal="center" vertical="center"/>
    </xf>
    <xf numFmtId="0" fontId="59" fillId="9" borderId="55" xfId="2" applyFont="1" applyFill="1" applyBorder="1" applyAlignment="1">
      <alignment horizontal="center" vertical="center"/>
    </xf>
    <xf numFmtId="0" fontId="59" fillId="9" borderId="90" xfId="2" applyFont="1" applyFill="1" applyBorder="1" applyAlignment="1">
      <alignment horizontal="center" vertical="center"/>
    </xf>
    <xf numFmtId="0" fontId="59" fillId="9" borderId="8" xfId="2" applyFont="1" applyFill="1" applyBorder="1" applyAlignment="1">
      <alignment horizontal="center" vertical="center"/>
    </xf>
    <xf numFmtId="0" fontId="56" fillId="2" borderId="100" xfId="2" applyFont="1" applyFill="1" applyBorder="1" applyAlignment="1" applyProtection="1">
      <alignment vertical="center" shrinkToFit="1"/>
      <protection locked="0"/>
    </xf>
    <xf numFmtId="0" fontId="56" fillId="2" borderId="82" xfId="2" applyFont="1" applyFill="1" applyBorder="1" applyAlignment="1" applyProtection="1">
      <alignment vertical="center" shrinkToFit="1"/>
      <protection locked="0"/>
    </xf>
    <xf numFmtId="0" fontId="56" fillId="2" borderId="83" xfId="2" applyFont="1" applyFill="1" applyBorder="1" applyAlignment="1" applyProtection="1">
      <alignment vertical="center" shrinkToFit="1"/>
      <protection locked="0"/>
    </xf>
    <xf numFmtId="0" fontId="56" fillId="0" borderId="60" xfId="2" applyFont="1" applyBorder="1" applyAlignment="1">
      <alignment horizontal="center" vertical="center"/>
    </xf>
    <xf numFmtId="0" fontId="95" fillId="2" borderId="5" xfId="2" applyFont="1" applyFill="1" applyBorder="1" applyProtection="1">
      <alignment vertical="center"/>
      <protection locked="0"/>
    </xf>
    <xf numFmtId="0" fontId="95" fillId="2" borderId="7" xfId="2" applyFont="1" applyFill="1" applyBorder="1" applyProtection="1">
      <alignment vertical="center"/>
      <protection locked="0"/>
    </xf>
    <xf numFmtId="0" fontId="95" fillId="2" borderId="6" xfId="2" applyFont="1" applyFill="1" applyBorder="1" applyProtection="1">
      <alignment vertical="center"/>
      <protection locked="0"/>
    </xf>
    <xf numFmtId="0" fontId="95" fillId="9" borderId="3" xfId="2" applyFont="1" applyFill="1" applyBorder="1" applyAlignment="1">
      <alignment horizontal="left" vertical="center" wrapText="1"/>
    </xf>
    <xf numFmtId="0" fontId="95" fillId="9" borderId="2" xfId="2" applyFont="1" applyFill="1" applyBorder="1" applyAlignment="1">
      <alignment horizontal="left" vertical="center" wrapText="1"/>
    </xf>
    <xf numFmtId="0" fontId="95" fillId="9" borderId="4" xfId="2" applyFont="1" applyFill="1" applyBorder="1" applyAlignment="1">
      <alignment horizontal="left" vertical="center" wrapText="1"/>
    </xf>
    <xf numFmtId="0" fontId="56" fillId="2" borderId="12" xfId="2" applyFont="1" applyFill="1" applyBorder="1" applyAlignment="1" applyProtection="1">
      <alignment vertical="center" shrinkToFit="1"/>
      <protection locked="0"/>
    </xf>
    <xf numFmtId="0" fontId="56" fillId="2" borderId="9" xfId="2" applyFont="1" applyFill="1" applyBorder="1" applyAlignment="1" applyProtection="1">
      <alignment vertical="center" shrinkToFit="1"/>
      <protection locked="0"/>
    </xf>
    <xf numFmtId="0" fontId="56" fillId="2" borderId="117" xfId="2" applyFont="1" applyFill="1" applyBorder="1" applyAlignment="1" applyProtection="1">
      <alignment vertical="center" shrinkToFit="1"/>
      <protection locked="0"/>
    </xf>
    <xf numFmtId="0" fontId="59" fillId="9" borderId="81" xfId="2" applyFont="1" applyFill="1" applyBorder="1" applyAlignment="1">
      <alignment horizontal="center" vertical="center"/>
    </xf>
    <xf numFmtId="0" fontId="59" fillId="9" borderId="82" xfId="2" applyFont="1" applyFill="1" applyBorder="1" applyAlignment="1">
      <alignment horizontal="center" vertical="center"/>
    </xf>
    <xf numFmtId="195" fontId="77" fillId="0" borderId="163" xfId="4" applyNumberFormat="1" applyFont="1" applyBorder="1" applyAlignment="1" applyProtection="1">
      <alignment vertical="center"/>
      <protection locked="0"/>
    </xf>
    <xf numFmtId="38" fontId="77" fillId="0" borderId="163" xfId="6" applyNumberFormat="1" applyFont="1" applyBorder="1" applyAlignment="1" applyProtection="1">
      <alignment vertical="center" shrinkToFit="1"/>
      <protection locked="0"/>
    </xf>
    <xf numFmtId="38" fontId="77" fillId="0" borderId="156" xfId="6" applyNumberFormat="1" applyFont="1" applyBorder="1" applyAlignment="1" applyProtection="1">
      <alignment vertical="center" shrinkToFit="1"/>
      <protection locked="0"/>
    </xf>
  </cellXfs>
  <cellStyles count="8">
    <cellStyle name="桁区切り" xfId="1" builtinId="6"/>
    <cellStyle name="桁区切り 2" xfId="3" xr:uid="{E51E84BE-26A3-438B-9F9F-8DE4191D11FA}"/>
    <cellStyle name="標準" xfId="0" builtinId="0"/>
    <cellStyle name="標準 2 3" xfId="7" xr:uid="{B101246F-1EDD-4A90-9D21-C0024F2E508B}"/>
    <cellStyle name="標準 3" xfId="4" xr:uid="{CA80A316-AC26-443D-8FD7-15275F0A7F78}"/>
    <cellStyle name="標準 3 2" xfId="5" xr:uid="{DAE9E283-AB1B-4CDB-A99C-B6338E227401}"/>
    <cellStyle name="標準 4 2" xfId="2" xr:uid="{779A6857-3F95-450B-AFA7-21CBB90FE4C2}"/>
    <cellStyle name="標準_賃金改善内訳表" xfId="6" xr:uid="{CF11B09F-E075-4563-A04D-47F1A5BF5301}"/>
  </cellStyles>
  <dxfs count="52">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hair">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39F949FF-CD80-470B-A862-63CF051EFEC6}"/>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E1BBD123-8405-41CA-BBEA-63AF7704085E}"/>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05BBF236-B543-470F-A306-45EE857439C0}"/>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AA9AA28D-189F-4459-9F22-1A3B90804DA8}"/>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293C9930-65C0-42B9-ABEF-CBB63C2C23A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0C62D314-520B-4282-B4D2-79A6FF56AEA1}"/>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6621A3F3-ED0B-4DC7-9271-BB4ED8589446}"/>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3D3869F6-90C1-4782-BF97-834CBC30F780}"/>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66675</xdr:colOff>
      <xdr:row>0</xdr:row>
      <xdr:rowOff>57150</xdr:rowOff>
    </xdr:from>
    <xdr:ext cx="2300630" cy="800604"/>
    <xdr:sp macro="" textlink="">
      <xdr:nvSpPr>
        <xdr:cNvPr id="5" name="テキスト ボックス 4">
          <a:extLst>
            <a:ext uri="{FF2B5EF4-FFF2-40B4-BE49-F238E27FC236}">
              <a16:creationId xmlns:a16="http://schemas.microsoft.com/office/drawing/2014/main" id="{857A8565-2C13-48EA-A069-E9E416C56115}"/>
            </a:ext>
          </a:extLst>
        </xdr:cNvPr>
        <xdr:cNvSpPr txBox="1"/>
      </xdr:nvSpPr>
      <xdr:spPr>
        <a:xfrm>
          <a:off x="8601075" y="57150"/>
          <a:ext cx="2300630"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分園を設置している場合、本園分</a:t>
          </a:r>
          <a:endParaRPr kumimoji="1" lang="en-US" altLang="ja-JP" sz="1100"/>
        </a:p>
        <a:p>
          <a:r>
            <a:rPr kumimoji="1" lang="ja-JP" altLang="en-US" sz="1100"/>
            <a:t>のみ入力してください。</a:t>
          </a:r>
          <a:endParaRPr kumimoji="1" lang="en-US" altLang="ja-JP" sz="1100"/>
        </a:p>
        <a:p>
          <a:r>
            <a:rPr kumimoji="1" lang="ja-JP" altLang="en-US" sz="1100"/>
            <a:t>（分園は次のシートで入力）</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7349287C-8778-41F3-9094-B4140152DB48}"/>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25D372A7-FF87-49DA-A31B-B8AC08BC39C9}"/>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CE444F56-C224-42A2-8B61-6A3D614EC7DB}"/>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6D5AF59D-E444-4686-AF69-61A4C13232FD}"/>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224117</xdr:colOff>
      <xdr:row>0</xdr:row>
      <xdr:rowOff>145677</xdr:rowOff>
    </xdr:from>
    <xdr:ext cx="5020236" cy="1567417"/>
    <xdr:sp macro="" textlink="">
      <xdr:nvSpPr>
        <xdr:cNvPr id="2" name="テキスト ボックス 1">
          <a:extLst>
            <a:ext uri="{FF2B5EF4-FFF2-40B4-BE49-F238E27FC236}">
              <a16:creationId xmlns:a16="http://schemas.microsoft.com/office/drawing/2014/main" id="{38D2A192-BF56-48CA-B9B1-7B34936832CE}"/>
            </a:ext>
          </a:extLst>
        </xdr:cNvPr>
        <xdr:cNvSpPr txBox="1"/>
      </xdr:nvSpPr>
      <xdr:spPr>
        <a:xfrm>
          <a:off x="9513793" y="145677"/>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59231</xdr:colOff>
      <xdr:row>2</xdr:row>
      <xdr:rowOff>239005</xdr:rowOff>
    </xdr:from>
    <xdr:ext cx="5020236" cy="864660"/>
    <xdr:sp macro="" textlink="">
      <xdr:nvSpPr>
        <xdr:cNvPr id="2" name="テキスト ボックス 1">
          <a:extLst>
            <a:ext uri="{FF2B5EF4-FFF2-40B4-BE49-F238E27FC236}">
              <a16:creationId xmlns:a16="http://schemas.microsoft.com/office/drawing/2014/main" id="{3F7EC4B1-6AB3-4FDA-A4AF-4F27A8E20B87}"/>
            </a:ext>
          </a:extLst>
        </xdr:cNvPr>
        <xdr:cNvSpPr txBox="1"/>
      </xdr:nvSpPr>
      <xdr:spPr>
        <a:xfrm>
          <a:off x="9720302" y="783291"/>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40</xdr:col>
      <xdr:colOff>85725</xdr:colOff>
      <xdr:row>15</xdr:row>
      <xdr:rowOff>28576</xdr:rowOff>
    </xdr:from>
    <xdr:ext cx="5372100" cy="857249"/>
    <xdr:sp macro="" textlink="">
      <xdr:nvSpPr>
        <xdr:cNvPr id="2" name="テキスト ボックス 1">
          <a:extLst>
            <a:ext uri="{FF2B5EF4-FFF2-40B4-BE49-F238E27FC236}">
              <a16:creationId xmlns:a16="http://schemas.microsoft.com/office/drawing/2014/main" id="{9A7C2D63-1147-4238-8E3A-28783DCCCFE2}"/>
            </a:ext>
          </a:extLst>
        </xdr:cNvPr>
        <xdr:cNvSpPr txBox="1"/>
      </xdr:nvSpPr>
      <xdr:spPr>
        <a:xfrm>
          <a:off x="8705850" y="3324226"/>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3D7E9DFA-17E1-4C38-95CD-B3CBA6B51C6D}"/>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201083</xdr:rowOff>
    </xdr:from>
    <xdr:ext cx="4762499" cy="3184829"/>
    <xdr:sp macro="" textlink="">
      <xdr:nvSpPr>
        <xdr:cNvPr id="3" name="テキスト ボックス 2">
          <a:extLst>
            <a:ext uri="{FF2B5EF4-FFF2-40B4-BE49-F238E27FC236}">
              <a16:creationId xmlns:a16="http://schemas.microsoft.com/office/drawing/2014/main" id="{0D260D80-27A1-4C02-8942-2CC4993E50DA}"/>
            </a:ext>
          </a:extLst>
        </xdr:cNvPr>
        <xdr:cNvSpPr txBox="1"/>
      </xdr:nvSpPr>
      <xdr:spPr>
        <a:xfrm>
          <a:off x="9599083" y="1566333"/>
          <a:ext cx="4762499" cy="31848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14</xdr:row>
      <xdr:rowOff>190500</xdr:rowOff>
    </xdr:from>
    <xdr:to>
      <xdr:col>42</xdr:col>
      <xdr:colOff>137583</xdr:colOff>
      <xdr:row>14</xdr:row>
      <xdr:rowOff>201083</xdr:rowOff>
    </xdr:to>
    <xdr:cxnSp macro="">
      <xdr:nvCxnSpPr>
        <xdr:cNvPr id="4" name="直線矢印コネクタ 3">
          <a:extLst>
            <a:ext uri="{FF2B5EF4-FFF2-40B4-BE49-F238E27FC236}">
              <a16:creationId xmlns:a16="http://schemas.microsoft.com/office/drawing/2014/main" id="{F3BBBEBC-4E41-433B-B7B9-A976F11660D1}"/>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69274</xdr:colOff>
      <xdr:row>75</xdr:row>
      <xdr:rowOff>86590</xdr:rowOff>
    </xdr:from>
    <xdr:ext cx="4762499" cy="1471027"/>
    <xdr:sp macro="" textlink="">
      <xdr:nvSpPr>
        <xdr:cNvPr id="2" name="テキスト ボックス 1">
          <a:extLst>
            <a:ext uri="{FF2B5EF4-FFF2-40B4-BE49-F238E27FC236}">
              <a16:creationId xmlns:a16="http://schemas.microsoft.com/office/drawing/2014/main" id="{1C1BC4AA-7844-4BDE-89BC-4D14B1B8B517}"/>
            </a:ext>
          </a:extLst>
        </xdr:cNvPr>
        <xdr:cNvSpPr txBox="1"/>
      </xdr:nvSpPr>
      <xdr:spPr>
        <a:xfrm>
          <a:off x="11813039" y="2900897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1368136</xdr:colOff>
      <xdr:row>60</xdr:row>
      <xdr:rowOff>381000</xdr:rowOff>
    </xdr:from>
    <xdr:to>
      <xdr:col>13</xdr:col>
      <xdr:colOff>311729</xdr:colOff>
      <xdr:row>75</xdr:row>
      <xdr:rowOff>63500</xdr:rowOff>
    </xdr:to>
    <xdr:cxnSp macro="">
      <xdr:nvCxnSpPr>
        <xdr:cNvPr id="3" name="直線矢印コネクタ 2">
          <a:extLst>
            <a:ext uri="{FF2B5EF4-FFF2-40B4-BE49-F238E27FC236}">
              <a16:creationId xmlns:a16="http://schemas.microsoft.com/office/drawing/2014/main" id="{DE78817B-30A4-4639-B7F6-6B22A0962533}"/>
            </a:ext>
          </a:extLst>
        </xdr:cNvPr>
        <xdr:cNvCxnSpPr/>
      </xdr:nvCxnSpPr>
      <xdr:spPr>
        <a:xfrm flipH="1" flipV="1">
          <a:off x="9854045" y="24851591"/>
          <a:ext cx="2199411" cy="408131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173183</xdr:colOff>
      <xdr:row>75</xdr:row>
      <xdr:rowOff>83534</xdr:rowOff>
    </xdr:from>
    <xdr:ext cx="4762499" cy="3098937"/>
    <xdr:sp macro="" textlink="">
      <xdr:nvSpPr>
        <xdr:cNvPr id="5" name="テキスト ボックス 4">
          <a:extLst>
            <a:ext uri="{FF2B5EF4-FFF2-40B4-BE49-F238E27FC236}">
              <a16:creationId xmlns:a16="http://schemas.microsoft.com/office/drawing/2014/main" id="{9D43BF81-A0C4-4F4A-985F-FBBF25FD9977}"/>
            </a:ext>
          </a:extLst>
        </xdr:cNvPr>
        <xdr:cNvSpPr txBox="1"/>
      </xdr:nvSpPr>
      <xdr:spPr>
        <a:xfrm>
          <a:off x="16791507" y="2900591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1411941</xdr:colOff>
      <xdr:row>60</xdr:row>
      <xdr:rowOff>403412</xdr:rowOff>
    </xdr:from>
    <xdr:to>
      <xdr:col>16</xdr:col>
      <xdr:colOff>415638</xdr:colOff>
      <xdr:row>75</xdr:row>
      <xdr:rowOff>60444</xdr:rowOff>
    </xdr:to>
    <xdr:cxnSp macro="">
      <xdr:nvCxnSpPr>
        <xdr:cNvPr id="6" name="直線矢印コネクタ 5">
          <a:extLst>
            <a:ext uri="{FF2B5EF4-FFF2-40B4-BE49-F238E27FC236}">
              <a16:creationId xmlns:a16="http://schemas.microsoft.com/office/drawing/2014/main" id="{F9C6D7C7-476F-408F-B6C3-BAD6F3499374}"/>
            </a:ext>
          </a:extLst>
        </xdr:cNvPr>
        <xdr:cNvCxnSpPr/>
      </xdr:nvCxnSpPr>
      <xdr:spPr>
        <a:xfrm flipH="1" flipV="1">
          <a:off x="11530853" y="24888265"/>
          <a:ext cx="5503109" cy="409456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113110</xdr:colOff>
      <xdr:row>10</xdr:row>
      <xdr:rowOff>248048</xdr:rowOff>
    </xdr:from>
    <xdr:ext cx="4762499" cy="1061640"/>
    <xdr:sp macro="" textlink="">
      <xdr:nvSpPr>
        <xdr:cNvPr id="2" name="テキスト ボックス 1">
          <a:extLst>
            <a:ext uri="{FF2B5EF4-FFF2-40B4-BE49-F238E27FC236}">
              <a16:creationId xmlns:a16="http://schemas.microsoft.com/office/drawing/2014/main" id="{878E8AB4-F332-4086-B9E1-3BD41342CF17}"/>
            </a:ext>
          </a:extLst>
        </xdr:cNvPr>
        <xdr:cNvSpPr txBox="1"/>
      </xdr:nvSpPr>
      <xdr:spPr>
        <a:xfrm>
          <a:off x="6889751" y="3046017"/>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178594</xdr:colOff>
      <xdr:row>10</xdr:row>
      <xdr:rowOff>307578</xdr:rowOff>
    </xdr:from>
    <xdr:to>
      <xdr:col>30</xdr:col>
      <xdr:colOff>119062</xdr:colOff>
      <xdr:row>12</xdr:row>
      <xdr:rowOff>198438</xdr:rowOff>
    </xdr:to>
    <xdr:cxnSp macro="">
      <xdr:nvCxnSpPr>
        <xdr:cNvPr id="3" name="直線矢印コネクタ 2">
          <a:extLst>
            <a:ext uri="{FF2B5EF4-FFF2-40B4-BE49-F238E27FC236}">
              <a16:creationId xmlns:a16="http://schemas.microsoft.com/office/drawing/2014/main" id="{54A63BC8-002E-4BEC-9422-636D1D80A4E4}"/>
            </a:ext>
          </a:extLst>
        </xdr:cNvPr>
        <xdr:cNvCxnSpPr/>
      </xdr:nvCxnSpPr>
      <xdr:spPr>
        <a:xfrm flipH="1" flipV="1">
          <a:off x="4216797" y="3105547"/>
          <a:ext cx="2678906" cy="4762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08C3A8-34B9-4211-804D-3A097AC4324C}" name="単価" displayName="単価" ref="F2:Z95" totalsRowShown="0" headerRowDxfId="40" dataDxfId="39" tableBorderDxfId="38" dataCellStyle="標準 4 2">
  <autoFilter ref="F2:Z95" xr:uid="{E508C3A8-34B9-4211-804D-3A097AC4324C}"/>
  <tableColumns count="21">
    <tableColumn id="1" xr3:uid="{C408F9E4-3464-4272-A881-9147C28268EE}" name="列1" dataDxfId="37">
      <calculatedColumnFormula>D3&amp;E3</calculatedColumnFormula>
    </tableColumn>
    <tableColumn id="4" xr3:uid="{CB4D0D97-6EF4-45C0-9C05-B92C50FDA9BB}" name="列2" dataDxfId="36" dataCellStyle="標準 4 2"/>
    <tableColumn id="5" xr3:uid="{A67669F5-04C5-42DD-BA10-4ADBC004EC9B}" name="列3" dataDxfId="35" dataCellStyle="標準 4 2"/>
    <tableColumn id="6" xr3:uid="{C2B67D2E-1F02-4AF7-A23D-DCCBD26D5F61}" name="列4" dataDxfId="34" dataCellStyle="標準 4 2"/>
    <tableColumn id="7" xr3:uid="{B523FEE2-9644-48E0-9644-3442573F3ECC}" name="列5" dataDxfId="33" dataCellStyle="標準 4 2"/>
    <tableColumn id="9" xr3:uid="{5C3AD36B-E2D5-4EBE-A4FC-EFF1D1DC6E30}" name="列6" dataDxfId="32" dataCellStyle="標準 4 2"/>
    <tableColumn id="10" xr3:uid="{F774575E-B51D-4765-B787-228BBDB5204A}" name="列7" dataDxfId="31" dataCellStyle="標準 4 2"/>
    <tableColumn id="12" xr3:uid="{61617913-A5DC-41C0-8D5C-4A6397E8D1AD}" name="列8" dataDxfId="30" dataCellStyle="標準 4 2"/>
    <tableColumn id="13" xr3:uid="{667BEC5F-766D-48BA-919E-80DD6FA1F170}" name="列9" dataDxfId="29" dataCellStyle="標準 4 2"/>
    <tableColumn id="15" xr3:uid="{43B31683-75CA-494F-B151-E56AFB716100}" name="列10" dataDxfId="28" dataCellStyle="標準 4 2"/>
    <tableColumn id="16" xr3:uid="{64589AC2-CB1C-41A9-8DAD-D81EC1E0B52C}" name="列11" dataDxfId="27" dataCellStyle="標準 4 2"/>
    <tableColumn id="18" xr3:uid="{CCA1A597-C437-41C4-B0C9-1CEED110D654}" name="列12" dataDxfId="26" dataCellStyle="標準 4 2"/>
    <tableColumn id="19" xr3:uid="{4B3864CE-1FDC-4B69-A2F9-A93CB61E73B3}" name="列13" dataDxfId="25" dataCellStyle="標準 4 2"/>
    <tableColumn id="23" xr3:uid="{370768CB-7F34-4354-9997-525D944A627C}" name="列14" dataDxfId="24" dataCellStyle="標準 4 2"/>
    <tableColumn id="24" xr3:uid="{E80B96AA-6F2B-4269-937B-B7BFCEFBBD62}" name="列15" dataDxfId="23" dataCellStyle="標準 4 2"/>
    <tableColumn id="27" xr3:uid="{0F623ED3-4600-43AA-91DE-B1FEF5849472}" name="列16" dataDxfId="22" dataCellStyle="標準 4 2"/>
    <tableColumn id="28" xr3:uid="{6653021C-8D99-48CC-8AFF-CD711F3B85D1}" name="列17" dataDxfId="21" dataCellStyle="標準 4 2"/>
    <tableColumn id="29" xr3:uid="{03692F3B-9137-4653-AF55-5C1E049A79E1}" name="列18" dataDxfId="20" dataCellStyle="標準 4 2"/>
    <tableColumn id="30" xr3:uid="{A9BDA141-2AED-4E0E-8D6E-584F6D0C527F}" name="列19" dataDxfId="19" dataCellStyle="標準 4 2"/>
    <tableColumn id="31" xr3:uid="{6A012E55-77D1-492C-B114-CAE9B467997A}" name="列20" dataDxfId="18" dataCellStyle="標準 4 2"/>
    <tableColumn id="32" xr3:uid="{2C1A8174-7DE5-45AA-8407-A7D9F4A2F7E4}" name="列21" dataDxfId="17"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D12FD1-1914-442F-AD85-7E980B18D988}" name="休日保育" displayName="休日保育" ref="AB2:AE22" totalsRowShown="0" headerRowDxfId="16" dataDxfId="15" tableBorderDxfId="14" dataCellStyle="標準 4 2">
  <autoFilter ref="AB2:AE22" xr:uid="{A8D12FD1-1914-442F-AD85-7E980B18D988}"/>
  <tableColumns count="4">
    <tableColumn id="5" xr3:uid="{AC8CA3C6-7EC9-4979-83DA-D91A1D9FB30C}" name="列1" dataDxfId="13" dataCellStyle="標準 4 2"/>
    <tableColumn id="1" xr3:uid="{B0F15110-7963-4BD6-BFD1-864E79A41071}" name="列2" dataDxfId="12" dataCellStyle="標準 4 2"/>
    <tableColumn id="3" xr3:uid="{2F6C2493-0D53-47D3-992E-E386CA6541B2}" name="列3" dataDxfId="11" dataCellStyle="標準 4 2"/>
    <tableColumn id="4" xr3:uid="{6E776BE5-B16A-4BF0-8FDE-AF64D93979D8}" name="列4" dataDxfId="10" dataCellStyle="標準 4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7CBA28-2C52-4154-A047-DA8B781D5966}" name="療育支援" displayName="療育支援" ref="AH2:AK10" totalsRowShown="0" headerRowDxfId="9" tableBorderDxfId="8">
  <autoFilter ref="AH2:AK10" xr:uid="{927CBA28-2C52-4154-A047-DA8B781D5966}"/>
  <tableColumns count="4">
    <tableColumn id="1" xr3:uid="{624F0F48-274D-405F-99C4-3C65C43DA3E5}" name="列1" dataDxfId="7" dataCellStyle="標準 4 2"/>
    <tableColumn id="2" xr3:uid="{438D7950-B0EF-40F9-9336-6E7556615B3D}" name="列2"/>
    <tableColumn id="3" xr3:uid="{85B866B6-BAD9-4C5C-B9B3-4F9FD6CE2146}" name="列3"/>
    <tableColumn id="4" xr3:uid="{91252E84-3AC3-4D39-9828-4997BE4B40D2}" name="列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BAC4CF-E1A2-40A3-8674-0FE50B44C2E0}" name="栄養管理" displayName="栄養管理" ref="AN2:AQ11" totalsRowShown="0" headerRowDxfId="6" dataDxfId="5" tableBorderDxfId="4" dataCellStyle="標準 4 2">
  <autoFilter ref="AN2:AQ11" xr:uid="{CFBAC4CF-E1A2-40A3-8674-0FE50B44C2E0}"/>
  <tableColumns count="4">
    <tableColumn id="1" xr3:uid="{A31E209D-18A1-44B4-9B5C-BC429211644B}" name="列1" dataDxfId="3" dataCellStyle="標準 4 2"/>
    <tableColumn id="2" xr3:uid="{7FCC4DCA-DA26-450B-9F25-E6E269AECCF3}" name="列2" dataDxfId="2" dataCellStyle="標準 4 2"/>
    <tableColumn id="3" xr3:uid="{1715DBD6-A7AA-4F14-95A4-7B3023786016}" name="列3" dataDxfId="1" dataCellStyle="標準 4 2"/>
    <tableColumn id="4" xr3:uid="{1B1927EB-841B-4C7E-B0A5-213A602F929F}" name="列4" dataDxfId="0"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6.bin"/><Relationship Id="rId5" Type="http://schemas.openxmlformats.org/officeDocument/2006/relationships/table" Target="../tables/table4.xml"/><Relationship Id="rId4"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9926-61BD-4AB2-90B8-BE461A74C54D}">
  <sheetPr>
    <pageSetUpPr fitToPage="1"/>
  </sheetPr>
  <dimension ref="A1:I47"/>
  <sheetViews>
    <sheetView tabSelected="1" view="pageBreakPreview" zoomScale="85" zoomScaleNormal="85" zoomScaleSheetLayoutView="85" workbookViewId="0"/>
  </sheetViews>
  <sheetFormatPr defaultRowHeight="16.5"/>
  <cols>
    <col min="1" max="1" width="3.5" style="415" customWidth="1"/>
    <col min="2" max="2" width="3.25" style="415" customWidth="1"/>
    <col min="3" max="3" width="10.25" style="415" customWidth="1"/>
    <col min="4" max="4" width="39.5" style="415" customWidth="1"/>
    <col min="5" max="7" width="9" style="415"/>
    <col min="8" max="8" width="17.375" style="415" customWidth="1"/>
    <col min="9" max="9" width="21.375" style="415" bestFit="1" customWidth="1"/>
    <col min="10" max="16384" width="9" style="415"/>
  </cols>
  <sheetData>
    <row r="1" spans="1:5">
      <c r="A1" s="415" t="s">
        <v>337</v>
      </c>
    </row>
    <row r="2" spans="1:5" ht="17.25" thickBot="1">
      <c r="B2" s="415" t="s">
        <v>336</v>
      </c>
    </row>
    <row r="3" spans="1:5" ht="17.25" thickBot="1">
      <c r="B3" s="425" t="s">
        <v>335</v>
      </c>
      <c r="C3" s="424"/>
      <c r="D3" s="619"/>
    </row>
    <row r="4" spans="1:5" ht="17.25" thickBot="1">
      <c r="B4" s="425" t="s">
        <v>334</v>
      </c>
      <c r="C4" s="424"/>
      <c r="D4" s="620"/>
    </row>
    <row r="5" spans="1:5" ht="17.25" thickBot="1">
      <c r="B5" s="425" t="s">
        <v>333</v>
      </c>
      <c r="C5" s="424"/>
      <c r="D5" s="619"/>
    </row>
    <row r="7" spans="1:5">
      <c r="B7" s="415" t="s">
        <v>331</v>
      </c>
    </row>
    <row r="8" spans="1:5" ht="17.25" thickBot="1">
      <c r="C8" s="415" t="s">
        <v>330</v>
      </c>
    </row>
    <row r="9" spans="1:5" ht="17.25" thickBot="1">
      <c r="D9" s="619"/>
    </row>
    <row r="10" spans="1:5" ht="17.25" thickBot="1">
      <c r="C10" s="415" t="s">
        <v>329</v>
      </c>
    </row>
    <row r="11" spans="1:5" ht="17.25" thickBot="1">
      <c r="D11" s="619"/>
    </row>
    <row r="12" spans="1:5" ht="17.25" thickBot="1">
      <c r="C12" s="415" t="s">
        <v>328</v>
      </c>
    </row>
    <row r="13" spans="1:5" ht="17.25" thickBot="1">
      <c r="D13" s="619"/>
      <c r="E13" s="415" t="str">
        <f>IF(D11='【リスト】 (2)'!$B$3,"←記入は不要です","")</f>
        <v/>
      </c>
    </row>
    <row r="14" spans="1:5" ht="17.25" thickBot="1">
      <c r="C14" s="415" t="s">
        <v>327</v>
      </c>
    </row>
    <row r="15" spans="1:5" ht="17.25" thickBot="1">
      <c r="D15" s="619"/>
    </row>
    <row r="16" spans="1:5" ht="17.25" thickBot="1">
      <c r="C16" s="415" t="s">
        <v>326</v>
      </c>
    </row>
    <row r="17" spans="2:5" ht="17.25" thickBot="1">
      <c r="D17" s="619"/>
      <c r="E17" s="415" t="str">
        <f>IF(D15='【リスト】 (2)'!$B$3,"←記入は不要です","")</f>
        <v/>
      </c>
    </row>
    <row r="18" spans="2:5" ht="17.25" thickBot="1">
      <c r="C18" s="415" t="s">
        <v>325</v>
      </c>
    </row>
    <row r="19" spans="2:5" ht="17.25" thickBot="1">
      <c r="D19" s="619"/>
    </row>
    <row r="20" spans="2:5" ht="17.25" thickBot="1">
      <c r="C20" s="415" t="s">
        <v>324</v>
      </c>
    </row>
    <row r="21" spans="2:5" ht="17.25" thickBot="1">
      <c r="D21" s="619"/>
      <c r="E21" s="415" t="str">
        <f>IF(D19='【リスト】 (2)'!$B$3,"←記入は不要です","")</f>
        <v/>
      </c>
    </row>
    <row r="23" spans="2:5" ht="17.25" thickBot="1">
      <c r="B23" s="415" t="s">
        <v>323</v>
      </c>
    </row>
    <row r="24" spans="2:5" ht="17.25" thickBot="1">
      <c r="B24" s="425" t="s">
        <v>131</v>
      </c>
      <c r="C24" s="424"/>
      <c r="D24" s="619"/>
    </row>
    <row r="25" spans="2:5" ht="17.25" thickBot="1">
      <c r="B25" s="425" t="s">
        <v>132</v>
      </c>
      <c r="C25" s="424"/>
      <c r="D25" s="619"/>
    </row>
    <row r="26" spans="2:5" ht="17.25" thickBot="1">
      <c r="B26" s="425" t="s">
        <v>322</v>
      </c>
      <c r="C26" s="424"/>
      <c r="D26" s="619"/>
    </row>
    <row r="28" spans="2:5" ht="17.25" thickBot="1">
      <c r="B28" s="415" t="s">
        <v>320</v>
      </c>
    </row>
    <row r="29" spans="2:5" ht="17.25" thickBot="1">
      <c r="D29" s="621"/>
    </row>
    <row r="30" spans="2:5">
      <c r="D30" s="423" t="str">
        <f>IF(D29='【リスト】 (2)'!$D$3,"「該当する」は例外的な取扱いです。本当に該当するか再度ご確認ください","")</f>
        <v/>
      </c>
    </row>
    <row r="31" spans="2:5">
      <c r="B31" s="415" t="s">
        <v>318</v>
      </c>
      <c r="D31" s="423"/>
    </row>
    <row r="32" spans="2:5" ht="17.25" thickBot="1">
      <c r="C32" s="415" t="s">
        <v>652</v>
      </c>
    </row>
    <row r="33" spans="2:9" ht="17.25" thickBot="1">
      <c r="D33" s="622"/>
      <c r="E33" s="415" t="str">
        <f>IF(D25='【リスト】 (2)'!$C$3,"←記入は不要です","")</f>
        <v/>
      </c>
    </row>
    <row r="35" spans="2:9" ht="20.25" thickBot="1">
      <c r="B35" s="422" t="str">
        <f>IF(AND(D3&lt;&gt;"",D4&lt;&gt;"",D5&lt;&gt;"",D9&lt;&gt;"",OR(AND(D11='【リスト】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420" t="s">
        <v>362</v>
      </c>
      <c r="D36" s="419"/>
      <c r="E36" s="419"/>
      <c r="F36" s="418"/>
      <c r="G36" s="417"/>
      <c r="H36" s="416" t="str">
        <f>IF($B$35='【リスト】 (2)'!$F$3,"-",IF(OR(D25='【リスト】 (2)'!$C$2,D26='【リスト】 (2)'!$C$2),"●",""))</f>
        <v>-</v>
      </c>
      <c r="I36" s="421"/>
    </row>
    <row r="37" spans="2:9" customFormat="1" ht="36" customHeight="1" thickBot="1">
      <c r="C37" s="420" t="s">
        <v>360</v>
      </c>
      <c r="D37" s="419"/>
      <c r="E37" s="419"/>
      <c r="F37" s="418"/>
      <c r="G37" s="417"/>
      <c r="H37" s="416" t="str">
        <f>IF($B$35='【リスト】 (2)'!$F$3,"-",IF(OR(D24='【リスト】 (2)'!$C$2,D25='【リスト】 (2)'!$C$2),"●",""))</f>
        <v>-</v>
      </c>
      <c r="I37" s="421"/>
    </row>
    <row r="38" spans="2:9" customFormat="1" ht="36" customHeight="1" thickBot="1">
      <c r="C38" s="420" t="s">
        <v>361</v>
      </c>
      <c r="D38" s="419"/>
      <c r="E38" s="419"/>
      <c r="F38" s="418"/>
      <c r="G38" s="417"/>
      <c r="H38" s="416" t="str">
        <f>IF($B$35='【リスト】 (2)'!$F$3,"-",IF(D26='【リスト】 (2)'!$C$2,"●",""))</f>
        <v>-</v>
      </c>
      <c r="I38" s="421"/>
    </row>
    <row r="39" spans="2:9" customFormat="1" ht="36" customHeight="1" thickBot="1">
      <c r="C39" s="420" t="s">
        <v>646</v>
      </c>
      <c r="D39" s="419"/>
      <c r="E39" s="419"/>
      <c r="F39" s="418"/>
      <c r="G39" s="417"/>
      <c r="H39" s="416" t="str">
        <f>IF($B$35='【リスト】 (2)'!$F$3,"-",IF(OR(D24='【リスト】 (2)'!$C$2,D25='【リスト】 (2)'!$C$2,D26='【リスト】 (2)'!$C$2),"●",""))</f>
        <v>-</v>
      </c>
    </row>
    <row r="40" spans="2:9" customFormat="1" ht="36" customHeight="1" thickBot="1">
      <c r="C40" s="420" t="s">
        <v>647</v>
      </c>
      <c r="D40" s="419"/>
      <c r="E40" s="419"/>
      <c r="F40" s="418"/>
      <c r="G40" s="417"/>
      <c r="H40" s="416" t="str">
        <f>IF($B$35='【リスト】 (2)'!$F$3,"-",IF(OR(D24='【リスト】 (2)'!$C$3,D26='【リスト】 (2)'!$C$2),"",IF(OR(D11&lt;&gt;'【リスト】 (2)'!$B$2,D13&lt;&gt;'【リスト】 (2)'!$B$2),"●","")))</f>
        <v>-</v>
      </c>
    </row>
    <row r="41" spans="2:9" customFormat="1" ht="36" customHeight="1" thickBot="1">
      <c r="C41" s="420" t="s">
        <v>740</v>
      </c>
      <c r="D41" s="419"/>
      <c r="E41" s="419"/>
      <c r="F41" s="418"/>
      <c r="G41" s="417"/>
      <c r="H41" s="416" t="str">
        <f>IF($B$35='【リスト】 (2)'!$F$3,"-",IF(H40="●","●",""))</f>
        <v>-</v>
      </c>
    </row>
    <row r="42" spans="2:9" customFormat="1" ht="36" customHeight="1" thickBot="1">
      <c r="C42" s="420" t="s">
        <v>648</v>
      </c>
      <c r="D42" s="419"/>
      <c r="E42" s="419"/>
      <c r="F42" s="418"/>
      <c r="G42" s="417"/>
      <c r="H42" s="416" t="str">
        <f>IF($B$35='【リスト】 (2)'!$F$3,"-",IF(D26='【リスト】 (2)'!$C$3,"","●"))</f>
        <v>-</v>
      </c>
    </row>
    <row r="43" spans="2:9" customFormat="1" ht="36" customHeight="1" thickBot="1">
      <c r="C43" s="420" t="s">
        <v>649</v>
      </c>
      <c r="D43" s="419"/>
      <c r="E43" s="419"/>
      <c r="F43" s="418"/>
      <c r="G43" s="417"/>
      <c r="H43" s="416" t="str">
        <f>IF($B$35='【リスト】 (2)'!$F$3,"-",IF(AND(D25='【リスト】 (2)'!$C$3,D26='【リスト】 (2)'!$C$3),"",
IF(AND(D25='【リスト】 (2)'!$C$2,OR(D15&lt;&gt;'【リスト】 (2)'!$B$2,D17&lt;&gt;'【リスト】 (2)'!$B$2)),"●",
IF(AND(D26='【リスト】 (2)'!$C$2,OR(D19&lt;&gt;'【リスト】 (2)'!$B$2,D21&lt;&gt;'【リスト】 (2)'!$B$2)),"●",""))))</f>
        <v>-</v>
      </c>
    </row>
    <row r="44" spans="2:9" customFormat="1" ht="36" customHeight="1" thickBot="1">
      <c r="C44" s="420" t="s">
        <v>650</v>
      </c>
      <c r="D44" s="419"/>
      <c r="E44" s="419"/>
      <c r="F44" s="418"/>
      <c r="G44" s="417"/>
      <c r="H44" s="416" t="str">
        <f>IF($B$35='【リスト】 (2)'!$F$3,"-",IF(H43="●","●",""))</f>
        <v>-</v>
      </c>
    </row>
    <row r="45" spans="2:9" customFormat="1" ht="36" customHeight="1" thickBot="1">
      <c r="C45" s="420" t="s">
        <v>651</v>
      </c>
      <c r="D45" s="419"/>
      <c r="E45" s="419"/>
      <c r="F45" s="418"/>
      <c r="G45" s="417"/>
      <c r="H45" s="416" t="str">
        <f>IF($B$35='【リスト】 (2)'!$F$3,"-",IF(AND(D33='【リスト】 (2)'!$E$3,H44="●"),"●",""))</f>
        <v>-</v>
      </c>
    </row>
    <row r="46" spans="2:9" customFormat="1" ht="36" customHeight="1" thickBot="1">
      <c r="C46" s="420" t="s">
        <v>653</v>
      </c>
      <c r="D46" s="419"/>
      <c r="E46" s="419"/>
      <c r="F46" s="418"/>
      <c r="G46" s="417"/>
      <c r="H46" s="416" t="str">
        <f>IF($B$35='【リスト】 (2)'!$F$3,"-",IF(AND(OR(D25='【リスト】 (2)'!$C$2,D26='【リスト】 (2)'!$C$2),H43="",H44="",H45=""),"●",""))</f>
        <v>-</v>
      </c>
    </row>
    <row r="47" spans="2:9" customFormat="1" ht="36" customHeight="1" thickBot="1">
      <c r="C47" s="420" t="s">
        <v>654</v>
      </c>
      <c r="D47" s="419"/>
      <c r="E47" s="419"/>
      <c r="F47" s="418"/>
      <c r="G47" s="417"/>
      <c r="H47" s="416" t="str">
        <f>IF($B$35='【リスト】 (2)'!$F$3,"-",IF(D29='【リスト】 (2)'!$D$3,"●",""))</f>
        <v>-</v>
      </c>
    </row>
  </sheetData>
  <sheetProtection algorithmName="SHA-512" hashValue="n0UspV4DhiWS3rXaqncPeSwRS1aTTc1Tx5aP48/xqzo0tI3sJGgrt3XdVUkmgh9sxPFM6zYgQqwS+pbUYeaoyg==" saltValue="M+h5jQK6JpeN/t+tB04EYg==" spinCount="100000" sheet="1" objects="1" scenarios="1"/>
  <phoneticPr fontId="4"/>
  <conditionalFormatting sqref="D13">
    <cfRule type="expression" dxfId="51" priority="4">
      <formula>E13&lt;&gt;""</formula>
    </cfRule>
  </conditionalFormatting>
  <conditionalFormatting sqref="D17">
    <cfRule type="expression" dxfId="50" priority="3">
      <formula>E17&lt;&gt;""</formula>
    </cfRule>
  </conditionalFormatting>
  <conditionalFormatting sqref="D21">
    <cfRule type="expression" dxfId="49" priority="2">
      <formula>E21&lt;&gt;""</formula>
    </cfRule>
  </conditionalFormatting>
  <conditionalFormatting sqref="D33">
    <cfRule type="expression" dxfId="48" priority="1">
      <formula>E33&lt;&gt;""</formula>
    </cfRule>
  </conditionalFormatting>
  <dataValidations count="1">
    <dataValidation type="whole" allowBlank="1" showInputMessage="1" showErrorMessage="1" sqref="D3" xr:uid="{20251130-83A0-40B2-BC44-5ACFF8C76E68}">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D47103D-305A-4606-ADFF-4B6E18056034}">
          <x14:formula1>
            <xm:f>'【リスト】 (2)'!$E$2:$E$3</xm:f>
          </x14:formula1>
          <xm:sqref>D33</xm:sqref>
        </x14:dataValidation>
        <x14:dataValidation type="list" allowBlank="1" showInputMessage="1" showErrorMessage="1" xr:uid="{F1FFD480-F6CC-4CE0-BAE0-8837C5F96704}">
          <x14:formula1>
            <xm:f>'【リスト】 (2)'!$D$2:$D$3</xm:f>
          </x14:formula1>
          <xm:sqref>D29</xm:sqref>
        </x14:dataValidation>
        <x14:dataValidation type="list" allowBlank="1" showInputMessage="1" showErrorMessage="1" xr:uid="{41C7555F-EA9D-47BA-8BC1-877EABBCE5D9}">
          <x14:formula1>
            <xm:f>'【リスト】 (2)'!$C$2:$C$3</xm:f>
          </x14:formula1>
          <xm:sqref>D24:D26</xm:sqref>
        </x14:dataValidation>
        <x14:dataValidation type="list" allowBlank="1" showInputMessage="1" showErrorMessage="1" xr:uid="{E1A1826F-DABB-45C6-9CC0-DC7032C68604}">
          <x14:formula1>
            <xm:f>'【リスト】 (2)'!$B$2:$B$3</xm:f>
          </x14:formula1>
          <xm:sqref>D9 D11 D13 D15 D17 D19 D21</xm:sqref>
        </x14:dataValidation>
        <x14:dataValidation type="list" allowBlank="1" showInputMessage="1" showErrorMessage="1" xr:uid="{18FE4D22-E68C-491D-84CE-256F9E039D67}">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237D-A4E6-4232-9C28-57D4417B333E}">
  <sheetPr>
    <pageSetUpPr fitToPage="1"/>
  </sheetPr>
  <dimension ref="A1:Q94"/>
  <sheetViews>
    <sheetView view="pageBreakPreview" zoomScale="70" zoomScaleNormal="100" zoomScaleSheetLayoutView="70" workbookViewId="0">
      <selection activeCell="M3" sqref="M3:Q3"/>
    </sheetView>
  </sheetViews>
  <sheetFormatPr defaultColWidth="9" defaultRowHeight="18.75"/>
  <cols>
    <col min="1" max="1" width="2.375" style="152" customWidth="1"/>
    <col min="2" max="2" width="1.625" style="152" customWidth="1"/>
    <col min="3" max="3" width="14.125" style="152" customWidth="1"/>
    <col min="4" max="4" width="6.875" style="152" customWidth="1"/>
    <col min="5" max="16" width="6.625" style="152" customWidth="1"/>
    <col min="17" max="17" width="7.5" style="152" customWidth="1"/>
    <col min="18" max="16384" width="9" style="152"/>
  </cols>
  <sheetData>
    <row r="1" spans="1:17" ht="40.5" customHeight="1">
      <c r="A1" s="741" t="s">
        <v>250</v>
      </c>
      <c r="B1" s="741"/>
      <c r="C1" s="741"/>
      <c r="D1" s="741"/>
      <c r="E1" s="741"/>
      <c r="F1" s="741"/>
      <c r="G1" s="741"/>
      <c r="H1" s="741"/>
      <c r="I1" s="741"/>
      <c r="J1" s="741"/>
      <c r="K1" s="741"/>
      <c r="L1" s="741"/>
      <c r="M1" s="741"/>
      <c r="N1" s="741"/>
      <c r="O1" s="741"/>
      <c r="P1" s="741"/>
      <c r="Q1" s="741"/>
    </row>
    <row r="2" spans="1:17" ht="18" customHeight="1" thickBot="1">
      <c r="B2" s="153"/>
      <c r="C2" s="153"/>
    </row>
    <row r="3" spans="1:17" ht="18" customHeight="1" thickBot="1">
      <c r="B3" s="153"/>
      <c r="C3" s="153"/>
      <c r="H3" s="742" t="s">
        <v>224</v>
      </c>
      <c r="I3" s="743"/>
      <c r="J3" s="743"/>
      <c r="K3" s="743"/>
      <c r="L3" s="744"/>
      <c r="M3" s="745">
        <f>'0_基本情報'!$D$4</f>
        <v>0</v>
      </c>
      <c r="N3" s="746"/>
      <c r="O3" s="746"/>
      <c r="P3" s="746"/>
      <c r="Q3" s="747"/>
    </row>
    <row r="4" spans="1:17" ht="18" customHeight="1">
      <c r="B4" s="153"/>
      <c r="C4" s="153"/>
      <c r="H4" s="154"/>
      <c r="I4" s="154"/>
      <c r="J4" s="154"/>
      <c r="K4" s="154"/>
      <c r="L4" s="154"/>
      <c r="M4" s="154"/>
      <c r="N4" s="154"/>
      <c r="O4" s="154"/>
      <c r="P4" s="154"/>
      <c r="Q4" s="154"/>
    </row>
    <row r="5" spans="1:17" ht="18" customHeight="1">
      <c r="B5" s="152" t="s">
        <v>225</v>
      </c>
      <c r="H5" s="154"/>
      <c r="I5" s="154"/>
      <c r="J5" s="154"/>
      <c r="K5" s="154"/>
      <c r="L5" s="154"/>
      <c r="M5" s="154"/>
      <c r="N5" s="154"/>
      <c r="O5" s="154"/>
      <c r="P5" s="154"/>
      <c r="Q5" s="154"/>
    </row>
    <row r="6" spans="1:17" ht="18" customHeight="1">
      <c r="B6" s="152" t="s">
        <v>226</v>
      </c>
      <c r="H6" s="154"/>
      <c r="I6" s="154"/>
      <c r="J6" s="154"/>
      <c r="K6" s="154"/>
      <c r="L6" s="154"/>
      <c r="M6" s="154"/>
      <c r="N6" s="154"/>
      <c r="O6" s="154"/>
      <c r="P6" s="154"/>
      <c r="Q6" s="154"/>
    </row>
    <row r="7" spans="1:17" ht="18" customHeight="1">
      <c r="B7" s="152" t="s">
        <v>227</v>
      </c>
      <c r="C7" s="155"/>
      <c r="H7" s="154"/>
      <c r="I7" s="154"/>
      <c r="J7" s="154"/>
      <c r="K7" s="154"/>
      <c r="L7" s="154"/>
      <c r="M7" s="154"/>
      <c r="N7" s="154"/>
      <c r="O7" s="154"/>
      <c r="P7" s="154"/>
      <c r="Q7" s="154"/>
    </row>
    <row r="8" spans="1:17" ht="18" customHeight="1">
      <c r="B8" s="155"/>
      <c r="C8" s="155"/>
      <c r="H8" s="154"/>
      <c r="I8" s="154"/>
      <c r="J8" s="154"/>
      <c r="K8" s="154"/>
      <c r="L8" s="154"/>
      <c r="M8" s="154"/>
      <c r="N8" s="154"/>
      <c r="O8" s="154"/>
      <c r="P8" s="154"/>
      <c r="Q8" s="154"/>
    </row>
    <row r="9" spans="1:17" ht="18" customHeight="1" thickBot="1">
      <c r="A9" s="156" t="s">
        <v>228</v>
      </c>
    </row>
    <row r="10" spans="1:17" ht="17.25" customHeight="1">
      <c r="B10" s="748" t="s">
        <v>229</v>
      </c>
      <c r="C10" s="749"/>
      <c r="D10" s="749"/>
      <c r="E10" s="157">
        <v>4</v>
      </c>
      <c r="F10" s="158">
        <v>5</v>
      </c>
      <c r="G10" s="158">
        <v>6</v>
      </c>
      <c r="H10" s="158">
        <v>7</v>
      </c>
      <c r="I10" s="158">
        <v>8</v>
      </c>
      <c r="J10" s="158">
        <v>9</v>
      </c>
      <c r="K10" s="158">
        <v>10</v>
      </c>
      <c r="L10" s="158">
        <v>11</v>
      </c>
      <c r="M10" s="158">
        <v>12</v>
      </c>
      <c r="N10" s="158">
        <v>1</v>
      </c>
      <c r="O10" s="158">
        <v>2</v>
      </c>
      <c r="P10" s="159">
        <v>3</v>
      </c>
      <c r="Q10" s="752" t="s">
        <v>230</v>
      </c>
    </row>
    <row r="11" spans="1:17" ht="17.25" customHeight="1">
      <c r="B11" s="750"/>
      <c r="C11" s="751"/>
      <c r="D11" s="751"/>
      <c r="E11" s="754" t="s">
        <v>231</v>
      </c>
      <c r="F11" s="755"/>
      <c r="G11" s="755"/>
      <c r="H11" s="755"/>
      <c r="I11" s="755"/>
      <c r="J11" s="755"/>
      <c r="K11" s="755"/>
      <c r="L11" s="755"/>
      <c r="M11" s="755"/>
      <c r="N11" s="755"/>
      <c r="O11" s="755"/>
      <c r="P11" s="756"/>
      <c r="Q11" s="753"/>
    </row>
    <row r="12" spans="1:17" ht="17.25" customHeight="1">
      <c r="B12" s="765" t="s">
        <v>232</v>
      </c>
      <c r="C12" s="766"/>
      <c r="D12" s="160" t="s">
        <v>233</v>
      </c>
      <c r="E12" s="161"/>
      <c r="F12" s="162"/>
      <c r="G12" s="162"/>
      <c r="H12" s="162"/>
      <c r="I12" s="162"/>
      <c r="J12" s="162"/>
      <c r="K12" s="162"/>
      <c r="L12" s="162"/>
      <c r="M12" s="162"/>
      <c r="N12" s="162"/>
      <c r="O12" s="162"/>
      <c r="P12" s="163"/>
      <c r="Q12" s="164">
        <f>ROUND(SUM(E12:P12)/12,0)</f>
        <v>0</v>
      </c>
    </row>
    <row r="13" spans="1:17" ht="17.25" customHeight="1">
      <c r="B13" s="767"/>
      <c r="C13" s="768"/>
      <c r="D13" s="165" t="s">
        <v>234</v>
      </c>
      <c r="E13" s="166"/>
      <c r="F13" s="167" t="str">
        <f>IFERROR(F12/$E12,"")</f>
        <v/>
      </c>
      <c r="G13" s="167" t="str">
        <f t="shared" ref="G13:P13" si="0">IFERROR(G12/$E12,"")</f>
        <v/>
      </c>
      <c r="H13" s="167" t="str">
        <f t="shared" si="0"/>
        <v/>
      </c>
      <c r="I13" s="167" t="str">
        <f t="shared" si="0"/>
        <v/>
      </c>
      <c r="J13" s="167" t="str">
        <f t="shared" si="0"/>
        <v/>
      </c>
      <c r="K13" s="167" t="str">
        <f t="shared" si="0"/>
        <v/>
      </c>
      <c r="L13" s="167" t="str">
        <f t="shared" si="0"/>
        <v/>
      </c>
      <c r="M13" s="167" t="str">
        <f t="shared" si="0"/>
        <v/>
      </c>
      <c r="N13" s="167" t="str">
        <f t="shared" si="0"/>
        <v/>
      </c>
      <c r="O13" s="167" t="str">
        <f t="shared" si="0"/>
        <v/>
      </c>
      <c r="P13" s="168" t="str">
        <f t="shared" si="0"/>
        <v/>
      </c>
      <c r="Q13" s="169" t="s">
        <v>235</v>
      </c>
    </row>
    <row r="14" spans="1:17" ht="17.25" customHeight="1">
      <c r="B14" s="765" t="s">
        <v>236</v>
      </c>
      <c r="C14" s="766"/>
      <c r="D14" s="160" t="s">
        <v>233</v>
      </c>
      <c r="E14" s="161"/>
      <c r="F14" s="162"/>
      <c r="G14" s="162"/>
      <c r="H14" s="162"/>
      <c r="I14" s="162"/>
      <c r="J14" s="162"/>
      <c r="K14" s="162"/>
      <c r="L14" s="162"/>
      <c r="M14" s="162"/>
      <c r="N14" s="162"/>
      <c r="O14" s="162"/>
      <c r="P14" s="163"/>
      <c r="Q14" s="164">
        <f>ROUND(SUM(E14:P14)/12,0)</f>
        <v>0</v>
      </c>
    </row>
    <row r="15" spans="1:17" ht="17.25" customHeight="1">
      <c r="B15" s="767"/>
      <c r="C15" s="768"/>
      <c r="D15" s="165" t="s">
        <v>234</v>
      </c>
      <c r="E15" s="166"/>
      <c r="F15" s="167" t="str">
        <f>IFERROR(F14/$E14,"")</f>
        <v/>
      </c>
      <c r="G15" s="167" t="str">
        <f t="shared" ref="G15:P15" si="1">IFERROR(G14/$E14,"")</f>
        <v/>
      </c>
      <c r="H15" s="167" t="str">
        <f t="shared" si="1"/>
        <v/>
      </c>
      <c r="I15" s="167" t="str">
        <f t="shared" si="1"/>
        <v/>
      </c>
      <c r="J15" s="167" t="str">
        <f t="shared" si="1"/>
        <v/>
      </c>
      <c r="K15" s="167" t="str">
        <f t="shared" si="1"/>
        <v/>
      </c>
      <c r="L15" s="167" t="str">
        <f t="shared" si="1"/>
        <v/>
      </c>
      <c r="M15" s="167" t="str">
        <f t="shared" si="1"/>
        <v/>
      </c>
      <c r="N15" s="167" t="str">
        <f t="shared" si="1"/>
        <v/>
      </c>
      <c r="O15" s="167" t="str">
        <f t="shared" si="1"/>
        <v/>
      </c>
      <c r="P15" s="168" t="str">
        <f t="shared" si="1"/>
        <v/>
      </c>
      <c r="Q15" s="169" t="s">
        <v>235</v>
      </c>
    </row>
    <row r="16" spans="1:17" ht="17.25" customHeight="1">
      <c r="B16" s="769" t="s">
        <v>237</v>
      </c>
      <c r="C16" s="770"/>
      <c r="D16" s="160" t="s">
        <v>233</v>
      </c>
      <c r="E16" s="161"/>
      <c r="F16" s="162"/>
      <c r="G16" s="162"/>
      <c r="H16" s="162"/>
      <c r="I16" s="162"/>
      <c r="J16" s="162"/>
      <c r="K16" s="162"/>
      <c r="L16" s="162"/>
      <c r="M16" s="162"/>
      <c r="N16" s="162"/>
      <c r="O16" s="162"/>
      <c r="P16" s="163"/>
      <c r="Q16" s="164">
        <f>ROUND(SUM(E16:P16)/12,0)</f>
        <v>0</v>
      </c>
    </row>
    <row r="17" spans="1:17" ht="17.25" customHeight="1">
      <c r="B17" s="769"/>
      <c r="C17" s="770"/>
      <c r="D17" s="165" t="s">
        <v>234</v>
      </c>
      <c r="E17" s="166"/>
      <c r="F17" s="167" t="str">
        <f>IFERROR(F16/$E16,"")</f>
        <v/>
      </c>
      <c r="G17" s="167" t="str">
        <f t="shared" ref="G17:P17" si="2">IFERROR(G16/$E16,"")</f>
        <v/>
      </c>
      <c r="H17" s="167" t="str">
        <f t="shared" si="2"/>
        <v/>
      </c>
      <c r="I17" s="167" t="str">
        <f t="shared" si="2"/>
        <v/>
      </c>
      <c r="J17" s="167" t="str">
        <f t="shared" si="2"/>
        <v/>
      </c>
      <c r="K17" s="167" t="str">
        <f t="shared" si="2"/>
        <v/>
      </c>
      <c r="L17" s="167" t="str">
        <f t="shared" si="2"/>
        <v/>
      </c>
      <c r="M17" s="167" t="str">
        <f t="shared" si="2"/>
        <v/>
      </c>
      <c r="N17" s="167" t="str">
        <f t="shared" si="2"/>
        <v/>
      </c>
      <c r="O17" s="167" t="str">
        <f t="shared" si="2"/>
        <v/>
      </c>
      <c r="P17" s="168" t="str">
        <f t="shared" si="2"/>
        <v/>
      </c>
      <c r="Q17" s="169"/>
    </row>
    <row r="18" spans="1:17" ht="17.25" customHeight="1">
      <c r="B18" s="765" t="s">
        <v>238</v>
      </c>
      <c r="C18" s="766"/>
      <c r="D18" s="160" t="s">
        <v>233</v>
      </c>
      <c r="E18" s="161"/>
      <c r="F18" s="162"/>
      <c r="G18" s="162"/>
      <c r="H18" s="162"/>
      <c r="I18" s="162"/>
      <c r="J18" s="162"/>
      <c r="K18" s="162"/>
      <c r="L18" s="162"/>
      <c r="M18" s="162"/>
      <c r="N18" s="162"/>
      <c r="O18" s="162"/>
      <c r="P18" s="163"/>
      <c r="Q18" s="164">
        <f>ROUND(SUM(E18:P18)/12,0)</f>
        <v>0</v>
      </c>
    </row>
    <row r="19" spans="1:17" ht="17.25" customHeight="1">
      <c r="B19" s="767"/>
      <c r="C19" s="771"/>
      <c r="D19" s="165" t="s">
        <v>234</v>
      </c>
      <c r="E19" s="166"/>
      <c r="F19" s="167" t="str">
        <f>IFERROR(F18/$E18,"")</f>
        <v/>
      </c>
      <c r="G19" s="167" t="str">
        <f t="shared" ref="G19:P19" si="3">IFERROR(G18/$E18,"")</f>
        <v/>
      </c>
      <c r="H19" s="167" t="str">
        <f t="shared" si="3"/>
        <v/>
      </c>
      <c r="I19" s="167" t="str">
        <f t="shared" si="3"/>
        <v/>
      </c>
      <c r="J19" s="167" t="str">
        <f t="shared" si="3"/>
        <v/>
      </c>
      <c r="K19" s="167" t="str">
        <f t="shared" si="3"/>
        <v/>
      </c>
      <c r="L19" s="167" t="str">
        <f t="shared" si="3"/>
        <v/>
      </c>
      <c r="M19" s="167" t="str">
        <f t="shared" si="3"/>
        <v/>
      </c>
      <c r="N19" s="167" t="str">
        <f t="shared" si="3"/>
        <v/>
      </c>
      <c r="O19" s="167" t="str">
        <f t="shared" si="3"/>
        <v/>
      </c>
      <c r="P19" s="168" t="str">
        <f t="shared" si="3"/>
        <v/>
      </c>
      <c r="Q19" s="169"/>
    </row>
    <row r="20" spans="1:17" ht="17.25" customHeight="1">
      <c r="B20" s="765" t="s">
        <v>239</v>
      </c>
      <c r="C20" s="766"/>
      <c r="D20" s="160" t="s">
        <v>233</v>
      </c>
      <c r="E20" s="161"/>
      <c r="F20" s="162"/>
      <c r="G20" s="162"/>
      <c r="H20" s="162"/>
      <c r="I20" s="162"/>
      <c r="J20" s="162"/>
      <c r="K20" s="162"/>
      <c r="L20" s="162"/>
      <c r="M20" s="162"/>
      <c r="N20" s="162"/>
      <c r="O20" s="162"/>
      <c r="P20" s="163"/>
      <c r="Q20" s="164">
        <f>ROUND(SUM(E20:P20)/12,0)</f>
        <v>0</v>
      </c>
    </row>
    <row r="21" spans="1:17" ht="17.25" customHeight="1">
      <c r="B21" s="767"/>
      <c r="C21" s="771"/>
      <c r="D21" s="165" t="s">
        <v>234</v>
      </c>
      <c r="E21" s="166"/>
      <c r="F21" s="167" t="str">
        <f>IFERROR(F20/$E20,"")</f>
        <v/>
      </c>
      <c r="G21" s="167" t="str">
        <f t="shared" ref="G21:P21" si="4">IFERROR(G20/$E20,"")</f>
        <v/>
      </c>
      <c r="H21" s="167" t="str">
        <f t="shared" si="4"/>
        <v/>
      </c>
      <c r="I21" s="167" t="str">
        <f t="shared" si="4"/>
        <v/>
      </c>
      <c r="J21" s="167" t="str">
        <f t="shared" si="4"/>
        <v/>
      </c>
      <c r="K21" s="167" t="str">
        <f t="shared" si="4"/>
        <v/>
      </c>
      <c r="L21" s="167" t="str">
        <f t="shared" si="4"/>
        <v/>
      </c>
      <c r="M21" s="167" t="str">
        <f t="shared" si="4"/>
        <v/>
      </c>
      <c r="N21" s="167" t="str">
        <f t="shared" si="4"/>
        <v/>
      </c>
      <c r="O21" s="167" t="str">
        <f t="shared" si="4"/>
        <v/>
      </c>
      <c r="P21" s="168" t="str">
        <f t="shared" si="4"/>
        <v/>
      </c>
      <c r="Q21" s="169"/>
    </row>
    <row r="22" spans="1:17" ht="17.25" customHeight="1">
      <c r="B22" s="765" t="s">
        <v>240</v>
      </c>
      <c r="C22" s="782"/>
      <c r="D22" s="160" t="s">
        <v>233</v>
      </c>
      <c r="E22" s="161"/>
      <c r="F22" s="162"/>
      <c r="G22" s="162"/>
      <c r="H22" s="162"/>
      <c r="I22" s="162"/>
      <c r="J22" s="162"/>
      <c r="K22" s="162"/>
      <c r="L22" s="162"/>
      <c r="M22" s="162"/>
      <c r="N22" s="162"/>
      <c r="O22" s="162"/>
      <c r="P22" s="163"/>
      <c r="Q22" s="164">
        <f>ROUND(SUM(E22:P22)/12,0)</f>
        <v>0</v>
      </c>
    </row>
    <row r="23" spans="1:17" ht="17.25" customHeight="1" thickBot="1">
      <c r="B23" s="783"/>
      <c r="C23" s="784"/>
      <c r="D23" s="170" t="s">
        <v>234</v>
      </c>
      <c r="E23" s="171"/>
      <c r="F23" s="172" t="str">
        <f>IFERROR(F22/$E22,"")</f>
        <v/>
      </c>
      <c r="G23" s="172" t="str">
        <f t="shared" ref="G23:P23" si="5">IFERROR(G22/$E22,"")</f>
        <v/>
      </c>
      <c r="H23" s="172" t="str">
        <f t="shared" si="5"/>
        <v/>
      </c>
      <c r="I23" s="172" t="str">
        <f t="shared" si="5"/>
        <v/>
      </c>
      <c r="J23" s="172" t="str">
        <f t="shared" si="5"/>
        <v/>
      </c>
      <c r="K23" s="172" t="str">
        <f t="shared" si="5"/>
        <v/>
      </c>
      <c r="L23" s="172" t="str">
        <f t="shared" si="5"/>
        <v/>
      </c>
      <c r="M23" s="172" t="str">
        <f t="shared" si="5"/>
        <v/>
      </c>
      <c r="N23" s="172" t="str">
        <f t="shared" si="5"/>
        <v/>
      </c>
      <c r="O23" s="172" t="str">
        <f t="shared" si="5"/>
        <v/>
      </c>
      <c r="P23" s="173" t="str">
        <f t="shared" si="5"/>
        <v/>
      </c>
      <c r="Q23" s="174"/>
    </row>
    <row r="24" spans="1:17" ht="17.25" customHeight="1" thickTop="1" thickBot="1">
      <c r="B24" s="785" t="s">
        <v>241</v>
      </c>
      <c r="C24" s="786"/>
      <c r="D24" s="175"/>
      <c r="E24" s="176">
        <f>SUM(E12,E14,E16,E18,E20,E22)</f>
        <v>0</v>
      </c>
      <c r="F24" s="177">
        <f>SUM(F12,F14,F16,F18,F20,F22)</f>
        <v>0</v>
      </c>
      <c r="G24" s="177">
        <f>SUM(G12,G14,G16,G18,G20,G22)</f>
        <v>0</v>
      </c>
      <c r="H24" s="177">
        <f>SUM(H12,H14,H16,H18,H20,H22)</f>
        <v>0</v>
      </c>
      <c r="I24" s="177"/>
      <c r="J24" s="177"/>
      <c r="K24" s="177"/>
      <c r="L24" s="177"/>
      <c r="M24" s="177"/>
      <c r="N24" s="177"/>
      <c r="O24" s="177"/>
      <c r="P24" s="178"/>
      <c r="Q24" s="179">
        <f>SUM(Q12,Q14,Q16,Q18,Q20,Q22)</f>
        <v>0</v>
      </c>
    </row>
    <row r="25" spans="1:17" ht="17.25" customHeight="1">
      <c r="B25" s="154"/>
      <c r="C25" s="154"/>
      <c r="D25" s="154"/>
      <c r="F25" s="180"/>
      <c r="G25" s="180"/>
      <c r="H25" s="180"/>
      <c r="I25" s="180"/>
      <c r="J25" s="180"/>
      <c r="K25" s="180"/>
      <c r="L25" s="180"/>
      <c r="M25" s="180"/>
      <c r="N25" s="180"/>
      <c r="O25" s="180"/>
      <c r="P25" s="180"/>
    </row>
    <row r="26" spans="1:17" ht="17.25" customHeight="1">
      <c r="B26" s="154"/>
      <c r="C26" s="154"/>
      <c r="D26" s="154"/>
      <c r="F26" s="180"/>
      <c r="G26" s="180"/>
      <c r="H26" s="180"/>
      <c r="I26" s="180"/>
      <c r="J26" s="180"/>
      <c r="K26" s="180"/>
      <c r="L26" s="180"/>
      <c r="M26" s="180"/>
      <c r="N26" s="180"/>
      <c r="O26" s="180"/>
      <c r="P26" s="180"/>
    </row>
    <row r="27" spans="1:17" ht="17.25" customHeight="1" thickBot="1">
      <c r="A27" s="156" t="s">
        <v>242</v>
      </c>
      <c r="E27" s="181"/>
    </row>
    <row r="28" spans="1:17" ht="17.25" customHeight="1">
      <c r="B28" s="776" t="s">
        <v>243</v>
      </c>
      <c r="C28" s="777"/>
      <c r="D28" s="778"/>
      <c r="E28" s="157">
        <v>4</v>
      </c>
      <c r="F28" s="182">
        <v>5</v>
      </c>
      <c r="G28" s="182">
        <v>6</v>
      </c>
      <c r="H28" s="159">
        <v>7</v>
      </c>
      <c r="I28" s="158">
        <v>8</v>
      </c>
      <c r="J28" s="158">
        <v>9</v>
      </c>
      <c r="K28" s="183">
        <v>10</v>
      </c>
      <c r="L28" s="158">
        <v>11</v>
      </c>
      <c r="M28" s="158">
        <v>12</v>
      </c>
      <c r="N28" s="158">
        <v>1</v>
      </c>
      <c r="O28" s="158">
        <v>2</v>
      </c>
      <c r="P28" s="159">
        <v>3</v>
      </c>
      <c r="Q28" s="757" t="s">
        <v>230</v>
      </c>
    </row>
    <row r="29" spans="1:17" ht="17.25" customHeight="1">
      <c r="B29" s="779"/>
      <c r="C29" s="780"/>
      <c r="D29" s="781"/>
      <c r="E29" s="759" t="s">
        <v>231</v>
      </c>
      <c r="F29" s="760"/>
      <c r="G29" s="760"/>
      <c r="H29" s="761"/>
      <c r="I29" s="762" t="s">
        <v>244</v>
      </c>
      <c r="J29" s="763"/>
      <c r="K29" s="763"/>
      <c r="L29" s="763"/>
      <c r="M29" s="763"/>
      <c r="N29" s="763"/>
      <c r="O29" s="763"/>
      <c r="P29" s="764"/>
      <c r="Q29" s="758"/>
    </row>
    <row r="30" spans="1:17" ht="18" customHeight="1">
      <c r="B30" s="787" t="str">
        <f>$B$12</f>
        <v>５歳児</v>
      </c>
      <c r="C30" s="788"/>
      <c r="D30" s="184" t="s">
        <v>233</v>
      </c>
      <c r="E30" s="406"/>
      <c r="F30" s="185"/>
      <c r="G30" s="185"/>
      <c r="H30" s="186"/>
      <c r="I30" s="187" t="str">
        <f t="shared" ref="I30:P30" si="6">IFERROR($E$30*I13,"")</f>
        <v/>
      </c>
      <c r="J30" s="187" t="str">
        <f t="shared" si="6"/>
        <v/>
      </c>
      <c r="K30" s="187" t="str">
        <f t="shared" si="6"/>
        <v/>
      </c>
      <c r="L30" s="187" t="str">
        <f t="shared" si="6"/>
        <v/>
      </c>
      <c r="M30" s="187" t="str">
        <f t="shared" si="6"/>
        <v/>
      </c>
      <c r="N30" s="187" t="str">
        <f t="shared" si="6"/>
        <v/>
      </c>
      <c r="O30" s="187" t="str">
        <f t="shared" si="6"/>
        <v/>
      </c>
      <c r="P30" s="188" t="str">
        <f t="shared" si="6"/>
        <v/>
      </c>
      <c r="Q30" s="189">
        <f t="shared" ref="Q30:Q35" si="7">ROUND(SUM(E30:P30)/12,0)</f>
        <v>0</v>
      </c>
    </row>
    <row r="31" spans="1:17" ht="18" customHeight="1">
      <c r="B31" s="787" t="str">
        <f>$B$14</f>
        <v>４歳児</v>
      </c>
      <c r="C31" s="788"/>
      <c r="D31" s="184" t="s">
        <v>233</v>
      </c>
      <c r="E31" s="406"/>
      <c r="F31" s="185"/>
      <c r="G31" s="185"/>
      <c r="H31" s="186"/>
      <c r="I31" s="187" t="str">
        <f t="shared" ref="I31:P31" si="8">IFERROR($E$31*I15,"")</f>
        <v/>
      </c>
      <c r="J31" s="187" t="str">
        <f t="shared" si="8"/>
        <v/>
      </c>
      <c r="K31" s="187" t="str">
        <f t="shared" si="8"/>
        <v/>
      </c>
      <c r="L31" s="187" t="str">
        <f t="shared" si="8"/>
        <v/>
      </c>
      <c r="M31" s="187" t="str">
        <f t="shared" si="8"/>
        <v/>
      </c>
      <c r="N31" s="187" t="str">
        <f t="shared" si="8"/>
        <v/>
      </c>
      <c r="O31" s="187" t="str">
        <f t="shared" si="8"/>
        <v/>
      </c>
      <c r="P31" s="188" t="str">
        <f t="shared" si="8"/>
        <v/>
      </c>
      <c r="Q31" s="189">
        <f t="shared" si="7"/>
        <v>0</v>
      </c>
    </row>
    <row r="32" spans="1:17" ht="18" customHeight="1">
      <c r="B32" s="765" t="str">
        <f>$B$16</f>
        <v>３歳児</v>
      </c>
      <c r="C32" s="782"/>
      <c r="D32" s="190" t="s">
        <v>233</v>
      </c>
      <c r="E32" s="406"/>
      <c r="F32" s="185"/>
      <c r="G32" s="185"/>
      <c r="H32" s="186"/>
      <c r="I32" s="187" t="str">
        <f t="shared" ref="I32:P32" si="9">IFERROR($E$32*I17,"")</f>
        <v/>
      </c>
      <c r="J32" s="187" t="str">
        <f t="shared" si="9"/>
        <v/>
      </c>
      <c r="K32" s="187" t="str">
        <f t="shared" si="9"/>
        <v/>
      </c>
      <c r="L32" s="187" t="str">
        <f t="shared" si="9"/>
        <v/>
      </c>
      <c r="M32" s="187" t="str">
        <f t="shared" si="9"/>
        <v/>
      </c>
      <c r="N32" s="187" t="str">
        <f t="shared" si="9"/>
        <v/>
      </c>
      <c r="O32" s="187" t="str">
        <f t="shared" si="9"/>
        <v/>
      </c>
      <c r="P32" s="188" t="str">
        <f t="shared" si="9"/>
        <v/>
      </c>
      <c r="Q32" s="189">
        <f t="shared" si="7"/>
        <v>0</v>
      </c>
    </row>
    <row r="33" spans="1:17" ht="18" customHeight="1">
      <c r="B33" s="787" t="str">
        <f>$B$18</f>
        <v>２歳児</v>
      </c>
      <c r="C33" s="788"/>
      <c r="D33" s="184" t="s">
        <v>233</v>
      </c>
      <c r="E33" s="406"/>
      <c r="F33" s="191"/>
      <c r="G33" s="191"/>
      <c r="H33" s="186"/>
      <c r="I33" s="187" t="str">
        <f t="shared" ref="I33:P33" si="10">IFERROR($E$33*I19,"")</f>
        <v/>
      </c>
      <c r="J33" s="187" t="str">
        <f t="shared" si="10"/>
        <v/>
      </c>
      <c r="K33" s="187" t="str">
        <f t="shared" si="10"/>
        <v/>
      </c>
      <c r="L33" s="187" t="str">
        <f t="shared" si="10"/>
        <v/>
      </c>
      <c r="M33" s="187" t="str">
        <f t="shared" si="10"/>
        <v/>
      </c>
      <c r="N33" s="187" t="str">
        <f t="shared" si="10"/>
        <v/>
      </c>
      <c r="O33" s="187" t="str">
        <f t="shared" si="10"/>
        <v/>
      </c>
      <c r="P33" s="188" t="str">
        <f t="shared" si="10"/>
        <v/>
      </c>
      <c r="Q33" s="189">
        <f t="shared" si="7"/>
        <v>0</v>
      </c>
    </row>
    <row r="34" spans="1:17" ht="18" customHeight="1">
      <c r="B34" s="787" t="str">
        <f>$B$20</f>
        <v>１歳児</v>
      </c>
      <c r="C34" s="788"/>
      <c r="D34" s="184" t="s">
        <v>233</v>
      </c>
      <c r="E34" s="406"/>
      <c r="F34" s="191"/>
      <c r="G34" s="191"/>
      <c r="H34" s="186"/>
      <c r="I34" s="187" t="str">
        <f t="shared" ref="I34:P34" si="11">IFERROR($E$34*I21,"")</f>
        <v/>
      </c>
      <c r="J34" s="187" t="str">
        <f t="shared" si="11"/>
        <v/>
      </c>
      <c r="K34" s="187" t="str">
        <f t="shared" si="11"/>
        <v/>
      </c>
      <c r="L34" s="187" t="str">
        <f t="shared" si="11"/>
        <v/>
      </c>
      <c r="M34" s="187" t="str">
        <f t="shared" si="11"/>
        <v/>
      </c>
      <c r="N34" s="187" t="str">
        <f t="shared" si="11"/>
        <v/>
      </c>
      <c r="O34" s="187" t="str">
        <f t="shared" si="11"/>
        <v/>
      </c>
      <c r="P34" s="188" t="str">
        <f t="shared" si="11"/>
        <v/>
      </c>
      <c r="Q34" s="189">
        <f t="shared" si="7"/>
        <v>0</v>
      </c>
    </row>
    <row r="35" spans="1:17" ht="18" customHeight="1" thickBot="1">
      <c r="B35" s="772" t="str">
        <f>$B$22</f>
        <v>０歳児</v>
      </c>
      <c r="C35" s="773"/>
      <c r="D35" s="192" t="s">
        <v>233</v>
      </c>
      <c r="E35" s="407"/>
      <c r="F35" s="193"/>
      <c r="G35" s="193"/>
      <c r="H35" s="194"/>
      <c r="I35" s="195" t="str">
        <f t="shared" ref="I35:P35" si="12">IFERROR($E$35*I23,"")</f>
        <v/>
      </c>
      <c r="J35" s="195" t="str">
        <f t="shared" si="12"/>
        <v/>
      </c>
      <c r="K35" s="195" t="str">
        <f t="shared" si="12"/>
        <v/>
      </c>
      <c r="L35" s="195" t="str">
        <f t="shared" si="12"/>
        <v/>
      </c>
      <c r="M35" s="195" t="str">
        <f t="shared" si="12"/>
        <v/>
      </c>
      <c r="N35" s="195" t="str">
        <f t="shared" si="12"/>
        <v/>
      </c>
      <c r="O35" s="195" t="str">
        <f t="shared" si="12"/>
        <v/>
      </c>
      <c r="P35" s="196" t="str">
        <f t="shared" si="12"/>
        <v/>
      </c>
      <c r="Q35" s="197">
        <f t="shared" si="7"/>
        <v>0</v>
      </c>
    </row>
    <row r="36" spans="1:17" ht="18" customHeight="1" thickTop="1" thickBot="1">
      <c r="B36" s="774" t="s">
        <v>241</v>
      </c>
      <c r="C36" s="775"/>
      <c r="D36" s="198"/>
      <c r="E36" s="199">
        <f>SUM(E30:E35)</f>
        <v>0</v>
      </c>
      <c r="F36" s="200">
        <f t="shared" ref="F36:H36" si="13">SUM(F30:F35)</f>
        <v>0</v>
      </c>
      <c r="G36" s="201">
        <f t="shared" si="13"/>
        <v>0</v>
      </c>
      <c r="H36" s="202">
        <f t="shared" si="13"/>
        <v>0</v>
      </c>
      <c r="I36" s="203"/>
      <c r="J36" s="204"/>
      <c r="K36" s="204"/>
      <c r="L36" s="204"/>
      <c r="M36" s="204"/>
      <c r="N36" s="204"/>
      <c r="O36" s="204"/>
      <c r="P36" s="205"/>
      <c r="Q36" s="206">
        <f>SUM(Q30:Q35)</f>
        <v>0</v>
      </c>
    </row>
    <row r="37" spans="1:17" ht="17.25" customHeight="1">
      <c r="B37" s="207" t="s">
        <v>245</v>
      </c>
    </row>
    <row r="38" spans="1:17" ht="17.25" customHeight="1"/>
    <row r="39" spans="1:17" ht="17.25" customHeight="1"/>
    <row r="40" spans="1:17" ht="17.25" customHeight="1"/>
    <row r="41" spans="1:17" ht="17.25" customHeight="1"/>
    <row r="42" spans="1:17" ht="17.25" customHeight="1" thickBot="1">
      <c r="A42" s="156" t="s">
        <v>246</v>
      </c>
      <c r="E42" s="181"/>
    </row>
    <row r="43" spans="1:17" ht="17.25" customHeight="1">
      <c r="B43" s="776" t="s">
        <v>243</v>
      </c>
      <c r="C43" s="777"/>
      <c r="D43" s="778"/>
      <c r="E43" s="157">
        <v>4</v>
      </c>
      <c r="F43" s="182">
        <v>5</v>
      </c>
      <c r="G43" s="182">
        <v>6</v>
      </c>
      <c r="H43" s="159">
        <v>7</v>
      </c>
      <c r="I43" s="158">
        <v>8</v>
      </c>
      <c r="J43" s="158">
        <v>9</v>
      </c>
      <c r="K43" s="183">
        <v>10</v>
      </c>
      <c r="L43" s="158">
        <v>11</v>
      </c>
      <c r="M43" s="158">
        <v>12</v>
      </c>
      <c r="N43" s="158">
        <v>1</v>
      </c>
      <c r="O43" s="158">
        <v>2</v>
      </c>
      <c r="P43" s="159">
        <v>3</v>
      </c>
      <c r="Q43" s="757" t="s">
        <v>230</v>
      </c>
    </row>
    <row r="44" spans="1:17" ht="17.25" customHeight="1">
      <c r="B44" s="779"/>
      <c r="C44" s="780"/>
      <c r="D44" s="781"/>
      <c r="E44" s="759" t="s">
        <v>231</v>
      </c>
      <c r="F44" s="760"/>
      <c r="G44" s="760"/>
      <c r="H44" s="761"/>
      <c r="I44" s="762" t="s">
        <v>247</v>
      </c>
      <c r="J44" s="763"/>
      <c r="K44" s="763"/>
      <c r="L44" s="763"/>
      <c r="M44" s="763"/>
      <c r="N44" s="763"/>
      <c r="O44" s="763"/>
      <c r="P44" s="764"/>
      <c r="Q44" s="758"/>
    </row>
    <row r="45" spans="1:17" ht="18" customHeight="1">
      <c r="B45" s="787" t="str">
        <f>$B$12</f>
        <v>５歳児</v>
      </c>
      <c r="C45" s="788"/>
      <c r="D45" s="208" t="s">
        <v>233</v>
      </c>
      <c r="E45" s="209">
        <f t="shared" ref="E45:H50" si="14">E30</f>
        <v>0</v>
      </c>
      <c r="F45" s="210">
        <f t="shared" si="14"/>
        <v>0</v>
      </c>
      <c r="G45" s="210">
        <f t="shared" si="14"/>
        <v>0</v>
      </c>
      <c r="H45" s="211">
        <f t="shared" si="14"/>
        <v>0</v>
      </c>
      <c r="I45" s="185"/>
      <c r="J45" s="185"/>
      <c r="K45" s="185"/>
      <c r="L45" s="185"/>
      <c r="M45" s="185"/>
      <c r="N45" s="185"/>
      <c r="O45" s="185"/>
      <c r="P45" s="186"/>
      <c r="Q45" s="189">
        <f t="shared" ref="Q45:Q50" si="15">ROUND(SUM(E45:P45)/12,0)</f>
        <v>0</v>
      </c>
    </row>
    <row r="46" spans="1:17" ht="18" customHeight="1">
      <c r="B46" s="787" t="str">
        <f>$B$14</f>
        <v>４歳児</v>
      </c>
      <c r="C46" s="788"/>
      <c r="D46" s="208" t="s">
        <v>233</v>
      </c>
      <c r="E46" s="209">
        <f t="shared" si="14"/>
        <v>0</v>
      </c>
      <c r="F46" s="210">
        <f t="shared" si="14"/>
        <v>0</v>
      </c>
      <c r="G46" s="210">
        <f t="shared" si="14"/>
        <v>0</v>
      </c>
      <c r="H46" s="211">
        <f t="shared" si="14"/>
        <v>0</v>
      </c>
      <c r="I46" s="185"/>
      <c r="J46" s="185"/>
      <c r="K46" s="185"/>
      <c r="L46" s="185"/>
      <c r="M46" s="185"/>
      <c r="N46" s="185"/>
      <c r="O46" s="185"/>
      <c r="P46" s="186"/>
      <c r="Q46" s="189">
        <f t="shared" si="15"/>
        <v>0</v>
      </c>
    </row>
    <row r="47" spans="1:17" ht="18" customHeight="1">
      <c r="B47" s="769" t="str">
        <f>$B$16</f>
        <v>３歳児</v>
      </c>
      <c r="C47" s="770"/>
      <c r="D47" s="208" t="s">
        <v>233</v>
      </c>
      <c r="E47" s="209">
        <f t="shared" si="14"/>
        <v>0</v>
      </c>
      <c r="F47" s="210">
        <f t="shared" si="14"/>
        <v>0</v>
      </c>
      <c r="G47" s="210">
        <f t="shared" si="14"/>
        <v>0</v>
      </c>
      <c r="H47" s="211">
        <f t="shared" si="14"/>
        <v>0</v>
      </c>
      <c r="I47" s="185"/>
      <c r="J47" s="185"/>
      <c r="K47" s="185"/>
      <c r="L47" s="185"/>
      <c r="M47" s="185"/>
      <c r="N47" s="185"/>
      <c r="O47" s="185"/>
      <c r="P47" s="186"/>
      <c r="Q47" s="189">
        <f t="shared" si="15"/>
        <v>0</v>
      </c>
    </row>
    <row r="48" spans="1:17" ht="18" customHeight="1">
      <c r="B48" s="787" t="str">
        <f>$B$18</f>
        <v>２歳児</v>
      </c>
      <c r="C48" s="788"/>
      <c r="D48" s="208" t="s">
        <v>233</v>
      </c>
      <c r="E48" s="209">
        <f t="shared" si="14"/>
        <v>0</v>
      </c>
      <c r="F48" s="212">
        <f t="shared" si="14"/>
        <v>0</v>
      </c>
      <c r="G48" s="212">
        <f t="shared" si="14"/>
        <v>0</v>
      </c>
      <c r="H48" s="211">
        <f t="shared" si="14"/>
        <v>0</v>
      </c>
      <c r="I48" s="185"/>
      <c r="J48" s="185"/>
      <c r="K48" s="185"/>
      <c r="L48" s="185"/>
      <c r="M48" s="185"/>
      <c r="N48" s="185"/>
      <c r="O48" s="185"/>
      <c r="P48" s="186"/>
      <c r="Q48" s="189">
        <f t="shared" si="15"/>
        <v>0</v>
      </c>
    </row>
    <row r="49" spans="2:17" ht="18" customHeight="1">
      <c r="B49" s="787" t="str">
        <f>$B$20</f>
        <v>１歳児</v>
      </c>
      <c r="C49" s="788"/>
      <c r="D49" s="208" t="s">
        <v>233</v>
      </c>
      <c r="E49" s="209">
        <f t="shared" si="14"/>
        <v>0</v>
      </c>
      <c r="F49" s="212">
        <f t="shared" si="14"/>
        <v>0</v>
      </c>
      <c r="G49" s="212">
        <f t="shared" si="14"/>
        <v>0</v>
      </c>
      <c r="H49" s="211">
        <f t="shared" si="14"/>
        <v>0</v>
      </c>
      <c r="I49" s="185"/>
      <c r="J49" s="185"/>
      <c r="K49" s="185"/>
      <c r="L49" s="185"/>
      <c r="M49" s="185"/>
      <c r="N49" s="185"/>
      <c r="O49" s="185"/>
      <c r="P49" s="186"/>
      <c r="Q49" s="189">
        <f t="shared" si="15"/>
        <v>0</v>
      </c>
    </row>
    <row r="50" spans="2:17" ht="18" customHeight="1" thickBot="1">
      <c r="B50" s="772" t="str">
        <f>$B$22</f>
        <v>０歳児</v>
      </c>
      <c r="C50" s="773"/>
      <c r="D50" s="213" t="s">
        <v>233</v>
      </c>
      <c r="E50" s="214">
        <f t="shared" si="14"/>
        <v>0</v>
      </c>
      <c r="F50" s="215">
        <f t="shared" si="14"/>
        <v>0</v>
      </c>
      <c r="G50" s="215">
        <f t="shared" si="14"/>
        <v>0</v>
      </c>
      <c r="H50" s="216">
        <f t="shared" si="14"/>
        <v>0</v>
      </c>
      <c r="I50" s="217"/>
      <c r="J50" s="217"/>
      <c r="K50" s="217"/>
      <c r="L50" s="217"/>
      <c r="M50" s="217"/>
      <c r="N50" s="217"/>
      <c r="O50" s="217"/>
      <c r="P50" s="194"/>
      <c r="Q50" s="197">
        <f t="shared" si="15"/>
        <v>0</v>
      </c>
    </row>
    <row r="51" spans="2:17" ht="18" customHeight="1" thickTop="1" thickBot="1">
      <c r="B51" s="785" t="s">
        <v>241</v>
      </c>
      <c r="C51" s="786"/>
      <c r="D51" s="218"/>
      <c r="E51" s="199">
        <f>SUM(E45:E47,E48:E50)</f>
        <v>0</v>
      </c>
      <c r="F51" s="200">
        <f>SUM(F45:F47,F48:F50)</f>
        <v>0</v>
      </c>
      <c r="G51" s="201">
        <f>SUM(G45:G47,G48:G50)</f>
        <v>0</v>
      </c>
      <c r="H51" s="219">
        <f>SUM(H45:H47,H48:H50)</f>
        <v>0</v>
      </c>
      <c r="I51" s="199"/>
      <c r="J51" s="177"/>
      <c r="K51" s="177"/>
      <c r="L51" s="177"/>
      <c r="M51" s="177"/>
      <c r="N51" s="177"/>
      <c r="O51" s="177"/>
      <c r="P51" s="178"/>
      <c r="Q51" s="206">
        <f>SUM(Q45:Q50)</f>
        <v>0</v>
      </c>
    </row>
    <row r="52" spans="2:17" ht="17.25" customHeight="1">
      <c r="B52" s="207" t="s">
        <v>245</v>
      </c>
      <c r="E52" s="220"/>
      <c r="F52" s="220"/>
      <c r="G52" s="220"/>
      <c r="H52" s="220"/>
      <c r="I52" s="220"/>
      <c r="J52" s="220"/>
      <c r="K52" s="220"/>
      <c r="L52" s="220"/>
      <c r="M52" s="220"/>
      <c r="N52" s="220"/>
      <c r="O52" s="220"/>
      <c r="P52" s="220"/>
      <c r="Q52" s="220"/>
    </row>
    <row r="53" spans="2:17" ht="17.25" customHeight="1">
      <c r="E53" s="220"/>
      <c r="F53" s="220"/>
      <c r="G53" s="220"/>
      <c r="H53" s="220"/>
      <c r="I53" s="220"/>
      <c r="J53" s="220"/>
      <c r="K53" s="220"/>
      <c r="L53" s="220"/>
      <c r="M53" s="220"/>
      <c r="N53" s="220"/>
      <c r="O53" s="220"/>
      <c r="P53" s="220"/>
      <c r="Q53" s="220"/>
    </row>
    <row r="54" spans="2:17" ht="17.25" customHeight="1" thickBot="1">
      <c r="B54" s="221" t="s">
        <v>248</v>
      </c>
      <c r="C54" s="222"/>
    </row>
    <row r="55" spans="2:17" ht="94.5" customHeight="1" thickBot="1">
      <c r="B55" s="789" t="s">
        <v>249</v>
      </c>
      <c r="C55" s="790"/>
      <c r="D55" s="790"/>
      <c r="E55" s="790"/>
      <c r="F55" s="790"/>
      <c r="G55" s="790"/>
      <c r="H55" s="790"/>
      <c r="I55" s="790"/>
      <c r="J55" s="790"/>
      <c r="K55" s="790"/>
      <c r="L55" s="790"/>
      <c r="M55" s="790"/>
      <c r="N55" s="790"/>
      <c r="O55" s="790"/>
      <c r="P55" s="790"/>
      <c r="Q55" s="791"/>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S6oCJe3xBwRgZQc3ojGDc36ItejAcOIwkH+mwRdKGF5ZNj2JHmugnmCluZER6LQQxbhgywNHcL5q/TJy6B0ibg==" saltValue="CfWGDAvKDfH3RK3IL129gw==" spinCount="100000" sheet="1" objects="1" scenarios="1"/>
  <mergeCells count="36">
    <mergeCell ref="Q43:Q44"/>
    <mergeCell ref="E44:H44"/>
    <mergeCell ref="I44:P44"/>
    <mergeCell ref="B55:Q55"/>
    <mergeCell ref="B46:C46"/>
    <mergeCell ref="B47:C47"/>
    <mergeCell ref="B48:C48"/>
    <mergeCell ref="B49:C49"/>
    <mergeCell ref="B50:C50"/>
    <mergeCell ref="B51:C51"/>
    <mergeCell ref="B45:C45"/>
    <mergeCell ref="B35:C35"/>
    <mergeCell ref="B36:C36"/>
    <mergeCell ref="B43:D44"/>
    <mergeCell ref="B20:C21"/>
    <mergeCell ref="B22:C23"/>
    <mergeCell ref="B24:C24"/>
    <mergeCell ref="B28:D29"/>
    <mergeCell ref="B30:C30"/>
    <mergeCell ref="B31:C31"/>
    <mergeCell ref="B32:C32"/>
    <mergeCell ref="B33:C33"/>
    <mergeCell ref="B34:C34"/>
    <mergeCell ref="Q28:Q29"/>
    <mergeCell ref="E29:H29"/>
    <mergeCell ref="I29:P29"/>
    <mergeCell ref="B12:C13"/>
    <mergeCell ref="B14:C15"/>
    <mergeCell ref="B16:C17"/>
    <mergeCell ref="B18:C19"/>
    <mergeCell ref="A1:Q1"/>
    <mergeCell ref="H3:L3"/>
    <mergeCell ref="M3:Q3"/>
    <mergeCell ref="B10:D11"/>
    <mergeCell ref="Q10:Q11"/>
    <mergeCell ref="E11:P11"/>
  </mergeCells>
  <phoneticPr fontId="4"/>
  <dataValidations count="1">
    <dataValidation type="whole" allowBlank="1" showInputMessage="1" showErrorMessage="1" sqref="E12:P12 E14:P14 E16:P16 E18:P18 E20:P20 E22:P22 E30:H35 I45:P50" xr:uid="{032A97B4-DC48-49F3-A2B8-E319C9BC220D}">
      <formula1>0</formula1>
      <formula2>1000</formula2>
    </dataValidation>
  </dataValidations>
  <pageMargins left="0.61" right="0.27559055118110237" top="0.55118110236220474" bottom="0.19685039370078741" header="0.31496062992125984" footer="0.19685039370078741"/>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D16C-F289-410D-80F2-8C6C538640A8}">
  <sheetPr>
    <pageSetUpPr fitToPage="1"/>
  </sheetPr>
  <dimension ref="A1:Q94"/>
  <sheetViews>
    <sheetView view="pageBreakPreview" zoomScale="70" zoomScaleNormal="100" zoomScaleSheetLayoutView="70" workbookViewId="0">
      <selection sqref="A1:Q1"/>
    </sheetView>
  </sheetViews>
  <sheetFormatPr defaultColWidth="9" defaultRowHeight="18.75"/>
  <cols>
    <col min="1" max="1" width="2.375" style="152" customWidth="1"/>
    <col min="2" max="2" width="1.625" style="152" customWidth="1"/>
    <col min="3" max="3" width="14.125" style="152" customWidth="1"/>
    <col min="4" max="4" width="6.875" style="152" customWidth="1"/>
    <col min="5" max="16" width="6.625" style="152" customWidth="1"/>
    <col min="17" max="17" width="7.5" style="152" customWidth="1"/>
    <col min="18" max="16384" width="9" style="152"/>
  </cols>
  <sheetData>
    <row r="1" spans="1:17" ht="40.5" customHeight="1">
      <c r="A1" s="741" t="s">
        <v>251</v>
      </c>
      <c r="B1" s="741"/>
      <c r="C1" s="741"/>
      <c r="D1" s="741"/>
      <c r="E1" s="741"/>
      <c r="F1" s="741"/>
      <c r="G1" s="741"/>
      <c r="H1" s="741"/>
      <c r="I1" s="741"/>
      <c r="J1" s="741"/>
      <c r="K1" s="741"/>
      <c r="L1" s="741"/>
      <c r="M1" s="741"/>
      <c r="N1" s="741"/>
      <c r="O1" s="741"/>
      <c r="P1" s="741"/>
      <c r="Q1" s="741"/>
    </row>
    <row r="2" spans="1:17" ht="18" customHeight="1" thickBot="1">
      <c r="B2" s="153"/>
      <c r="C2" s="153"/>
    </row>
    <row r="3" spans="1:17" ht="18" customHeight="1" thickBot="1">
      <c r="B3" s="153"/>
      <c r="C3" s="153"/>
      <c r="H3" s="742" t="s">
        <v>224</v>
      </c>
      <c r="I3" s="743"/>
      <c r="J3" s="743"/>
      <c r="K3" s="743"/>
      <c r="L3" s="744"/>
      <c r="M3" s="792">
        <f>'1-1_児童数計算表'!$M$3</f>
        <v>0</v>
      </c>
      <c r="N3" s="793"/>
      <c r="O3" s="793"/>
      <c r="P3" s="793"/>
      <c r="Q3" s="794"/>
    </row>
    <row r="4" spans="1:17" ht="18" customHeight="1">
      <c r="B4" s="153"/>
      <c r="C4" s="153"/>
      <c r="H4" s="154"/>
      <c r="I4" s="154"/>
      <c r="J4" s="154"/>
      <c r="K4" s="154"/>
      <c r="L4" s="154"/>
      <c r="M4" s="154"/>
      <c r="N4" s="154"/>
      <c r="O4" s="154"/>
      <c r="P4" s="154"/>
      <c r="Q4" s="154"/>
    </row>
    <row r="5" spans="1:17" ht="18" customHeight="1">
      <c r="B5" s="152" t="s">
        <v>225</v>
      </c>
      <c r="H5" s="154"/>
      <c r="I5" s="154"/>
      <c r="J5" s="154"/>
      <c r="K5" s="154"/>
      <c r="L5" s="154"/>
      <c r="M5" s="154"/>
      <c r="N5" s="154"/>
      <c r="O5" s="154"/>
      <c r="P5" s="154"/>
      <c r="Q5" s="154"/>
    </row>
    <row r="6" spans="1:17" ht="18" customHeight="1">
      <c r="B6" s="152" t="s">
        <v>226</v>
      </c>
      <c r="H6" s="154"/>
      <c r="I6" s="154"/>
      <c r="J6" s="154"/>
      <c r="K6" s="154"/>
      <c r="L6" s="154"/>
      <c r="M6" s="154"/>
      <c r="N6" s="154"/>
      <c r="O6" s="154"/>
      <c r="P6" s="154"/>
      <c r="Q6" s="154"/>
    </row>
    <row r="7" spans="1:17" ht="18" customHeight="1">
      <c r="B7" s="152" t="s">
        <v>227</v>
      </c>
      <c r="C7" s="155"/>
      <c r="H7" s="154"/>
      <c r="I7" s="154"/>
      <c r="J7" s="154"/>
      <c r="K7" s="154"/>
      <c r="L7" s="154"/>
      <c r="M7" s="154"/>
      <c r="N7" s="154"/>
      <c r="O7" s="154"/>
      <c r="P7" s="154"/>
      <c r="Q7" s="154"/>
    </row>
    <row r="8" spans="1:17" ht="18" customHeight="1">
      <c r="B8" s="155"/>
      <c r="C8" s="155"/>
      <c r="H8" s="154"/>
      <c r="I8" s="154"/>
      <c r="J8" s="154"/>
      <c r="K8" s="154"/>
      <c r="L8" s="154"/>
      <c r="M8" s="154"/>
      <c r="N8" s="154"/>
      <c r="O8" s="154"/>
      <c r="P8" s="154"/>
      <c r="Q8" s="154"/>
    </row>
    <row r="9" spans="1:17" ht="18" customHeight="1" thickBot="1">
      <c r="A9" s="156" t="s">
        <v>228</v>
      </c>
    </row>
    <row r="10" spans="1:17" ht="17.25" customHeight="1">
      <c r="B10" s="748" t="s">
        <v>229</v>
      </c>
      <c r="C10" s="749"/>
      <c r="D10" s="749"/>
      <c r="E10" s="157">
        <v>4</v>
      </c>
      <c r="F10" s="158">
        <v>5</v>
      </c>
      <c r="G10" s="158">
        <v>6</v>
      </c>
      <c r="H10" s="158">
        <v>7</v>
      </c>
      <c r="I10" s="158">
        <v>8</v>
      </c>
      <c r="J10" s="158">
        <v>9</v>
      </c>
      <c r="K10" s="158">
        <v>10</v>
      </c>
      <c r="L10" s="158">
        <v>11</v>
      </c>
      <c r="M10" s="158">
        <v>12</v>
      </c>
      <c r="N10" s="158">
        <v>1</v>
      </c>
      <c r="O10" s="158">
        <v>2</v>
      </c>
      <c r="P10" s="159">
        <v>3</v>
      </c>
      <c r="Q10" s="752" t="s">
        <v>230</v>
      </c>
    </row>
    <row r="11" spans="1:17" ht="17.25" customHeight="1">
      <c r="B11" s="750"/>
      <c r="C11" s="751"/>
      <c r="D11" s="751"/>
      <c r="E11" s="754" t="s">
        <v>231</v>
      </c>
      <c r="F11" s="755"/>
      <c r="G11" s="755"/>
      <c r="H11" s="755"/>
      <c r="I11" s="755"/>
      <c r="J11" s="755"/>
      <c r="K11" s="755"/>
      <c r="L11" s="755"/>
      <c r="M11" s="755"/>
      <c r="N11" s="755"/>
      <c r="O11" s="755"/>
      <c r="P11" s="756"/>
      <c r="Q11" s="753"/>
    </row>
    <row r="12" spans="1:17" ht="17.25" customHeight="1">
      <c r="B12" s="765" t="s">
        <v>232</v>
      </c>
      <c r="C12" s="766"/>
      <c r="D12" s="160" t="s">
        <v>233</v>
      </c>
      <c r="E12" s="161"/>
      <c r="F12" s="162"/>
      <c r="G12" s="162"/>
      <c r="H12" s="162"/>
      <c r="I12" s="162"/>
      <c r="J12" s="162"/>
      <c r="K12" s="162"/>
      <c r="L12" s="162"/>
      <c r="M12" s="162"/>
      <c r="N12" s="162"/>
      <c r="O12" s="162"/>
      <c r="P12" s="163"/>
      <c r="Q12" s="164">
        <f>ROUND(SUM(E12:P12)/12,0)</f>
        <v>0</v>
      </c>
    </row>
    <row r="13" spans="1:17" ht="17.25" customHeight="1">
      <c r="B13" s="767"/>
      <c r="C13" s="768"/>
      <c r="D13" s="165" t="s">
        <v>234</v>
      </c>
      <c r="E13" s="166"/>
      <c r="F13" s="167" t="str">
        <f>IFERROR(F12/$E12,"")</f>
        <v/>
      </c>
      <c r="G13" s="167" t="str">
        <f t="shared" ref="G13:P13" si="0">IFERROR(G12/$E12,"")</f>
        <v/>
      </c>
      <c r="H13" s="167" t="str">
        <f t="shared" si="0"/>
        <v/>
      </c>
      <c r="I13" s="167" t="str">
        <f t="shared" si="0"/>
        <v/>
      </c>
      <c r="J13" s="167" t="str">
        <f t="shared" si="0"/>
        <v/>
      </c>
      <c r="K13" s="167" t="str">
        <f t="shared" si="0"/>
        <v/>
      </c>
      <c r="L13" s="167" t="str">
        <f t="shared" si="0"/>
        <v/>
      </c>
      <c r="M13" s="167" t="str">
        <f t="shared" si="0"/>
        <v/>
      </c>
      <c r="N13" s="167" t="str">
        <f t="shared" si="0"/>
        <v/>
      </c>
      <c r="O13" s="167" t="str">
        <f t="shared" si="0"/>
        <v/>
      </c>
      <c r="P13" s="168" t="str">
        <f t="shared" si="0"/>
        <v/>
      </c>
      <c r="Q13" s="169" t="s">
        <v>235</v>
      </c>
    </row>
    <row r="14" spans="1:17" ht="17.25" customHeight="1">
      <c r="B14" s="765" t="s">
        <v>236</v>
      </c>
      <c r="C14" s="766"/>
      <c r="D14" s="160" t="s">
        <v>233</v>
      </c>
      <c r="E14" s="161"/>
      <c r="F14" s="162"/>
      <c r="G14" s="162"/>
      <c r="H14" s="162"/>
      <c r="I14" s="162"/>
      <c r="J14" s="162"/>
      <c r="K14" s="162"/>
      <c r="L14" s="162"/>
      <c r="M14" s="162"/>
      <c r="N14" s="162"/>
      <c r="O14" s="162"/>
      <c r="P14" s="163"/>
      <c r="Q14" s="164">
        <f>ROUND(SUM(E14:P14)/12,0)</f>
        <v>0</v>
      </c>
    </row>
    <row r="15" spans="1:17" ht="17.25" customHeight="1">
      <c r="B15" s="767"/>
      <c r="C15" s="768"/>
      <c r="D15" s="165" t="s">
        <v>234</v>
      </c>
      <c r="E15" s="166"/>
      <c r="F15" s="167" t="str">
        <f>IFERROR(F14/$E14,"")</f>
        <v/>
      </c>
      <c r="G15" s="167" t="str">
        <f t="shared" ref="G15:P15" si="1">IFERROR(G14/$E14,"")</f>
        <v/>
      </c>
      <c r="H15" s="167" t="str">
        <f t="shared" si="1"/>
        <v/>
      </c>
      <c r="I15" s="167" t="str">
        <f t="shared" si="1"/>
        <v/>
      </c>
      <c r="J15" s="167" t="str">
        <f t="shared" si="1"/>
        <v/>
      </c>
      <c r="K15" s="167" t="str">
        <f t="shared" si="1"/>
        <v/>
      </c>
      <c r="L15" s="167" t="str">
        <f t="shared" si="1"/>
        <v/>
      </c>
      <c r="M15" s="167" t="str">
        <f t="shared" si="1"/>
        <v/>
      </c>
      <c r="N15" s="167" t="str">
        <f t="shared" si="1"/>
        <v/>
      </c>
      <c r="O15" s="167" t="str">
        <f t="shared" si="1"/>
        <v/>
      </c>
      <c r="P15" s="168" t="str">
        <f t="shared" si="1"/>
        <v/>
      </c>
      <c r="Q15" s="169" t="s">
        <v>235</v>
      </c>
    </row>
    <row r="16" spans="1:17" ht="17.25" customHeight="1">
      <c r="B16" s="769" t="s">
        <v>237</v>
      </c>
      <c r="C16" s="770"/>
      <c r="D16" s="160" t="s">
        <v>233</v>
      </c>
      <c r="E16" s="161"/>
      <c r="F16" s="162"/>
      <c r="G16" s="162"/>
      <c r="H16" s="162"/>
      <c r="I16" s="162"/>
      <c r="J16" s="162"/>
      <c r="K16" s="162"/>
      <c r="L16" s="162"/>
      <c r="M16" s="162"/>
      <c r="N16" s="162"/>
      <c r="O16" s="162"/>
      <c r="P16" s="163"/>
      <c r="Q16" s="164">
        <f>ROUND(SUM(E16:P16)/12,0)</f>
        <v>0</v>
      </c>
    </row>
    <row r="17" spans="1:17" ht="17.25" customHeight="1">
      <c r="B17" s="769"/>
      <c r="C17" s="770"/>
      <c r="D17" s="165" t="s">
        <v>234</v>
      </c>
      <c r="E17" s="166"/>
      <c r="F17" s="167" t="str">
        <f>IFERROR(F16/$E16,"")</f>
        <v/>
      </c>
      <c r="G17" s="167" t="str">
        <f t="shared" ref="G17:P17" si="2">IFERROR(G16/$E16,"")</f>
        <v/>
      </c>
      <c r="H17" s="167" t="str">
        <f t="shared" si="2"/>
        <v/>
      </c>
      <c r="I17" s="167" t="str">
        <f t="shared" si="2"/>
        <v/>
      </c>
      <c r="J17" s="167" t="str">
        <f t="shared" si="2"/>
        <v/>
      </c>
      <c r="K17" s="167" t="str">
        <f t="shared" si="2"/>
        <v/>
      </c>
      <c r="L17" s="167" t="str">
        <f t="shared" si="2"/>
        <v/>
      </c>
      <c r="M17" s="167" t="str">
        <f t="shared" si="2"/>
        <v/>
      </c>
      <c r="N17" s="167" t="str">
        <f t="shared" si="2"/>
        <v/>
      </c>
      <c r="O17" s="167" t="str">
        <f t="shared" si="2"/>
        <v/>
      </c>
      <c r="P17" s="168" t="str">
        <f t="shared" si="2"/>
        <v/>
      </c>
      <c r="Q17" s="169"/>
    </row>
    <row r="18" spans="1:17" ht="17.25" customHeight="1">
      <c r="B18" s="765" t="s">
        <v>238</v>
      </c>
      <c r="C18" s="766"/>
      <c r="D18" s="160" t="s">
        <v>233</v>
      </c>
      <c r="E18" s="161"/>
      <c r="F18" s="162"/>
      <c r="G18" s="162"/>
      <c r="H18" s="162"/>
      <c r="I18" s="162"/>
      <c r="J18" s="162"/>
      <c r="K18" s="162"/>
      <c r="L18" s="162"/>
      <c r="M18" s="162"/>
      <c r="N18" s="162"/>
      <c r="O18" s="162"/>
      <c r="P18" s="163"/>
      <c r="Q18" s="164">
        <f>ROUND(SUM(E18:P18)/12,0)</f>
        <v>0</v>
      </c>
    </row>
    <row r="19" spans="1:17" ht="17.25" customHeight="1">
      <c r="B19" s="767"/>
      <c r="C19" s="771"/>
      <c r="D19" s="165" t="s">
        <v>234</v>
      </c>
      <c r="E19" s="166"/>
      <c r="F19" s="167" t="str">
        <f>IFERROR(F18/$E18,"")</f>
        <v/>
      </c>
      <c r="G19" s="167" t="str">
        <f t="shared" ref="G19:P19" si="3">IFERROR(G18/$E18,"")</f>
        <v/>
      </c>
      <c r="H19" s="167" t="str">
        <f t="shared" si="3"/>
        <v/>
      </c>
      <c r="I19" s="167" t="str">
        <f t="shared" si="3"/>
        <v/>
      </c>
      <c r="J19" s="167" t="str">
        <f t="shared" si="3"/>
        <v/>
      </c>
      <c r="K19" s="167" t="str">
        <f t="shared" si="3"/>
        <v/>
      </c>
      <c r="L19" s="167" t="str">
        <f t="shared" si="3"/>
        <v/>
      </c>
      <c r="M19" s="167" t="str">
        <f t="shared" si="3"/>
        <v/>
      </c>
      <c r="N19" s="167" t="str">
        <f t="shared" si="3"/>
        <v/>
      </c>
      <c r="O19" s="167" t="str">
        <f t="shared" si="3"/>
        <v/>
      </c>
      <c r="P19" s="168" t="str">
        <f t="shared" si="3"/>
        <v/>
      </c>
      <c r="Q19" s="169"/>
    </row>
    <row r="20" spans="1:17" ht="17.25" customHeight="1">
      <c r="B20" s="765" t="s">
        <v>239</v>
      </c>
      <c r="C20" s="766"/>
      <c r="D20" s="160" t="s">
        <v>233</v>
      </c>
      <c r="E20" s="161"/>
      <c r="F20" s="162"/>
      <c r="G20" s="162"/>
      <c r="H20" s="162"/>
      <c r="I20" s="162"/>
      <c r="J20" s="162"/>
      <c r="K20" s="162"/>
      <c r="L20" s="162"/>
      <c r="M20" s="162"/>
      <c r="N20" s="162"/>
      <c r="O20" s="162"/>
      <c r="P20" s="163"/>
      <c r="Q20" s="164">
        <f>ROUND(SUM(E20:P20)/12,0)</f>
        <v>0</v>
      </c>
    </row>
    <row r="21" spans="1:17" ht="17.25" customHeight="1">
      <c r="B21" s="767"/>
      <c r="C21" s="771"/>
      <c r="D21" s="165" t="s">
        <v>234</v>
      </c>
      <c r="E21" s="166"/>
      <c r="F21" s="167" t="str">
        <f>IFERROR(F20/$E20,"")</f>
        <v/>
      </c>
      <c r="G21" s="167" t="str">
        <f t="shared" ref="G21:P21" si="4">IFERROR(G20/$E20,"")</f>
        <v/>
      </c>
      <c r="H21" s="167" t="str">
        <f t="shared" si="4"/>
        <v/>
      </c>
      <c r="I21" s="167" t="str">
        <f t="shared" si="4"/>
        <v/>
      </c>
      <c r="J21" s="167" t="str">
        <f t="shared" si="4"/>
        <v/>
      </c>
      <c r="K21" s="167" t="str">
        <f t="shared" si="4"/>
        <v/>
      </c>
      <c r="L21" s="167" t="str">
        <f t="shared" si="4"/>
        <v/>
      </c>
      <c r="M21" s="167" t="str">
        <f t="shared" si="4"/>
        <v/>
      </c>
      <c r="N21" s="167" t="str">
        <f t="shared" si="4"/>
        <v/>
      </c>
      <c r="O21" s="167" t="str">
        <f t="shared" si="4"/>
        <v/>
      </c>
      <c r="P21" s="168" t="str">
        <f t="shared" si="4"/>
        <v/>
      </c>
      <c r="Q21" s="169"/>
    </row>
    <row r="22" spans="1:17" ht="17.25" customHeight="1">
      <c r="B22" s="765" t="s">
        <v>240</v>
      </c>
      <c r="C22" s="782"/>
      <c r="D22" s="160" t="s">
        <v>233</v>
      </c>
      <c r="E22" s="161"/>
      <c r="F22" s="162"/>
      <c r="G22" s="162"/>
      <c r="H22" s="162"/>
      <c r="I22" s="162"/>
      <c r="J22" s="162"/>
      <c r="K22" s="162"/>
      <c r="L22" s="162"/>
      <c r="M22" s="162"/>
      <c r="N22" s="162"/>
      <c r="O22" s="162"/>
      <c r="P22" s="163"/>
      <c r="Q22" s="164">
        <f>ROUND(SUM(E22:P22)/12,0)</f>
        <v>0</v>
      </c>
    </row>
    <row r="23" spans="1:17" ht="17.25" customHeight="1" thickBot="1">
      <c r="B23" s="783"/>
      <c r="C23" s="784"/>
      <c r="D23" s="170" t="s">
        <v>234</v>
      </c>
      <c r="E23" s="171"/>
      <c r="F23" s="172" t="str">
        <f>IFERROR(F22/$E22,"")</f>
        <v/>
      </c>
      <c r="G23" s="172" t="str">
        <f t="shared" ref="G23:P23" si="5">IFERROR(G22/$E22,"")</f>
        <v/>
      </c>
      <c r="H23" s="172" t="str">
        <f t="shared" si="5"/>
        <v/>
      </c>
      <c r="I23" s="172" t="str">
        <f t="shared" si="5"/>
        <v/>
      </c>
      <c r="J23" s="172" t="str">
        <f t="shared" si="5"/>
        <v/>
      </c>
      <c r="K23" s="172" t="str">
        <f t="shared" si="5"/>
        <v/>
      </c>
      <c r="L23" s="172" t="str">
        <f t="shared" si="5"/>
        <v/>
      </c>
      <c r="M23" s="172" t="str">
        <f t="shared" si="5"/>
        <v/>
      </c>
      <c r="N23" s="172" t="str">
        <f t="shared" si="5"/>
        <v/>
      </c>
      <c r="O23" s="172" t="str">
        <f t="shared" si="5"/>
        <v/>
      </c>
      <c r="P23" s="173" t="str">
        <f t="shared" si="5"/>
        <v/>
      </c>
      <c r="Q23" s="174"/>
    </row>
    <row r="24" spans="1:17" ht="17.25" customHeight="1" thickTop="1" thickBot="1">
      <c r="B24" s="785" t="s">
        <v>241</v>
      </c>
      <c r="C24" s="786"/>
      <c r="D24" s="175"/>
      <c r="E24" s="176">
        <f>SUM(E12,E14,E16,E18,E20,E22)</f>
        <v>0</v>
      </c>
      <c r="F24" s="177">
        <f>SUM(F12,F14,F16,F18,F20,F22)</f>
        <v>0</v>
      </c>
      <c r="G24" s="177">
        <f>SUM(G12,G14,G16,G18,G20,G22)</f>
        <v>0</v>
      </c>
      <c r="H24" s="177">
        <f>SUM(H12,H14,H16,H18,H20,H22)</f>
        <v>0</v>
      </c>
      <c r="I24" s="177"/>
      <c r="J24" s="177"/>
      <c r="K24" s="177"/>
      <c r="L24" s="177"/>
      <c r="M24" s="177"/>
      <c r="N24" s="177"/>
      <c r="O24" s="177"/>
      <c r="P24" s="178"/>
      <c r="Q24" s="179">
        <f>SUM(Q12,Q14,Q16,Q18,Q20,Q22)</f>
        <v>0</v>
      </c>
    </row>
    <row r="25" spans="1:17" ht="17.25" customHeight="1">
      <c r="B25" s="154"/>
      <c r="C25" s="154"/>
      <c r="D25" s="154"/>
      <c r="F25" s="180"/>
      <c r="G25" s="180"/>
      <c r="H25" s="180"/>
      <c r="I25" s="180"/>
      <c r="J25" s="180"/>
      <c r="K25" s="180"/>
      <c r="L25" s="180"/>
      <c r="M25" s="180"/>
      <c r="N25" s="180"/>
      <c r="O25" s="180"/>
      <c r="P25" s="180"/>
    </row>
    <row r="26" spans="1:17" ht="17.25" customHeight="1">
      <c r="B26" s="154"/>
      <c r="C26" s="154"/>
      <c r="D26" s="154"/>
      <c r="F26" s="180"/>
      <c r="G26" s="180"/>
      <c r="H26" s="180"/>
      <c r="I26" s="180"/>
      <c r="J26" s="180"/>
      <c r="K26" s="180"/>
      <c r="L26" s="180"/>
      <c r="M26" s="180"/>
      <c r="N26" s="180"/>
      <c r="O26" s="180"/>
      <c r="P26" s="180"/>
    </row>
    <row r="27" spans="1:17" ht="17.25" customHeight="1" thickBot="1">
      <c r="A27" s="156" t="s">
        <v>242</v>
      </c>
      <c r="E27" s="181"/>
    </row>
    <row r="28" spans="1:17" ht="17.25" customHeight="1">
      <c r="B28" s="776" t="s">
        <v>243</v>
      </c>
      <c r="C28" s="777"/>
      <c r="D28" s="778"/>
      <c r="E28" s="157">
        <v>4</v>
      </c>
      <c r="F28" s="182">
        <v>5</v>
      </c>
      <c r="G28" s="182">
        <v>6</v>
      </c>
      <c r="H28" s="159">
        <v>7</v>
      </c>
      <c r="I28" s="158">
        <v>8</v>
      </c>
      <c r="J28" s="158">
        <v>9</v>
      </c>
      <c r="K28" s="183">
        <v>10</v>
      </c>
      <c r="L28" s="158">
        <v>11</v>
      </c>
      <c r="M28" s="158">
        <v>12</v>
      </c>
      <c r="N28" s="158">
        <v>1</v>
      </c>
      <c r="O28" s="158">
        <v>2</v>
      </c>
      <c r="P28" s="159">
        <v>3</v>
      </c>
      <c r="Q28" s="757" t="s">
        <v>230</v>
      </c>
    </row>
    <row r="29" spans="1:17" ht="17.25" customHeight="1">
      <c r="B29" s="779"/>
      <c r="C29" s="780"/>
      <c r="D29" s="781"/>
      <c r="E29" s="759" t="s">
        <v>231</v>
      </c>
      <c r="F29" s="760"/>
      <c r="G29" s="760"/>
      <c r="H29" s="761"/>
      <c r="I29" s="762" t="s">
        <v>244</v>
      </c>
      <c r="J29" s="763"/>
      <c r="K29" s="763"/>
      <c r="L29" s="763"/>
      <c r="M29" s="763"/>
      <c r="N29" s="763"/>
      <c r="O29" s="763"/>
      <c r="P29" s="764"/>
      <c r="Q29" s="758"/>
    </row>
    <row r="30" spans="1:17" ht="18" customHeight="1">
      <c r="B30" s="787" t="str">
        <f>$B$12</f>
        <v>５歳児</v>
      </c>
      <c r="C30" s="788"/>
      <c r="D30" s="184" t="s">
        <v>233</v>
      </c>
      <c r="E30" s="406"/>
      <c r="F30" s="185"/>
      <c r="G30" s="185"/>
      <c r="H30" s="186"/>
      <c r="I30" s="210" t="str">
        <f t="shared" ref="I30:P30" si="6">IFERROR($E$30*I13,"")</f>
        <v/>
      </c>
      <c r="J30" s="210" t="str">
        <f t="shared" si="6"/>
        <v/>
      </c>
      <c r="K30" s="210" t="str">
        <f t="shared" si="6"/>
        <v/>
      </c>
      <c r="L30" s="210" t="str">
        <f t="shared" si="6"/>
        <v/>
      </c>
      <c r="M30" s="210" t="str">
        <f t="shared" si="6"/>
        <v/>
      </c>
      <c r="N30" s="210" t="str">
        <f t="shared" si="6"/>
        <v/>
      </c>
      <c r="O30" s="210" t="str">
        <f t="shared" si="6"/>
        <v/>
      </c>
      <c r="P30" s="211" t="str">
        <f t="shared" si="6"/>
        <v/>
      </c>
      <c r="Q30" s="189">
        <f t="shared" ref="Q30:Q35" si="7">ROUND(SUM(E30:P30)/12,0)</f>
        <v>0</v>
      </c>
    </row>
    <row r="31" spans="1:17" ht="18" customHeight="1">
      <c r="B31" s="787" t="str">
        <f>$B$14</f>
        <v>４歳児</v>
      </c>
      <c r="C31" s="788"/>
      <c r="D31" s="184" t="s">
        <v>233</v>
      </c>
      <c r="E31" s="406"/>
      <c r="F31" s="185"/>
      <c r="G31" s="185"/>
      <c r="H31" s="186"/>
      <c r="I31" s="210" t="str">
        <f t="shared" ref="I31:P31" si="8">IFERROR($E$31*I15,"")</f>
        <v/>
      </c>
      <c r="J31" s="210" t="str">
        <f t="shared" si="8"/>
        <v/>
      </c>
      <c r="K31" s="210" t="str">
        <f t="shared" si="8"/>
        <v/>
      </c>
      <c r="L31" s="210" t="str">
        <f t="shared" si="8"/>
        <v/>
      </c>
      <c r="M31" s="210" t="str">
        <f t="shared" si="8"/>
        <v/>
      </c>
      <c r="N31" s="210" t="str">
        <f t="shared" si="8"/>
        <v/>
      </c>
      <c r="O31" s="210" t="str">
        <f t="shared" si="8"/>
        <v/>
      </c>
      <c r="P31" s="211" t="str">
        <f t="shared" si="8"/>
        <v/>
      </c>
      <c r="Q31" s="189">
        <f t="shared" si="7"/>
        <v>0</v>
      </c>
    </row>
    <row r="32" spans="1:17" ht="18" customHeight="1">
      <c r="B32" s="769" t="str">
        <f>$B$16</f>
        <v>３歳児</v>
      </c>
      <c r="C32" s="770"/>
      <c r="D32" s="190" t="s">
        <v>233</v>
      </c>
      <c r="E32" s="406"/>
      <c r="F32" s="185"/>
      <c r="G32" s="185"/>
      <c r="H32" s="186"/>
      <c r="I32" s="210" t="str">
        <f t="shared" ref="I32:P32" si="9">IFERROR($E$32*I17,"")</f>
        <v/>
      </c>
      <c r="J32" s="210" t="str">
        <f t="shared" si="9"/>
        <v/>
      </c>
      <c r="K32" s="210" t="str">
        <f t="shared" si="9"/>
        <v/>
      </c>
      <c r="L32" s="210" t="str">
        <f t="shared" si="9"/>
        <v/>
      </c>
      <c r="M32" s="210" t="str">
        <f t="shared" si="9"/>
        <v/>
      </c>
      <c r="N32" s="210" t="str">
        <f t="shared" si="9"/>
        <v/>
      </c>
      <c r="O32" s="210" t="str">
        <f t="shared" si="9"/>
        <v/>
      </c>
      <c r="P32" s="211" t="str">
        <f t="shared" si="9"/>
        <v/>
      </c>
      <c r="Q32" s="189">
        <f t="shared" si="7"/>
        <v>0</v>
      </c>
    </row>
    <row r="33" spans="1:17" ht="18" customHeight="1">
      <c r="B33" s="787" t="str">
        <f>$B$18</f>
        <v>２歳児</v>
      </c>
      <c r="C33" s="788"/>
      <c r="D33" s="184" t="s">
        <v>233</v>
      </c>
      <c r="E33" s="406"/>
      <c r="F33" s="191"/>
      <c r="G33" s="191"/>
      <c r="H33" s="186"/>
      <c r="I33" s="210" t="str">
        <f t="shared" ref="I33:P33" si="10">IFERROR($E$33*I19,"")</f>
        <v/>
      </c>
      <c r="J33" s="210" t="str">
        <f t="shared" si="10"/>
        <v/>
      </c>
      <c r="K33" s="210" t="str">
        <f t="shared" si="10"/>
        <v/>
      </c>
      <c r="L33" s="210" t="str">
        <f t="shared" si="10"/>
        <v/>
      </c>
      <c r="M33" s="210" t="str">
        <f t="shared" si="10"/>
        <v/>
      </c>
      <c r="N33" s="210" t="str">
        <f t="shared" si="10"/>
        <v/>
      </c>
      <c r="O33" s="210" t="str">
        <f t="shared" si="10"/>
        <v/>
      </c>
      <c r="P33" s="211" t="str">
        <f t="shared" si="10"/>
        <v/>
      </c>
      <c r="Q33" s="189">
        <f t="shared" si="7"/>
        <v>0</v>
      </c>
    </row>
    <row r="34" spans="1:17" ht="18" customHeight="1">
      <c r="B34" s="787" t="str">
        <f>$B$20</f>
        <v>１歳児</v>
      </c>
      <c r="C34" s="788"/>
      <c r="D34" s="184" t="s">
        <v>233</v>
      </c>
      <c r="E34" s="406"/>
      <c r="F34" s="191"/>
      <c r="G34" s="191"/>
      <c r="H34" s="186"/>
      <c r="I34" s="210" t="str">
        <f t="shared" ref="I34:P34" si="11">IFERROR($E$34*I21,"")</f>
        <v/>
      </c>
      <c r="J34" s="210" t="str">
        <f t="shared" si="11"/>
        <v/>
      </c>
      <c r="K34" s="210" t="str">
        <f t="shared" si="11"/>
        <v/>
      </c>
      <c r="L34" s="210" t="str">
        <f t="shared" si="11"/>
        <v/>
      </c>
      <c r="M34" s="210" t="str">
        <f t="shared" si="11"/>
        <v/>
      </c>
      <c r="N34" s="210" t="str">
        <f t="shared" si="11"/>
        <v/>
      </c>
      <c r="O34" s="210" t="str">
        <f t="shared" si="11"/>
        <v/>
      </c>
      <c r="P34" s="211" t="str">
        <f t="shared" si="11"/>
        <v/>
      </c>
      <c r="Q34" s="189">
        <f t="shared" si="7"/>
        <v>0</v>
      </c>
    </row>
    <row r="35" spans="1:17" ht="18" customHeight="1" thickBot="1">
      <c r="B35" s="772" t="str">
        <f>$B$22</f>
        <v>０歳児</v>
      </c>
      <c r="C35" s="773"/>
      <c r="D35" s="192" t="s">
        <v>233</v>
      </c>
      <c r="E35" s="407"/>
      <c r="F35" s="193"/>
      <c r="G35" s="193"/>
      <c r="H35" s="194"/>
      <c r="I35" s="223" t="str">
        <f t="shared" ref="I35:P35" si="12">IFERROR($E$35*I23,"")</f>
        <v/>
      </c>
      <c r="J35" s="223" t="str">
        <f t="shared" si="12"/>
        <v/>
      </c>
      <c r="K35" s="223" t="str">
        <f t="shared" si="12"/>
        <v/>
      </c>
      <c r="L35" s="223" t="str">
        <f t="shared" si="12"/>
        <v/>
      </c>
      <c r="M35" s="223" t="str">
        <f t="shared" si="12"/>
        <v/>
      </c>
      <c r="N35" s="223" t="str">
        <f t="shared" si="12"/>
        <v/>
      </c>
      <c r="O35" s="223" t="str">
        <f t="shared" si="12"/>
        <v/>
      </c>
      <c r="P35" s="216" t="str">
        <f t="shared" si="12"/>
        <v/>
      </c>
      <c r="Q35" s="197">
        <f t="shared" si="7"/>
        <v>0</v>
      </c>
    </row>
    <row r="36" spans="1:17" ht="18" customHeight="1" thickTop="1" thickBot="1">
      <c r="B36" s="774" t="s">
        <v>241</v>
      </c>
      <c r="C36" s="775"/>
      <c r="D36" s="198"/>
      <c r="E36" s="199">
        <f>SUM(E30:E35)</f>
        <v>0</v>
      </c>
      <c r="F36" s="200">
        <f t="shared" ref="F36:H36" si="13">SUM(F30:F35)</f>
        <v>0</v>
      </c>
      <c r="G36" s="201">
        <f t="shared" si="13"/>
        <v>0</v>
      </c>
      <c r="H36" s="202">
        <f t="shared" si="13"/>
        <v>0</v>
      </c>
      <c r="I36" s="203"/>
      <c r="J36" s="204"/>
      <c r="K36" s="204"/>
      <c r="L36" s="204"/>
      <c r="M36" s="204"/>
      <c r="N36" s="204"/>
      <c r="O36" s="204"/>
      <c r="P36" s="205"/>
      <c r="Q36" s="206">
        <f t="shared" ref="Q36" si="14">SUM(Q30:Q35)</f>
        <v>0</v>
      </c>
    </row>
    <row r="37" spans="1:17" ht="17.25" customHeight="1">
      <c r="B37" s="207" t="s">
        <v>245</v>
      </c>
    </row>
    <row r="38" spans="1:17" ht="17.25" customHeight="1"/>
    <row r="39" spans="1:17" ht="17.25" customHeight="1"/>
    <row r="40" spans="1:17" ht="17.25" customHeight="1"/>
    <row r="41" spans="1:17" ht="17.25" customHeight="1"/>
    <row r="42" spans="1:17" ht="17.25" customHeight="1" thickBot="1">
      <c r="A42" s="156" t="s">
        <v>246</v>
      </c>
      <c r="E42" s="181"/>
    </row>
    <row r="43" spans="1:17" ht="17.25" customHeight="1">
      <c r="B43" s="776" t="s">
        <v>243</v>
      </c>
      <c r="C43" s="777"/>
      <c r="D43" s="778"/>
      <c r="E43" s="157">
        <v>4</v>
      </c>
      <c r="F43" s="182">
        <v>5</v>
      </c>
      <c r="G43" s="182">
        <v>6</v>
      </c>
      <c r="H43" s="159">
        <v>7</v>
      </c>
      <c r="I43" s="158">
        <v>8</v>
      </c>
      <c r="J43" s="158">
        <v>9</v>
      </c>
      <c r="K43" s="183">
        <v>10</v>
      </c>
      <c r="L43" s="158">
        <v>11</v>
      </c>
      <c r="M43" s="158">
        <v>12</v>
      </c>
      <c r="N43" s="158">
        <v>1</v>
      </c>
      <c r="O43" s="158">
        <v>2</v>
      </c>
      <c r="P43" s="159">
        <v>3</v>
      </c>
      <c r="Q43" s="757" t="s">
        <v>230</v>
      </c>
    </row>
    <row r="44" spans="1:17" ht="17.25" customHeight="1">
      <c r="B44" s="779"/>
      <c r="C44" s="780"/>
      <c r="D44" s="781"/>
      <c r="E44" s="759" t="s">
        <v>231</v>
      </c>
      <c r="F44" s="760"/>
      <c r="G44" s="760"/>
      <c r="H44" s="761"/>
      <c r="I44" s="762" t="s">
        <v>247</v>
      </c>
      <c r="J44" s="763"/>
      <c r="K44" s="763"/>
      <c r="L44" s="763"/>
      <c r="M44" s="763"/>
      <c r="N44" s="763"/>
      <c r="O44" s="763"/>
      <c r="P44" s="764"/>
      <c r="Q44" s="758"/>
    </row>
    <row r="45" spans="1:17" ht="18" customHeight="1">
      <c r="B45" s="787" t="str">
        <f>$B$12</f>
        <v>５歳児</v>
      </c>
      <c r="C45" s="788"/>
      <c r="D45" s="208" t="s">
        <v>233</v>
      </c>
      <c r="E45" s="209">
        <f t="shared" ref="E45:H50" si="15">E30</f>
        <v>0</v>
      </c>
      <c r="F45" s="210">
        <f t="shared" si="15"/>
        <v>0</v>
      </c>
      <c r="G45" s="210">
        <f t="shared" si="15"/>
        <v>0</v>
      </c>
      <c r="H45" s="211">
        <f t="shared" si="15"/>
        <v>0</v>
      </c>
      <c r="I45" s="185"/>
      <c r="J45" s="185"/>
      <c r="K45" s="185"/>
      <c r="L45" s="185"/>
      <c r="M45" s="185"/>
      <c r="N45" s="185"/>
      <c r="O45" s="185"/>
      <c r="P45" s="186"/>
      <c r="Q45" s="189">
        <f t="shared" ref="Q45:Q50" si="16">ROUND(SUM(E45:P45)/12,0)</f>
        <v>0</v>
      </c>
    </row>
    <row r="46" spans="1:17" ht="18" customHeight="1">
      <c r="B46" s="787" t="str">
        <f>$B$14</f>
        <v>４歳児</v>
      </c>
      <c r="C46" s="788"/>
      <c r="D46" s="208" t="s">
        <v>233</v>
      </c>
      <c r="E46" s="209">
        <f t="shared" si="15"/>
        <v>0</v>
      </c>
      <c r="F46" s="210">
        <f t="shared" si="15"/>
        <v>0</v>
      </c>
      <c r="G46" s="210">
        <f t="shared" si="15"/>
        <v>0</v>
      </c>
      <c r="H46" s="211">
        <f t="shared" si="15"/>
        <v>0</v>
      </c>
      <c r="I46" s="185"/>
      <c r="J46" s="185"/>
      <c r="K46" s="185"/>
      <c r="L46" s="185"/>
      <c r="M46" s="185"/>
      <c r="N46" s="185"/>
      <c r="O46" s="185"/>
      <c r="P46" s="186"/>
      <c r="Q46" s="189">
        <f t="shared" si="16"/>
        <v>0</v>
      </c>
    </row>
    <row r="47" spans="1:17" ht="18" customHeight="1">
      <c r="B47" s="769" t="str">
        <f>$B$16</f>
        <v>３歳児</v>
      </c>
      <c r="C47" s="770"/>
      <c r="D47" s="208" t="s">
        <v>233</v>
      </c>
      <c r="E47" s="209">
        <f t="shared" si="15"/>
        <v>0</v>
      </c>
      <c r="F47" s="210">
        <f t="shared" si="15"/>
        <v>0</v>
      </c>
      <c r="G47" s="210">
        <f t="shared" si="15"/>
        <v>0</v>
      </c>
      <c r="H47" s="211">
        <f t="shared" si="15"/>
        <v>0</v>
      </c>
      <c r="I47" s="185"/>
      <c r="J47" s="185"/>
      <c r="K47" s="185"/>
      <c r="L47" s="185"/>
      <c r="M47" s="185"/>
      <c r="N47" s="185"/>
      <c r="O47" s="185"/>
      <c r="P47" s="186"/>
      <c r="Q47" s="189">
        <f t="shared" si="16"/>
        <v>0</v>
      </c>
    </row>
    <row r="48" spans="1:17" ht="18" customHeight="1">
      <c r="B48" s="787" t="str">
        <f>$B$18</f>
        <v>２歳児</v>
      </c>
      <c r="C48" s="788"/>
      <c r="D48" s="208" t="s">
        <v>233</v>
      </c>
      <c r="E48" s="209">
        <f t="shared" si="15"/>
        <v>0</v>
      </c>
      <c r="F48" s="212">
        <f t="shared" si="15"/>
        <v>0</v>
      </c>
      <c r="G48" s="212">
        <f t="shared" si="15"/>
        <v>0</v>
      </c>
      <c r="H48" s="211">
        <f t="shared" si="15"/>
        <v>0</v>
      </c>
      <c r="I48" s="185"/>
      <c r="J48" s="185"/>
      <c r="K48" s="185"/>
      <c r="L48" s="185"/>
      <c r="M48" s="185"/>
      <c r="N48" s="185"/>
      <c r="O48" s="185"/>
      <c r="P48" s="186"/>
      <c r="Q48" s="189">
        <f t="shared" si="16"/>
        <v>0</v>
      </c>
    </row>
    <row r="49" spans="2:17" ht="18" customHeight="1">
      <c r="B49" s="787" t="str">
        <f>$B$20</f>
        <v>１歳児</v>
      </c>
      <c r="C49" s="788"/>
      <c r="D49" s="208" t="s">
        <v>233</v>
      </c>
      <c r="E49" s="209">
        <f t="shared" si="15"/>
        <v>0</v>
      </c>
      <c r="F49" s="212">
        <f t="shared" si="15"/>
        <v>0</v>
      </c>
      <c r="G49" s="212">
        <f t="shared" si="15"/>
        <v>0</v>
      </c>
      <c r="H49" s="211">
        <f t="shared" si="15"/>
        <v>0</v>
      </c>
      <c r="I49" s="185"/>
      <c r="J49" s="185"/>
      <c r="K49" s="185"/>
      <c r="L49" s="185"/>
      <c r="M49" s="185"/>
      <c r="N49" s="185"/>
      <c r="O49" s="185"/>
      <c r="P49" s="186"/>
      <c r="Q49" s="189">
        <f t="shared" si="16"/>
        <v>0</v>
      </c>
    </row>
    <row r="50" spans="2:17" ht="18" customHeight="1" thickBot="1">
      <c r="B50" s="772" t="str">
        <f>$B$22</f>
        <v>０歳児</v>
      </c>
      <c r="C50" s="773"/>
      <c r="D50" s="213" t="s">
        <v>233</v>
      </c>
      <c r="E50" s="214">
        <f t="shared" si="15"/>
        <v>0</v>
      </c>
      <c r="F50" s="215">
        <f t="shared" si="15"/>
        <v>0</v>
      </c>
      <c r="G50" s="215">
        <f t="shared" si="15"/>
        <v>0</v>
      </c>
      <c r="H50" s="216">
        <f t="shared" si="15"/>
        <v>0</v>
      </c>
      <c r="I50" s="217"/>
      <c r="J50" s="217"/>
      <c r="K50" s="217"/>
      <c r="L50" s="217"/>
      <c r="M50" s="217"/>
      <c r="N50" s="217"/>
      <c r="O50" s="217"/>
      <c r="P50" s="194"/>
      <c r="Q50" s="197">
        <f t="shared" si="16"/>
        <v>0</v>
      </c>
    </row>
    <row r="51" spans="2:17" ht="18" customHeight="1" thickTop="1" thickBot="1">
      <c r="B51" s="785" t="s">
        <v>241</v>
      </c>
      <c r="C51" s="786"/>
      <c r="D51" s="218"/>
      <c r="E51" s="199">
        <f>SUM(E45:E50)</f>
        <v>0</v>
      </c>
      <c r="F51" s="200">
        <f t="shared" ref="F51:H51" si="17">SUM(F45:F50)</f>
        <v>0</v>
      </c>
      <c r="G51" s="201">
        <f t="shared" si="17"/>
        <v>0</v>
      </c>
      <c r="H51" s="219">
        <f t="shared" si="17"/>
        <v>0</v>
      </c>
      <c r="I51" s="199"/>
      <c r="J51" s="177"/>
      <c r="K51" s="177"/>
      <c r="L51" s="177"/>
      <c r="M51" s="177"/>
      <c r="N51" s="177"/>
      <c r="O51" s="177"/>
      <c r="P51" s="178"/>
      <c r="Q51" s="206">
        <f>SUM(Q45:Q50)</f>
        <v>0</v>
      </c>
    </row>
    <row r="52" spans="2:17" ht="17.25" customHeight="1">
      <c r="B52" s="207" t="s">
        <v>245</v>
      </c>
      <c r="E52" s="220"/>
      <c r="F52" s="220"/>
      <c r="G52" s="220"/>
      <c r="H52" s="220"/>
      <c r="I52" s="220"/>
      <c r="J52" s="220"/>
      <c r="K52" s="220"/>
      <c r="L52" s="220"/>
      <c r="M52" s="220"/>
      <c r="N52" s="220"/>
      <c r="O52" s="220"/>
      <c r="P52" s="220"/>
      <c r="Q52" s="220"/>
    </row>
    <row r="53" spans="2:17" ht="17.25" customHeight="1">
      <c r="E53" s="220"/>
      <c r="F53" s="220"/>
      <c r="G53" s="220"/>
      <c r="H53" s="220"/>
      <c r="I53" s="220"/>
      <c r="J53" s="220"/>
      <c r="K53" s="220"/>
      <c r="L53" s="220"/>
      <c r="M53" s="220"/>
      <c r="N53" s="220"/>
      <c r="O53" s="220"/>
      <c r="P53" s="220"/>
      <c r="Q53" s="220"/>
    </row>
    <row r="54" spans="2:17" ht="17.25" customHeight="1" thickBot="1">
      <c r="B54" s="221" t="s">
        <v>248</v>
      </c>
      <c r="C54" s="222"/>
    </row>
    <row r="55" spans="2:17" ht="94.5" customHeight="1" thickBot="1">
      <c r="B55" s="789" t="s">
        <v>249</v>
      </c>
      <c r="C55" s="790"/>
      <c r="D55" s="790"/>
      <c r="E55" s="790"/>
      <c r="F55" s="790"/>
      <c r="G55" s="790"/>
      <c r="H55" s="790"/>
      <c r="I55" s="790"/>
      <c r="J55" s="790"/>
      <c r="K55" s="790"/>
      <c r="L55" s="790"/>
      <c r="M55" s="790"/>
      <c r="N55" s="790"/>
      <c r="O55" s="790"/>
      <c r="P55" s="790"/>
      <c r="Q55" s="791"/>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Et0vNzR+MvOqlUScL+C+OF0dkmmnDUr1ruSqIeQlfWeY3gtQur/EAvs8RAX3u5DdO7+ihxW99LdHIqEM0Kku4A==" saltValue="f8O4CYSFenGyqu24NVbfnQ==" spinCount="100000" sheet="1" objects="1" scenarios="1"/>
  <mergeCells count="36">
    <mergeCell ref="Q43:Q44"/>
    <mergeCell ref="E44:H44"/>
    <mergeCell ref="I44:P44"/>
    <mergeCell ref="B55:Q55"/>
    <mergeCell ref="B46:C46"/>
    <mergeCell ref="B47:C47"/>
    <mergeCell ref="B48:C48"/>
    <mergeCell ref="B49:C49"/>
    <mergeCell ref="B50:C50"/>
    <mergeCell ref="B51:C51"/>
    <mergeCell ref="B45:C45"/>
    <mergeCell ref="B35:C35"/>
    <mergeCell ref="B36:C36"/>
    <mergeCell ref="B43:D44"/>
    <mergeCell ref="B20:C21"/>
    <mergeCell ref="B22:C23"/>
    <mergeCell ref="B24:C24"/>
    <mergeCell ref="B28:D29"/>
    <mergeCell ref="B30:C30"/>
    <mergeCell ref="B31:C31"/>
    <mergeCell ref="B32:C32"/>
    <mergeCell ref="B33:C33"/>
    <mergeCell ref="B34:C34"/>
    <mergeCell ref="Q28:Q29"/>
    <mergeCell ref="E29:H29"/>
    <mergeCell ref="I29:P29"/>
    <mergeCell ref="B12:C13"/>
    <mergeCell ref="B14:C15"/>
    <mergeCell ref="B16:C17"/>
    <mergeCell ref="B18:C19"/>
    <mergeCell ref="A1:Q1"/>
    <mergeCell ref="H3:L3"/>
    <mergeCell ref="M3:Q3"/>
    <mergeCell ref="B10:D11"/>
    <mergeCell ref="Q10:Q11"/>
    <mergeCell ref="E11:P11"/>
  </mergeCells>
  <phoneticPr fontId="4"/>
  <dataValidations count="1">
    <dataValidation type="whole" allowBlank="1" showInputMessage="1" showErrorMessage="1" sqref="E12:P12 E14:P14 E16:P16 E18:P18 E20:P20 E22:P22 E30:H35 I45:P50" xr:uid="{690A9C07-68BC-4209-AF3E-A74C58150C3F}">
      <formula1>0</formula1>
      <formula2>1000</formula2>
    </dataValidation>
  </dataValidations>
  <pageMargins left="0.61" right="0.27559055118110237" top="0.55118110236220474" bottom="0.19685039370078741" header="0.31496062992125984" footer="0.19685039370078741"/>
  <pageSetup paperSize="9" scale="7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P46"/>
  <sheetViews>
    <sheetView view="pageBreakPreview" topLeftCell="A5" zoomScale="70" zoomScaleNormal="70" zoomScaleSheetLayoutView="70" workbookViewId="0">
      <selection activeCell="D46" sqref="D46"/>
    </sheetView>
  </sheetViews>
  <sheetFormatPr defaultRowHeight="18.75"/>
  <cols>
    <col min="1" max="1" width="3.5" customWidth="1"/>
    <col min="4" max="5" width="18.375" customWidth="1"/>
    <col min="8" max="9" width="18.375" customWidth="1"/>
    <col min="11" max="11" width="3.375" customWidth="1"/>
    <col min="13" max="13" width="15.625" customWidth="1"/>
    <col min="16" max="16" width="15.625" customWidth="1"/>
  </cols>
  <sheetData>
    <row r="1" spans="1:16" ht="33">
      <c r="A1" s="147" t="s">
        <v>196</v>
      </c>
      <c r="B1" s="148"/>
      <c r="C1" s="148"/>
      <c r="D1" s="148"/>
      <c r="E1" s="148"/>
      <c r="F1" s="148"/>
      <c r="G1" s="148"/>
      <c r="H1" s="148"/>
      <c r="I1" s="148"/>
      <c r="J1" s="148"/>
    </row>
    <row r="3" spans="1:16" ht="19.5" thickBot="1">
      <c r="B3" t="s">
        <v>101</v>
      </c>
    </row>
    <row r="4" spans="1:16" ht="19.5" thickBot="1">
      <c r="B4" s="91" t="s">
        <v>81</v>
      </c>
      <c r="C4" s="97"/>
      <c r="D4" s="408"/>
    </row>
    <row r="5" spans="1:16" ht="19.5" thickBot="1">
      <c r="B5" s="91" t="s">
        <v>99</v>
      </c>
      <c r="C5" s="97"/>
      <c r="D5" s="408"/>
      <c r="E5" t="s">
        <v>105</v>
      </c>
    </row>
    <row r="6" spans="1:16" ht="19.5" thickBot="1">
      <c r="B6" s="91" t="s">
        <v>97</v>
      </c>
      <c r="C6" s="97"/>
      <c r="D6" s="409"/>
    </row>
    <row r="7" spans="1:16" ht="19.5" thickBot="1">
      <c r="B7" s="91" t="s">
        <v>98</v>
      </c>
      <c r="C7" s="97"/>
      <c r="D7" s="410"/>
    </row>
    <row r="8" spans="1:16">
      <c r="B8" s="91" t="s">
        <v>100</v>
      </c>
      <c r="C8" s="97"/>
      <c r="D8" s="149">
        <f>IF($D$5=【リスト】!$B$3,SUM(D6:D7),SUM(D6))</f>
        <v>0</v>
      </c>
      <c r="L8" t="s">
        <v>298</v>
      </c>
    </row>
    <row r="9" spans="1:16" ht="19.5" thickBot="1">
      <c r="L9" s="92" t="s">
        <v>299</v>
      </c>
      <c r="M9" s="99" t="s">
        <v>300</v>
      </c>
      <c r="O9" s="92" t="s">
        <v>301</v>
      </c>
      <c r="P9" s="99" t="s">
        <v>300</v>
      </c>
    </row>
    <row r="10" spans="1:16" ht="19.5" thickBot="1">
      <c r="B10" s="85" t="s">
        <v>102</v>
      </c>
      <c r="L10" s="98">
        <v>0</v>
      </c>
      <c r="M10" s="233">
        <f>'1-1_児童数計算表'!$Q$35</f>
        <v>0</v>
      </c>
      <c r="O10" s="98">
        <v>0</v>
      </c>
      <c r="P10" s="233">
        <f>'1-2_児童数計算表_分園'!$Q$35</f>
        <v>0</v>
      </c>
    </row>
    <row r="11" spans="1:16" ht="19.5" thickBot="1">
      <c r="C11" s="92" t="s">
        <v>107</v>
      </c>
      <c r="D11" s="99" t="s">
        <v>103</v>
      </c>
      <c r="E11" s="99" t="s">
        <v>104</v>
      </c>
      <c r="G11" s="92" t="s">
        <v>108</v>
      </c>
      <c r="H11" s="99" t="s">
        <v>103</v>
      </c>
      <c r="I11" s="99" t="s">
        <v>104</v>
      </c>
      <c r="L11" s="98">
        <v>1</v>
      </c>
      <c r="M11" s="233">
        <f>'1-1_児童数計算表'!$Q$34</f>
        <v>0</v>
      </c>
      <c r="O11" s="98">
        <v>1</v>
      </c>
      <c r="P11" s="233">
        <f>'1-2_児童数計算表_分園'!$Q$34</f>
        <v>0</v>
      </c>
    </row>
    <row r="12" spans="1:16" ht="19.5" thickBot="1">
      <c r="C12" s="98">
        <v>0</v>
      </c>
      <c r="D12" s="409"/>
      <c r="E12" s="409"/>
      <c r="G12" s="98">
        <v>0</v>
      </c>
      <c r="H12" s="410"/>
      <c r="I12" s="410"/>
      <c r="L12" s="98">
        <v>2</v>
      </c>
      <c r="M12" s="233">
        <f>'1-1_児童数計算表'!$Q$33</f>
        <v>0</v>
      </c>
      <c r="O12" s="98">
        <v>2</v>
      </c>
      <c r="P12" s="233">
        <f>'1-2_児童数計算表_分園'!$Q$33</f>
        <v>0</v>
      </c>
    </row>
    <row r="13" spans="1:16" ht="19.5" thickBot="1">
      <c r="C13" s="98">
        <v>1</v>
      </c>
      <c r="D13" s="409"/>
      <c r="E13" s="409"/>
      <c r="G13" s="98">
        <v>1</v>
      </c>
      <c r="H13" s="410"/>
      <c r="I13" s="410"/>
      <c r="L13" s="98">
        <v>3</v>
      </c>
      <c r="M13" s="233">
        <f>'1-1_児童数計算表'!$Q$32</f>
        <v>0</v>
      </c>
      <c r="O13" s="98">
        <v>3</v>
      </c>
      <c r="P13" s="233">
        <f>'1-2_児童数計算表_分園'!$Q$32</f>
        <v>0</v>
      </c>
    </row>
    <row r="14" spans="1:16" ht="19.5" thickBot="1">
      <c r="C14" s="98">
        <v>2</v>
      </c>
      <c r="D14" s="409"/>
      <c r="E14" s="409"/>
      <c r="G14" s="98">
        <v>2</v>
      </c>
      <c r="H14" s="410"/>
      <c r="I14" s="410"/>
      <c r="L14" s="98">
        <v>4</v>
      </c>
      <c r="M14" s="233">
        <f>'1-1_児童数計算表'!$Q$31</f>
        <v>0</v>
      </c>
      <c r="O14" s="98">
        <v>4</v>
      </c>
      <c r="P14" s="233">
        <f>'1-2_児童数計算表_分園'!$Q$31</f>
        <v>0</v>
      </c>
    </row>
    <row r="15" spans="1:16" ht="19.5" thickBot="1">
      <c r="C15" s="98">
        <v>3</v>
      </c>
      <c r="D15" s="409"/>
      <c r="E15" s="409"/>
      <c r="G15" s="98">
        <v>3</v>
      </c>
      <c r="H15" s="410"/>
      <c r="I15" s="410"/>
      <c r="L15" s="98">
        <v>5</v>
      </c>
      <c r="M15" s="233">
        <f>'1-1_児童数計算表'!$Q$30</f>
        <v>0</v>
      </c>
      <c r="O15" s="98">
        <v>5</v>
      </c>
      <c r="P15" s="233">
        <f>'1-2_児童数計算表_分園'!$Q$30</f>
        <v>0</v>
      </c>
    </row>
    <row r="16" spans="1:16" ht="19.5" thickBot="1">
      <c r="C16" s="98">
        <v>4</v>
      </c>
      <c r="D16" s="409"/>
      <c r="E16" s="409"/>
      <c r="G16" s="98">
        <v>4</v>
      </c>
      <c r="H16" s="410"/>
      <c r="I16" s="410"/>
    </row>
    <row r="17" spans="2:16" ht="19.5" thickBot="1">
      <c r="C17" s="98">
        <v>5</v>
      </c>
      <c r="D17" s="409"/>
      <c r="E17" s="409"/>
      <c r="G17" s="98">
        <v>5</v>
      </c>
      <c r="H17" s="410"/>
      <c r="I17" s="410"/>
      <c r="L17" t="s">
        <v>306</v>
      </c>
    </row>
    <row r="18" spans="2:16" ht="19.5" thickBot="1">
      <c r="C18" s="92" t="s">
        <v>106</v>
      </c>
      <c r="D18" s="100">
        <f>SUM(D12:D17)</f>
        <v>0</v>
      </c>
      <c r="E18" s="100">
        <f>SUM(E12:E17)</f>
        <v>0</v>
      </c>
      <c r="G18" s="92" t="s">
        <v>106</v>
      </c>
      <c r="H18" s="100">
        <f>IF($D$5=【リスト】!$B$3,SUM(H12:H17),0)</f>
        <v>0</v>
      </c>
      <c r="I18" s="100">
        <f>IF($D$5=【リスト】!$B$3,SUM(I12:I17),0)</f>
        <v>0</v>
      </c>
      <c r="L18" s="92" t="s">
        <v>299</v>
      </c>
      <c r="M18" s="99" t="s">
        <v>300</v>
      </c>
      <c r="O18" s="92" t="s">
        <v>301</v>
      </c>
      <c r="P18" s="99" t="s">
        <v>300</v>
      </c>
    </row>
    <row r="19" spans="2:16" ht="19.5" thickBot="1">
      <c r="C19" s="92" t="s">
        <v>116</v>
      </c>
      <c r="D19" s="93">
        <f>SUM(D18:E18,H18:I18)</f>
        <v>0</v>
      </c>
      <c r="L19" s="98">
        <v>0</v>
      </c>
      <c r="M19" s="233">
        <f>'1-1_児童数計算表'!$Q$50</f>
        <v>0</v>
      </c>
      <c r="O19" s="98">
        <v>0</v>
      </c>
      <c r="P19" s="233">
        <f>'1-2_児童数計算表_分園'!$Q$50</f>
        <v>0</v>
      </c>
    </row>
    <row r="20" spans="2:16" ht="19.5" thickBot="1">
      <c r="L20" s="98">
        <v>1</v>
      </c>
      <c r="M20" s="233">
        <f>'1-1_児童数計算表'!$Q$49</f>
        <v>0</v>
      </c>
      <c r="O20" s="98">
        <v>1</v>
      </c>
      <c r="P20" s="233">
        <f>'1-2_児童数計算表_分園'!$Q$49</f>
        <v>0</v>
      </c>
    </row>
    <row r="21" spans="2:16" ht="19.5" thickBot="1">
      <c r="B21" t="s">
        <v>126</v>
      </c>
      <c r="L21" s="98">
        <v>2</v>
      </c>
      <c r="M21" s="233">
        <f>'1-1_児童数計算表'!$Q$48</f>
        <v>0</v>
      </c>
      <c r="O21" s="98">
        <v>2</v>
      </c>
      <c r="P21" s="233">
        <f>'1-2_児童数計算表_分園'!$Q$48</f>
        <v>0</v>
      </c>
    </row>
    <row r="22" spans="2:16" ht="19.5" thickBot="1">
      <c r="C22" s="94" t="s">
        <v>109</v>
      </c>
      <c r="D22" s="95"/>
      <c r="E22" s="95"/>
      <c r="F22" s="408"/>
      <c r="L22" s="98">
        <v>3</v>
      </c>
      <c r="M22" s="233">
        <f>'1-1_児童数計算表'!$Q$47</f>
        <v>0</v>
      </c>
      <c r="O22" s="98">
        <v>3</v>
      </c>
      <c r="P22" s="233">
        <f>'1-2_児童数計算表_分園'!$Q$47</f>
        <v>0</v>
      </c>
    </row>
    <row r="23" spans="2:16" ht="19.5" thickBot="1">
      <c r="C23" s="94" t="s">
        <v>110</v>
      </c>
      <c r="D23" s="95"/>
      <c r="E23" s="95"/>
      <c r="F23" s="408"/>
      <c r="G23" s="150" t="str">
        <f>IF(AND($F$23=【リスト】!$C$2,$F$27=【リスト】!$C$2),"チーム保育推進加算との併給不可","")</f>
        <v/>
      </c>
      <c r="L23" s="98">
        <v>4</v>
      </c>
      <c r="M23" s="233">
        <f>'1-1_児童数計算表'!$Q$46</f>
        <v>0</v>
      </c>
      <c r="O23" s="98">
        <v>4</v>
      </c>
      <c r="P23" s="233">
        <f>'1-2_児童数計算表_分園'!$Q$46</f>
        <v>0</v>
      </c>
    </row>
    <row r="24" spans="2:16" ht="19.5" thickBot="1">
      <c r="C24" s="94" t="s">
        <v>111</v>
      </c>
      <c r="D24" s="95"/>
      <c r="E24" s="95"/>
      <c r="F24" s="408"/>
      <c r="I24" s="82" t="str">
        <f>IF(F25=【リスト】!$C$2,"休日保育の年間延べ利用子ども数を選択↓","")</f>
        <v/>
      </c>
      <c r="L24" s="98">
        <v>5</v>
      </c>
      <c r="M24" s="233">
        <f>'1-1_児童数計算表'!$Q$45</f>
        <v>0</v>
      </c>
      <c r="O24" s="98">
        <v>5</v>
      </c>
      <c r="P24" s="233">
        <f>'1-2_児童数計算表_分園'!$Q$45</f>
        <v>0</v>
      </c>
    </row>
    <row r="25" spans="2:16" ht="19.5" thickBot="1">
      <c r="C25" s="94" t="s">
        <v>14</v>
      </c>
      <c r="D25" s="95"/>
      <c r="E25" s="95"/>
      <c r="F25" s="408"/>
      <c r="H25" s="82"/>
      <c r="I25" s="412"/>
    </row>
    <row r="26" spans="2:16" ht="19.5" thickBot="1">
      <c r="C26" s="94" t="s">
        <v>127</v>
      </c>
      <c r="D26" s="95"/>
      <c r="E26" s="95"/>
      <c r="F26" s="408"/>
      <c r="I26" s="82" t="str">
        <f>IF(F27=【リスト】!$C$2,"加配人数を選択↓","")</f>
        <v/>
      </c>
    </row>
    <row r="27" spans="2:16" ht="19.5" thickBot="1">
      <c r="C27" s="94" t="s">
        <v>114</v>
      </c>
      <c r="D27" s="95"/>
      <c r="E27" s="95"/>
      <c r="F27" s="408"/>
      <c r="I27" s="410"/>
    </row>
    <row r="28" spans="2:16" ht="19.5" thickBot="1">
      <c r="C28" s="94" t="s">
        <v>117</v>
      </c>
      <c r="D28" s="95"/>
      <c r="E28" s="95"/>
      <c r="F28" s="408"/>
    </row>
    <row r="29" spans="2:16" ht="19.5" thickBot="1">
      <c r="C29" s="94" t="s">
        <v>112</v>
      </c>
      <c r="D29" s="95"/>
      <c r="E29" s="95"/>
      <c r="F29" s="408"/>
    </row>
    <row r="30" spans="2:16" ht="19.5" thickBot="1">
      <c r="C30" s="94" t="s">
        <v>128</v>
      </c>
      <c r="D30" s="95"/>
      <c r="E30" s="95"/>
      <c r="F30" s="411"/>
    </row>
    <row r="31" spans="2:16" ht="19.5" thickBot="1">
      <c r="C31" s="94" t="s">
        <v>113</v>
      </c>
      <c r="D31" s="95"/>
      <c r="E31" s="95"/>
      <c r="F31" s="408"/>
    </row>
    <row r="32" spans="2:16" ht="19.5" thickBot="1">
      <c r="C32" s="94" t="s">
        <v>129</v>
      </c>
      <c r="D32" s="95"/>
      <c r="E32" s="95"/>
      <c r="F32" s="411"/>
    </row>
    <row r="33" spans="2:9" ht="19.5" thickBot="1">
      <c r="C33" s="94" t="s">
        <v>182</v>
      </c>
      <c r="D33" s="95"/>
      <c r="E33" s="95"/>
      <c r="F33" s="408"/>
      <c r="G33" t="s">
        <v>130</v>
      </c>
    </row>
    <row r="34" spans="2:9" ht="19.5" thickBot="1">
      <c r="C34" s="94" t="s">
        <v>741</v>
      </c>
      <c r="D34" s="95"/>
      <c r="E34" s="95"/>
      <c r="F34" s="411"/>
    </row>
    <row r="35" spans="2:9">
      <c r="H35" s="86"/>
      <c r="I35" s="86"/>
    </row>
    <row r="36" spans="2:9" ht="19.5" thickBot="1">
      <c r="B36" t="s">
        <v>133</v>
      </c>
    </row>
    <row r="37" spans="2:9" ht="19.5" thickBot="1">
      <c r="C37" s="102" t="s">
        <v>183</v>
      </c>
      <c r="D37" s="103"/>
      <c r="E37" s="103"/>
      <c r="F37" s="104" t="e">
        <f>VLOOKUP($D$4,【リスト】!$A$2:$L$13,11,FALSE)</f>
        <v>#N/A</v>
      </c>
    </row>
    <row r="38" spans="2:9" ht="19.5" thickBot="1">
      <c r="C38" s="102" t="s">
        <v>184</v>
      </c>
      <c r="D38" s="103"/>
      <c r="E38" s="103"/>
      <c r="F38" s="104" t="e">
        <f>VLOOKUP($D$4,【リスト】!$A$2:$L$13,12,FALSE)+IF($F$33=【リスト】!$C$2,-2,0)</f>
        <v>#N/A</v>
      </c>
    </row>
    <row r="40" spans="2:9" ht="19.5" thickBot="1">
      <c r="B40" t="s">
        <v>178</v>
      </c>
    </row>
    <row r="41" spans="2:9" ht="19.5" thickBot="1">
      <c r="C41" s="413">
        <v>12</v>
      </c>
      <c r="D41" t="s">
        <v>179</v>
      </c>
    </row>
    <row r="43" spans="2:9" ht="19.5" thickBot="1">
      <c r="B43" s="101" t="s">
        <v>180</v>
      </c>
    </row>
    <row r="44" spans="2:9" ht="19.5" thickBot="1">
      <c r="D44" s="105" t="s">
        <v>173</v>
      </c>
    </row>
    <row r="45" spans="2:9" ht="19.5" thickBot="1">
      <c r="C45" s="105" t="s">
        <v>131</v>
      </c>
      <c r="D45" s="106" t="e">
        <f>SUM(区分12計算!D26:AA26)</f>
        <v>#N/A</v>
      </c>
    </row>
    <row r="46" spans="2:9" ht="19.5" thickBot="1">
      <c r="C46" s="105" t="s">
        <v>132</v>
      </c>
      <c r="D46" s="106" t="e">
        <f>SUM(区分12計算!D48:AA48)</f>
        <v>#N/A</v>
      </c>
    </row>
  </sheetData>
  <sheetProtection algorithmName="SHA-512" hashValue="xXhKy3Xl0t8AaTI1HuJm0p7W7esHHhXzl4yTOxH6m2Xs9pOW+fXL9gqY0pGsdCWrO8b+tskh/6CF/aHPxkhBBg==" saltValue="ppEXLl1maTLtPlu4uaSwBw==" spinCount="100000" sheet="1" objects="1" scenarios="1"/>
  <phoneticPr fontId="4"/>
  <dataValidations count="2">
    <dataValidation type="whole" allowBlank="1" showInputMessage="1" showErrorMessage="1" sqref="D6:D7 H12 D12:E17 H13:H17 I12:I17" xr:uid="{2D77AD47-7A41-41B9-826B-6968E09382CA}">
      <formula1>0</formula1>
      <formula2>1000</formula2>
    </dataValidation>
    <dataValidation type="whole" allowBlank="1" showInputMessage="1" showErrorMessage="1" sqref="C41" xr:uid="{B6BEAA08-2B5B-465B-87A1-7CD6E136642C}">
      <formula1>1</formula1>
      <formula2>12</formula2>
    </dataValidation>
  </dataValidations>
  <pageMargins left="0.7" right="0.7" top="0.75" bottom="0.75" header="0.3" footer="0.3"/>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73A8AD0-72F9-4784-8D76-8EB5BCD561C5}">
            <xm:f>$D$5=【リスト】!$B$3</xm:f>
            <x14:dxf>
              <fill>
                <patternFill>
                  <bgColor theme="4" tint="0.79998168889431442"/>
                </patternFill>
              </fill>
            </x14:dxf>
          </x14:cfRule>
          <xm:sqref>D7</xm:sqref>
        </x14:conditionalFormatting>
        <x14:conditionalFormatting xmlns:xm="http://schemas.microsoft.com/office/excel/2006/main">
          <x14:cfRule type="expression" priority="3" id="{60F6E9B5-4031-4D08-A47E-43D8F707C369}">
            <xm:f>$D$5=【リスト】!$B$3</xm:f>
            <x14:dxf>
              <fill>
                <patternFill>
                  <bgColor theme="4" tint="0.79998168889431442"/>
                </patternFill>
              </fill>
            </x14:dxf>
          </x14:cfRule>
          <xm:sqref>H12:I17</xm:sqref>
        </x14:conditionalFormatting>
        <x14:conditionalFormatting xmlns:xm="http://schemas.microsoft.com/office/excel/2006/main">
          <x14:cfRule type="expression" priority="2" id="{DA941AE6-0702-4558-BAC4-938441470D3C}">
            <xm:f>$F$25=【リスト】!$C$2</xm:f>
            <x14:dxf>
              <fill>
                <patternFill>
                  <bgColor theme="4" tint="0.79998168889431442"/>
                </patternFill>
              </fill>
            </x14:dxf>
          </x14:cfRule>
          <xm:sqref>I25</xm:sqref>
        </x14:conditionalFormatting>
        <x14:conditionalFormatting xmlns:xm="http://schemas.microsoft.com/office/excel/2006/main">
          <x14:cfRule type="expression" priority="1" id="{E3FEFE51-0714-430D-B257-F187457498BF}">
            <xm:f>$F$27=【リスト】!$C$2</xm:f>
            <x14:dxf>
              <fill>
                <patternFill>
                  <bgColor theme="4" tint="0.79998168889431442"/>
                </patternFill>
              </fill>
            </x14:dxf>
          </x14:cfRule>
          <xm:sqref>I27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3679AD9-F9C1-4A5E-A96A-E3627BE9E9BD}">
          <x14:formula1>
            <xm:f>【リスト】!$A$2:$A$13</xm:f>
          </x14:formula1>
          <xm:sqref>D4</xm:sqref>
        </x14:dataValidation>
        <x14:dataValidation type="list" allowBlank="1" showInputMessage="1" showErrorMessage="1" xr:uid="{8AE11187-CA3A-4CD5-A404-EF694261384F}">
          <x14:formula1>
            <xm:f>【リスト】!$B$2:$B$3</xm:f>
          </x14:formula1>
          <xm:sqref>D5</xm:sqref>
        </x14:dataValidation>
        <x14:dataValidation type="list" allowBlank="1" showInputMessage="1" showErrorMessage="1" xr:uid="{CCBBA551-DDE9-4E60-8859-C92E3CD6D249}">
          <x14:formula1>
            <xm:f>【リスト】!$C$2:$C$3</xm:f>
          </x14:formula1>
          <xm:sqref>F22:F29 F31 F33</xm:sqref>
        </x14:dataValidation>
        <x14:dataValidation type="list" allowBlank="1" showInputMessage="1" showErrorMessage="1" xr:uid="{EF7FE433-3133-4B7E-AC8E-6D6F9F3FB952}">
          <x14:formula1>
            <xm:f>【リスト】!$D$2:$D$4</xm:f>
          </x14:formula1>
          <xm:sqref>F30</xm:sqref>
        </x14:dataValidation>
        <x14:dataValidation type="list" allowBlank="1" showInputMessage="1" showErrorMessage="1" xr:uid="{ECE875D7-0E23-4036-BDA5-4847A1EF3936}">
          <x14:formula1>
            <xm:f>【リスト】!$E$2:$E$5</xm:f>
          </x14:formula1>
          <xm:sqref>F32</xm:sqref>
        </x14:dataValidation>
        <x14:dataValidation type="list" allowBlank="1" showInputMessage="1" showErrorMessage="1" xr:uid="{B9B182D6-CC8E-4FCA-BFCF-62D649AA45CB}">
          <x14:formula1>
            <xm:f>【リスト】!$F$2:$F$15</xm:f>
          </x14:formula1>
          <xm:sqref>I25</xm:sqref>
        </x14:dataValidation>
        <x14:dataValidation type="list" allowBlank="1" showInputMessage="1" showErrorMessage="1" xr:uid="{0B13CBB0-AA82-487D-A776-DC715B80E3AD}">
          <x14:formula1>
            <xm:f>【リスト】!$G$2:$G$3</xm:f>
          </x14:formula1>
          <xm:sqref>I27</xm:sqref>
        </x14:dataValidation>
        <x14:dataValidation type="list" allowBlank="1" showInputMessage="1" showErrorMessage="1" xr:uid="{FE447814-9BA3-4FE3-A08A-8FCFEDBEA7CB}">
          <x14:formula1>
            <xm:f>【リスト】!$H$2:$H$6</xm:f>
          </x14:formula1>
          <xm:sqref>F34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FE71-4DBB-4C3F-81A5-CD4999B6192F}">
  <sheetPr>
    <pageSetUpPr fitToPage="1"/>
  </sheetPr>
  <dimension ref="A1:T122"/>
  <sheetViews>
    <sheetView view="pageBreakPreview" topLeftCell="A8" zoomScale="70" zoomScaleNormal="70" zoomScaleSheetLayoutView="70" workbookViewId="0">
      <selection activeCell="H46" sqref="H46"/>
    </sheetView>
  </sheetViews>
  <sheetFormatPr defaultColWidth="9" defaultRowHeight="18.75"/>
  <cols>
    <col min="1" max="1" width="2.875" style="245" customWidth="1"/>
    <col min="2" max="2" width="3" style="246" customWidth="1"/>
    <col min="3" max="3" width="12.125" style="246" customWidth="1"/>
    <col min="4" max="4" width="20.625" style="246" customWidth="1"/>
    <col min="5" max="5" width="10" style="246" customWidth="1"/>
    <col min="6" max="6" width="10" style="247" customWidth="1"/>
    <col min="7" max="7" width="10.625" style="247" customWidth="1"/>
    <col min="8" max="8" width="13.125" style="247" customWidth="1"/>
    <col min="9" max="9" width="10.125" style="247" customWidth="1"/>
    <col min="10" max="12" width="10.125" style="245" customWidth="1"/>
    <col min="13" max="13" width="3.375" style="245" customWidth="1"/>
    <col min="14" max="14" width="1.375" style="245" customWidth="1"/>
    <col min="15" max="15" width="14.25" style="245" customWidth="1"/>
    <col min="16" max="16" width="11.625" style="245" customWidth="1"/>
    <col min="17" max="17" width="9" style="245"/>
    <col min="18" max="18" width="1.375" style="245" customWidth="1"/>
    <col min="19" max="19" width="14.25" style="245" customWidth="1"/>
    <col min="20" max="20" width="11.625" style="245" customWidth="1"/>
    <col min="21" max="16384" width="9" style="245"/>
  </cols>
  <sheetData>
    <row r="1" spans="1:20" s="244" customFormat="1" ht="23.25" customHeight="1">
      <c r="A1" s="241" t="s">
        <v>252</v>
      </c>
      <c r="B1" s="242"/>
      <c r="C1" s="242"/>
      <c r="D1" s="242"/>
      <c r="E1" s="242"/>
      <c r="F1" s="243"/>
      <c r="G1" s="243"/>
      <c r="H1" s="243"/>
      <c r="I1" s="243"/>
      <c r="M1" s="245"/>
      <c r="N1" s="245"/>
      <c r="O1" s="245"/>
      <c r="P1" s="245"/>
      <c r="Q1" s="245"/>
      <c r="R1" s="245"/>
      <c r="S1" s="245"/>
      <c r="T1" s="245"/>
    </row>
    <row r="2" spans="1:20" ht="19.5" customHeight="1" thickBot="1">
      <c r="A2" s="246"/>
    </row>
    <row r="3" spans="1:20" ht="19.5" customHeight="1" thickBot="1">
      <c r="A3" s="246"/>
      <c r="B3" s="801" t="s">
        <v>224</v>
      </c>
      <c r="C3" s="801"/>
      <c r="D3" s="802">
        <f>'1-1_児童数計算表'!$M$3</f>
        <v>0</v>
      </c>
      <c r="E3" s="803"/>
      <c r="F3" s="803"/>
      <c r="G3" s="803"/>
      <c r="H3" s="804"/>
    </row>
    <row r="4" spans="1:20" ht="19.5" customHeight="1">
      <c r="A4" s="246"/>
      <c r="E4" s="248"/>
      <c r="F4" s="248"/>
      <c r="G4" s="248"/>
      <c r="H4" s="248"/>
    </row>
    <row r="5" spans="1:20" ht="19.5" customHeight="1" thickBot="1">
      <c r="A5" s="249" t="s">
        <v>253</v>
      </c>
      <c r="E5" s="248"/>
      <c r="F5" s="248"/>
      <c r="G5" s="248"/>
      <c r="H5" s="248"/>
    </row>
    <row r="6" spans="1:20" ht="19.5" customHeight="1" thickBot="1">
      <c r="A6" s="249"/>
      <c r="B6" s="250"/>
      <c r="C6" s="251"/>
      <c r="D6" s="251"/>
      <c r="E6" s="252" t="s">
        <v>254</v>
      </c>
      <c r="F6" s="253" t="s">
        <v>255</v>
      </c>
      <c r="G6" s="248"/>
      <c r="H6" s="248"/>
      <c r="I6" s="248"/>
      <c r="J6" s="253" t="s">
        <v>255</v>
      </c>
    </row>
    <row r="7" spans="1:20" ht="37.5" customHeight="1" thickBot="1">
      <c r="A7" s="249"/>
      <c r="B7" s="805" t="s">
        <v>99</v>
      </c>
      <c r="C7" s="806"/>
      <c r="D7" s="806"/>
      <c r="E7" s="254" t="str">
        <f>IF('2_区分12加算額計算表'!$D$5=【リスト】!$B$3,"あり","なし")</f>
        <v>なし</v>
      </c>
      <c r="F7" s="255" t="s">
        <v>256</v>
      </c>
      <c r="G7" s="248"/>
      <c r="H7" s="248"/>
      <c r="I7" s="248"/>
      <c r="J7" s="255" t="str">
        <f>IF(E7="あり","分園分を記入","入力不要")</f>
        <v>入力不要</v>
      </c>
    </row>
    <row r="8" spans="1:20" ht="19.5" customHeight="1" thickBot="1">
      <c r="A8" s="249"/>
      <c r="B8" s="805" t="s">
        <v>257</v>
      </c>
      <c r="C8" s="806"/>
      <c r="D8" s="806"/>
      <c r="E8" s="806"/>
      <c r="F8" s="256">
        <f>'2_区分12加算額計算表'!$D$6</f>
        <v>0</v>
      </c>
      <c r="G8" s="248"/>
      <c r="H8" s="248"/>
      <c r="I8" s="248"/>
      <c r="J8" s="256">
        <f>'2_区分12加算額計算表'!$D$7</f>
        <v>0</v>
      </c>
      <c r="N8" s="245" t="s">
        <v>298</v>
      </c>
    </row>
    <row r="9" spans="1:20" ht="19.5" customHeight="1" thickBot="1">
      <c r="A9" s="249"/>
      <c r="B9" s="807" t="s">
        <v>258</v>
      </c>
      <c r="C9" s="808"/>
      <c r="D9" s="808"/>
      <c r="E9" s="808"/>
      <c r="F9" s="257">
        <f>F10+F11+F12+F14</f>
        <v>0</v>
      </c>
      <c r="H9" s="248"/>
      <c r="I9" s="248"/>
      <c r="J9" s="257">
        <f>J10+J11+J12+J14</f>
        <v>0</v>
      </c>
      <c r="N9" s="258" t="s">
        <v>299</v>
      </c>
      <c r="O9" s="259"/>
      <c r="P9" s="260" t="s">
        <v>300</v>
      </c>
      <c r="R9" s="261" t="s">
        <v>301</v>
      </c>
      <c r="S9" s="261"/>
      <c r="T9" s="260" t="s">
        <v>300</v>
      </c>
    </row>
    <row r="10" spans="1:20" ht="19.5" customHeight="1" thickBot="1">
      <c r="A10" s="249"/>
      <c r="B10" s="262"/>
      <c r="C10" s="809" t="s">
        <v>259</v>
      </c>
      <c r="D10" s="810"/>
      <c r="E10" s="263"/>
      <c r="F10" s="227"/>
      <c r="G10" s="248"/>
      <c r="H10" s="248"/>
      <c r="I10" s="248"/>
      <c r="J10" s="227"/>
      <c r="N10" s="264" t="s">
        <v>302</v>
      </c>
      <c r="O10" s="265"/>
      <c r="P10" s="266">
        <f>SUM('1-1_児童数計算表'!$Q$30:$Q$31)</f>
        <v>0</v>
      </c>
      <c r="R10" s="267" t="s">
        <v>302</v>
      </c>
      <c r="S10" s="268"/>
      <c r="T10" s="266">
        <f>SUM('1-2_児童数計算表_分園'!$Q$30:$Q$31)</f>
        <v>0</v>
      </c>
    </row>
    <row r="11" spans="1:20" ht="19.5" customHeight="1" thickBot="1">
      <c r="A11" s="249"/>
      <c r="B11" s="262"/>
      <c r="C11" s="809" t="s">
        <v>260</v>
      </c>
      <c r="D11" s="810"/>
      <c r="E11" s="263"/>
      <c r="F11" s="228"/>
      <c r="G11" s="248"/>
      <c r="H11" s="248"/>
      <c r="I11" s="248"/>
      <c r="J11" s="228"/>
      <c r="N11" s="267" t="s">
        <v>273</v>
      </c>
      <c r="O11" s="265"/>
      <c r="P11" s="266">
        <f>'1-1_児童数計算表'!$Q$32</f>
        <v>0</v>
      </c>
      <c r="R11" s="267" t="s">
        <v>273</v>
      </c>
      <c r="S11" s="268"/>
      <c r="T11" s="266">
        <f>'1-2_児童数計算表_分園'!$Q$32</f>
        <v>0</v>
      </c>
    </row>
    <row r="12" spans="1:20" ht="19.149999999999999" customHeight="1" thickBot="1">
      <c r="A12" s="249"/>
      <c r="B12" s="262"/>
      <c r="C12" s="810" t="s">
        <v>261</v>
      </c>
      <c r="D12" s="811"/>
      <c r="E12" s="263"/>
      <c r="F12" s="229"/>
      <c r="G12" s="248"/>
      <c r="H12" s="248"/>
      <c r="I12" s="248"/>
      <c r="J12" s="229"/>
      <c r="N12" s="267" t="s">
        <v>303</v>
      </c>
      <c r="O12" s="265"/>
      <c r="P12" s="266">
        <f>SUM('1-1_児童数計算表'!$Q$33:$Q$34)</f>
        <v>0</v>
      </c>
      <c r="R12" s="267" t="s">
        <v>303</v>
      </c>
      <c r="S12" s="268"/>
      <c r="T12" s="266">
        <f>SUM('1-2_児童数計算表_分園'!$Q$33:$Q$34)</f>
        <v>0</v>
      </c>
    </row>
    <row r="13" spans="1:20" ht="19.149999999999999" customHeight="1" thickBot="1">
      <c r="A13" s="249"/>
      <c r="B13" s="262"/>
      <c r="C13" s="812" t="s">
        <v>262</v>
      </c>
      <c r="D13" s="813"/>
      <c r="E13" s="269"/>
      <c r="F13" s="230"/>
      <c r="G13" s="248"/>
      <c r="H13" s="248"/>
      <c r="I13" s="248"/>
      <c r="J13" s="230"/>
      <c r="N13" s="267"/>
      <c r="O13" s="265" t="s">
        <v>304</v>
      </c>
      <c r="P13" s="266">
        <f>'1-1_児童数計算表'!$Q$34</f>
        <v>0</v>
      </c>
      <c r="R13" s="267"/>
      <c r="S13" s="265" t="s">
        <v>304</v>
      </c>
      <c r="T13" s="266">
        <f>'1-2_児童数計算表_分園'!$Q$34</f>
        <v>0</v>
      </c>
    </row>
    <row r="14" spans="1:20" ht="19.149999999999999" customHeight="1" thickBot="1">
      <c r="A14" s="246"/>
      <c r="B14" s="270"/>
      <c r="C14" s="814" t="s">
        <v>240</v>
      </c>
      <c r="D14" s="815"/>
      <c r="E14" s="271"/>
      <c r="F14" s="231"/>
      <c r="G14" s="248"/>
      <c r="H14" s="248"/>
      <c r="J14" s="232"/>
      <c r="N14" s="267" t="s">
        <v>305</v>
      </c>
      <c r="O14" s="265"/>
      <c r="P14" s="266">
        <f>'1-1_児童数計算表'!$Q$35</f>
        <v>0</v>
      </c>
      <c r="R14" s="267" t="s">
        <v>305</v>
      </c>
      <c r="S14" s="268"/>
      <c r="T14" s="266">
        <f>'1-2_児童数計算表_分園'!$Q$35</f>
        <v>0</v>
      </c>
    </row>
    <row r="15" spans="1:20" ht="42.75" customHeight="1">
      <c r="A15" s="246"/>
      <c r="B15" s="272" t="s">
        <v>263</v>
      </c>
      <c r="C15" s="816" t="s">
        <v>264</v>
      </c>
      <c r="D15" s="816"/>
      <c r="E15" s="816"/>
      <c r="F15" s="816"/>
      <c r="G15" s="816"/>
      <c r="H15" s="816"/>
      <c r="I15" s="816"/>
      <c r="J15" s="816"/>
      <c r="K15" s="816"/>
      <c r="L15" s="816"/>
    </row>
    <row r="16" spans="1:20" ht="19.5" customHeight="1">
      <c r="A16" s="246"/>
      <c r="B16" s="273"/>
      <c r="C16" s="274"/>
      <c r="D16" s="274"/>
      <c r="E16" s="274"/>
      <c r="F16" s="274"/>
      <c r="G16" s="274"/>
      <c r="H16" s="274"/>
      <c r="N16" s="245" t="s">
        <v>306</v>
      </c>
    </row>
    <row r="17" spans="1:20" ht="19.5" customHeight="1" thickBot="1">
      <c r="A17" s="249" t="s">
        <v>265</v>
      </c>
      <c r="N17" s="261" t="s">
        <v>299</v>
      </c>
      <c r="O17" s="261"/>
      <c r="P17" s="260" t="s">
        <v>300</v>
      </c>
      <c r="R17" s="261" t="s">
        <v>301</v>
      </c>
      <c r="S17" s="261"/>
      <c r="T17" s="260" t="s">
        <v>300</v>
      </c>
    </row>
    <row r="18" spans="1:20" ht="19.5" customHeight="1" thickBot="1">
      <c r="A18" s="249"/>
      <c r="E18" s="795" t="s">
        <v>266</v>
      </c>
      <c r="F18" s="796"/>
      <c r="G18" s="796"/>
      <c r="H18" s="797"/>
      <c r="I18" s="798" t="str">
        <f>IF(E7="あり","分園分","選択不要")</f>
        <v>選択不要</v>
      </c>
      <c r="J18" s="799"/>
      <c r="K18" s="799"/>
      <c r="L18" s="800"/>
      <c r="N18" s="267" t="s">
        <v>302</v>
      </c>
      <c r="O18" s="265"/>
      <c r="P18" s="266">
        <f>SUM('1-1_児童数計算表'!$Q$45:$Q$46)</f>
        <v>0</v>
      </c>
      <c r="R18" s="267" t="s">
        <v>302</v>
      </c>
      <c r="S18" s="268"/>
      <c r="T18" s="266">
        <f>SUM('1-2_児童数計算表_分園'!$Q$45:$Q$46)</f>
        <v>0</v>
      </c>
    </row>
    <row r="19" spans="1:20" ht="33" customHeight="1" thickBot="1">
      <c r="B19" s="250"/>
      <c r="C19" s="251"/>
      <c r="D19" s="251"/>
      <c r="E19" s="275" t="s">
        <v>267</v>
      </c>
      <c r="F19" s="276"/>
      <c r="G19" s="820" t="s">
        <v>268</v>
      </c>
      <c r="H19" s="821"/>
      <c r="I19" s="277" t="s">
        <v>267</v>
      </c>
      <c r="J19" s="278"/>
      <c r="K19" s="822" t="s">
        <v>268</v>
      </c>
      <c r="L19" s="823"/>
      <c r="N19" s="267" t="s">
        <v>273</v>
      </c>
      <c r="O19" s="265"/>
      <c r="P19" s="266">
        <f>'1-1_児童数計算表'!$Q$47</f>
        <v>0</v>
      </c>
      <c r="R19" s="267" t="s">
        <v>273</v>
      </c>
      <c r="S19" s="268"/>
      <c r="T19" s="266">
        <f>'1-2_児童数計算表_分園'!$Q$47</f>
        <v>0</v>
      </c>
    </row>
    <row r="20" spans="1:20" ht="19.5" customHeight="1" thickBot="1">
      <c r="B20" s="279" t="s">
        <v>269</v>
      </c>
      <c r="C20" s="251" t="s">
        <v>270</v>
      </c>
      <c r="D20" s="280"/>
      <c r="E20" s="281"/>
      <c r="F20" s="282"/>
      <c r="G20" s="283"/>
      <c r="H20" s="284"/>
      <c r="I20" s="283"/>
      <c r="J20" s="285"/>
      <c r="K20" s="286"/>
      <c r="L20" s="287"/>
      <c r="N20" s="267" t="s">
        <v>303</v>
      </c>
      <c r="O20" s="265"/>
      <c r="P20" s="266">
        <f>SUM('1-1_児童数計算表'!$Q$48:$Q$49)</f>
        <v>0</v>
      </c>
      <c r="R20" s="267" t="s">
        <v>303</v>
      </c>
      <c r="S20" s="268"/>
      <c r="T20" s="266">
        <f>SUM('1-2_児童数計算表_分園'!$Q$48:$Q$49)</f>
        <v>0</v>
      </c>
    </row>
    <row r="21" spans="1:20" ht="19.5" customHeight="1" thickBot="1">
      <c r="B21" s="288"/>
      <c r="C21" s="289" t="s">
        <v>271</v>
      </c>
      <c r="D21" s="290"/>
      <c r="E21" s="291"/>
      <c r="F21" s="292">
        <f>F10</f>
        <v>0</v>
      </c>
      <c r="G21" s="293">
        <f>IF(E22="なし",F21/30,F21/25)</f>
        <v>0</v>
      </c>
      <c r="H21" s="294">
        <f>ROUNDDOWN(G21,1)</f>
        <v>0</v>
      </c>
      <c r="I21" s="289"/>
      <c r="J21" s="292">
        <f>IF(E7="あり",J10,0)</f>
        <v>0</v>
      </c>
      <c r="K21" s="295">
        <f>IF(I22="なし",J21/30,J21/25)</f>
        <v>0</v>
      </c>
      <c r="L21" s="296">
        <f>ROUNDDOWN(K21,1)</f>
        <v>0</v>
      </c>
      <c r="N21" s="267"/>
      <c r="O21" s="265" t="s">
        <v>304</v>
      </c>
      <c r="P21" s="266">
        <f>'1-1_児童数計算表'!$Q$49</f>
        <v>0</v>
      </c>
      <c r="R21" s="267"/>
      <c r="S21" s="268" t="s">
        <v>304</v>
      </c>
      <c r="T21" s="266">
        <f>'1-2_児童数計算表_分園'!$Q$49</f>
        <v>0</v>
      </c>
    </row>
    <row r="22" spans="1:20" ht="19.5" customHeight="1" thickBot="1">
      <c r="B22" s="288"/>
      <c r="C22" s="289" t="s">
        <v>272</v>
      </c>
      <c r="D22" s="290"/>
      <c r="E22" s="297" t="str">
        <f>IF('2_区分12加算額計算表'!$F$23=【リスト】!$C$2,"あり","なし")</f>
        <v>なし</v>
      </c>
      <c r="F22" s="298"/>
      <c r="G22" s="299"/>
      <c r="H22" s="300"/>
      <c r="I22" s="301" t="str">
        <f>E22</f>
        <v>なし</v>
      </c>
      <c r="J22" s="298"/>
      <c r="K22" s="299"/>
      <c r="L22" s="300"/>
      <c r="N22" s="267" t="s">
        <v>305</v>
      </c>
      <c r="O22" s="265"/>
      <c r="P22" s="266">
        <f>'1-1_児童数計算表'!$Q$50</f>
        <v>0</v>
      </c>
      <c r="R22" s="267" t="s">
        <v>305</v>
      </c>
      <c r="S22" s="268"/>
      <c r="T22" s="266">
        <f>'1-2_児童数計算表_分園'!$Q$50</f>
        <v>0</v>
      </c>
    </row>
    <row r="23" spans="1:20" ht="19.5" customHeight="1">
      <c r="B23" s="288"/>
      <c r="C23" s="302" t="s">
        <v>273</v>
      </c>
      <c r="D23" s="303"/>
      <c r="E23" s="304"/>
      <c r="F23" s="305">
        <f>F11</f>
        <v>0</v>
      </c>
      <c r="G23" s="293">
        <f>IF(E24="なし",F23/20,F23/15)</f>
        <v>0</v>
      </c>
      <c r="H23" s="306">
        <f>ROUNDDOWN(G23,1)</f>
        <v>0</v>
      </c>
      <c r="I23" s="246"/>
      <c r="J23" s="292">
        <f>IF(E7="あり",J11,0)</f>
        <v>0</v>
      </c>
      <c r="K23" s="293">
        <f>IF(I24="なし",J23/20,J23/15)</f>
        <v>0</v>
      </c>
      <c r="L23" s="307">
        <f>ROUNDDOWN(K23,1)</f>
        <v>0</v>
      </c>
    </row>
    <row r="24" spans="1:20" ht="19.5" customHeight="1">
      <c r="B24" s="288"/>
      <c r="C24" s="302" t="s">
        <v>274</v>
      </c>
      <c r="D24" s="303"/>
      <c r="E24" s="297" t="str">
        <f>IF('2_区分12加算額計算表'!$F$22=【リスト】!$C$2,"あり","なし")</f>
        <v>なし</v>
      </c>
      <c r="F24" s="308"/>
      <c r="G24" s="309"/>
      <c r="H24" s="310"/>
      <c r="I24" s="301" t="str">
        <f>E24</f>
        <v>なし</v>
      </c>
      <c r="J24" s="308"/>
      <c r="K24" s="309"/>
      <c r="L24" s="310"/>
    </row>
    <row r="25" spans="1:20" ht="19.5" customHeight="1">
      <c r="B25" s="288"/>
      <c r="C25" s="302" t="s">
        <v>261</v>
      </c>
      <c r="D25" s="303"/>
      <c r="E25" s="311"/>
      <c r="F25" s="305">
        <f>F12</f>
        <v>0</v>
      </c>
      <c r="G25" s="293">
        <f>IF(E26="なし",F25*1/6,(F25-F13)*1/6+F13*1/5)</f>
        <v>0</v>
      </c>
      <c r="H25" s="306">
        <f>ROUNDDOWN(G25,1)</f>
        <v>0</v>
      </c>
      <c r="I25" s="302"/>
      <c r="J25" s="292">
        <f>IF(E7="あり",J12,0)</f>
        <v>0</v>
      </c>
      <c r="K25" s="312" t="str">
        <f>IF(OR(E7="なし",TRIM(E7)=""), "0.00", IF(I26="なし", J25*1/6, (J25-J13)*1/6 + J13*1/5))</f>
        <v>0.00</v>
      </c>
      <c r="L25" s="307">
        <f>ROUNDDOWN(K25,1)</f>
        <v>0</v>
      </c>
    </row>
    <row r="26" spans="1:20" ht="19.5" customHeight="1">
      <c r="B26" s="288"/>
      <c r="C26" s="313" t="s">
        <v>275</v>
      </c>
      <c r="D26" s="314"/>
      <c r="E26" s="315" t="str">
        <f>IF('2_区分12加算額計算表'!$F$24=【リスト】!$C$2,"あり","なし")</f>
        <v>なし</v>
      </c>
      <c r="F26" s="316"/>
      <c r="G26" s="317"/>
      <c r="H26" s="318"/>
      <c r="I26" s="301" t="str">
        <f>E26</f>
        <v>なし</v>
      </c>
      <c r="J26" s="319"/>
      <c r="K26" s="317"/>
      <c r="L26" s="318"/>
    </row>
    <row r="27" spans="1:20" ht="19.5" customHeight="1" thickBot="1">
      <c r="B27" s="288"/>
      <c r="C27" s="320" t="s">
        <v>240</v>
      </c>
      <c r="D27" s="321"/>
      <c r="E27" s="322"/>
      <c r="F27" s="323">
        <f>F14</f>
        <v>0</v>
      </c>
      <c r="G27" s="324">
        <f>F27*1/3</f>
        <v>0</v>
      </c>
      <c r="H27" s="325">
        <f>ROUNDDOWN(G27,1)</f>
        <v>0</v>
      </c>
      <c r="I27" s="322"/>
      <c r="J27" s="323">
        <f>IF(E7="あり",J14,0)</f>
        <v>0</v>
      </c>
      <c r="K27" s="324">
        <f>J27*1/3</f>
        <v>0</v>
      </c>
      <c r="L27" s="326">
        <f>ROUNDDOWN(K27,1)</f>
        <v>0</v>
      </c>
    </row>
    <row r="28" spans="1:20" ht="19.5" customHeight="1" thickTop="1">
      <c r="B28" s="327"/>
      <c r="C28" s="270" t="s">
        <v>276</v>
      </c>
      <c r="D28" s="327"/>
      <c r="E28" s="328"/>
      <c r="F28" s="329"/>
      <c r="G28" s="330"/>
      <c r="H28" s="331">
        <f>ROUND(SUM(H21:H27),0)</f>
        <v>0</v>
      </c>
      <c r="J28" s="332"/>
      <c r="K28" s="330"/>
      <c r="L28" s="333">
        <f>ROUND(SUM(L21:L27),0)</f>
        <v>0</v>
      </c>
    </row>
    <row r="29" spans="1:20" ht="19.5" customHeight="1">
      <c r="B29" s="334" t="s">
        <v>277</v>
      </c>
      <c r="C29" s="335" t="s">
        <v>278</v>
      </c>
      <c r="D29" s="280"/>
      <c r="E29" s="336" t="str">
        <f>IF('2_区分12加算額計算表'!$D$18&gt;0,"あり","なし")</f>
        <v>なし</v>
      </c>
      <c r="F29" s="282"/>
      <c r="G29" s="337"/>
      <c r="H29" s="338">
        <f>IF(E29="あり",1.4,0)</f>
        <v>0</v>
      </c>
      <c r="I29" s="339" t="str">
        <f>IF('2_区分12加算額計算表'!$H$18&gt;0,"あり","なし")</f>
        <v>なし</v>
      </c>
      <c r="J29" s="282"/>
      <c r="K29" s="337"/>
      <c r="L29" s="340">
        <f>IF(E7="あり",IF(I29="あり",1.4,0),0)</f>
        <v>0</v>
      </c>
    </row>
    <row r="30" spans="1:20" ht="19.5" customHeight="1">
      <c r="B30" s="334" t="s">
        <v>279</v>
      </c>
      <c r="C30" s="335" t="s">
        <v>280</v>
      </c>
      <c r="D30" s="280"/>
      <c r="E30" s="336" t="str">
        <f>IF('2_区分12加算額計算表'!$F$29=【リスト】!$C$2,"あり","なし")</f>
        <v>なし</v>
      </c>
      <c r="F30" s="282"/>
      <c r="G30" s="337"/>
      <c r="H30" s="338">
        <f>IF(E30="あり",1,0)</f>
        <v>0</v>
      </c>
      <c r="I30" s="824" t="str">
        <f>IF($E$7="あり","本園分で選択","－")</f>
        <v>－</v>
      </c>
      <c r="J30" s="825"/>
      <c r="K30" s="286"/>
      <c r="L30" s="287"/>
    </row>
    <row r="31" spans="1:20" ht="19.5" customHeight="1">
      <c r="B31" s="334" t="s">
        <v>281</v>
      </c>
      <c r="C31" s="341" t="s">
        <v>282</v>
      </c>
      <c r="D31" s="280"/>
      <c r="E31" s="336" t="str">
        <f>IF('2_区分12加算額計算表'!$F$31=【リスト】!$C$2,"あり","なし")</f>
        <v>なし</v>
      </c>
      <c r="F31" s="282"/>
      <c r="G31" s="337"/>
      <c r="H31" s="338">
        <f>IF(E31="あり",0.3,0)</f>
        <v>0</v>
      </c>
      <c r="I31" s="824" t="str">
        <f t="shared" ref="I31:I34" si="0">IF($E$7="あり","本園分で選択","－")</f>
        <v>－</v>
      </c>
      <c r="J31" s="825"/>
      <c r="K31" s="286"/>
      <c r="L31" s="287"/>
    </row>
    <row r="32" spans="1:20" ht="19.5" customHeight="1" thickBot="1">
      <c r="B32" s="334" t="s">
        <v>283</v>
      </c>
      <c r="C32" s="335" t="s">
        <v>15</v>
      </c>
      <c r="D32" s="280"/>
      <c r="E32" s="336" t="str">
        <f>IF('2_区分12加算額計算表'!$F$25=【リスト】!$C$2,"あり","なし")</f>
        <v>なし</v>
      </c>
      <c r="F32" s="342"/>
      <c r="G32" s="337"/>
      <c r="H32" s="338">
        <f>IF(E32="あり",0.5,0)</f>
        <v>0</v>
      </c>
      <c r="I32" s="824" t="str">
        <f t="shared" si="0"/>
        <v>－</v>
      </c>
      <c r="J32" s="825"/>
      <c r="K32" s="286"/>
      <c r="L32" s="287"/>
    </row>
    <row r="33" spans="1:12" ht="19.5" customHeight="1" thickBot="1">
      <c r="B33" s="334" t="s">
        <v>284</v>
      </c>
      <c r="C33" s="335" t="s">
        <v>285</v>
      </c>
      <c r="D33" s="280"/>
      <c r="E33" s="343" t="str">
        <f>IF('2_区分12加算額計算表'!$F$27=【リスト】!$C$2,"あり","なし")</f>
        <v>なし</v>
      </c>
      <c r="F33" s="256">
        <f>'2_区分12加算額計算表'!$I$27</f>
        <v>0</v>
      </c>
      <c r="G33" s="337"/>
      <c r="H33" s="338">
        <f>IF(E33="あり",F33,0)</f>
        <v>0</v>
      </c>
      <c r="I33" s="824" t="str">
        <f t="shared" si="0"/>
        <v>－</v>
      </c>
      <c r="J33" s="825"/>
      <c r="K33" s="286"/>
      <c r="L33" s="287"/>
    </row>
    <row r="34" spans="1:12" ht="19.5" customHeight="1">
      <c r="B34" s="334" t="s">
        <v>286</v>
      </c>
      <c r="C34" s="806" t="s">
        <v>17</v>
      </c>
      <c r="D34" s="817"/>
      <c r="E34" s="336" t="str">
        <f>IF('2_区分12加算額計算表'!$F$32=【リスト】!$E$2,"あり","なし")</f>
        <v>なし</v>
      </c>
      <c r="F34" s="344"/>
      <c r="G34" s="337"/>
      <c r="H34" s="338">
        <f>IF(E34="あり",0.6,0)</f>
        <v>0</v>
      </c>
      <c r="I34" s="818" t="str">
        <f t="shared" si="0"/>
        <v>－</v>
      </c>
      <c r="J34" s="819"/>
      <c r="K34" s="345"/>
      <c r="L34" s="346"/>
    </row>
    <row r="35" spans="1:12" ht="19.5" customHeight="1" thickBot="1">
      <c r="B35" s="347" t="s">
        <v>287</v>
      </c>
      <c r="C35" s="348"/>
      <c r="D35" s="348"/>
      <c r="E35" s="349"/>
      <c r="F35" s="350"/>
      <c r="G35" s="351"/>
      <c r="H35" s="352">
        <f>IF(F8&lt;=40,1.5,IF(F8&lt;=90,2.5,IF(F8&lt;=150,2.3,IF(F8&gt;=151,3.3,0))))</f>
        <v>1.5</v>
      </c>
      <c r="I35" s="353"/>
      <c r="J35" s="354"/>
      <c r="K35" s="355"/>
      <c r="L35" s="356">
        <f>IF(E7="あり",IF(J8&lt;=40,1.5,IF(J8&lt;=90,2.5,IF(J8&lt;=150,2.3,IF(J8&gt;=151,3.3,0)))),0)</f>
        <v>0</v>
      </c>
    </row>
    <row r="36" spans="1:12" ht="19.5" customHeight="1" thickTop="1" thickBot="1">
      <c r="B36" s="357" t="s">
        <v>241</v>
      </c>
      <c r="C36" s="358"/>
      <c r="D36" s="358"/>
      <c r="E36" s="304"/>
      <c r="F36" s="359"/>
      <c r="G36" s="360"/>
      <c r="H36" s="361">
        <f>SUM(H35,H28,H29:H34)</f>
        <v>1.5</v>
      </c>
      <c r="J36" s="362"/>
      <c r="K36" s="363"/>
      <c r="L36" s="364">
        <f>SUM(L28,L29,,L35)</f>
        <v>0</v>
      </c>
    </row>
    <row r="37" spans="1:12" ht="19.5" customHeight="1" thickBot="1">
      <c r="B37" s="365" t="s">
        <v>288</v>
      </c>
      <c r="C37" s="366"/>
      <c r="D37" s="366"/>
      <c r="E37" s="367"/>
      <c r="F37" s="368"/>
      <c r="G37" s="369"/>
      <c r="H37" s="370">
        <f>ROUND(H36,0)</f>
        <v>2</v>
      </c>
      <c r="I37" s="371"/>
      <c r="J37" s="372"/>
      <c r="K37" s="373"/>
      <c r="L37" s="370">
        <f>ROUND(L36,0)</f>
        <v>0</v>
      </c>
    </row>
    <row r="38" spans="1:12" ht="19.5" customHeight="1">
      <c r="B38" s="358"/>
      <c r="C38" s="358"/>
      <c r="D38" s="358"/>
      <c r="H38" s="374"/>
      <c r="I38" s="375"/>
    </row>
    <row r="39" spans="1:12" ht="19.5" customHeight="1" thickBot="1">
      <c r="A39" s="376" t="s">
        <v>289</v>
      </c>
      <c r="G39" s="377"/>
      <c r="H39" s="378" t="s">
        <v>290</v>
      </c>
      <c r="I39" s="379" t="s">
        <v>291</v>
      </c>
    </row>
    <row r="40" spans="1:12" ht="19.5" customHeight="1" thickBot="1">
      <c r="B40" s="380" t="s">
        <v>292</v>
      </c>
      <c r="C40" s="381"/>
      <c r="D40" s="381"/>
      <c r="E40" s="382"/>
      <c r="F40" s="383"/>
      <c r="G40" s="384">
        <f>(H37+L37)/3</f>
        <v>0.66666666666666663</v>
      </c>
      <c r="H40" s="385">
        <f>IF(ROUND(G40,0)=0,1,ROUND(G40,0))</f>
        <v>1</v>
      </c>
      <c r="I40" s="405"/>
    </row>
    <row r="41" spans="1:12" ht="19.5" customHeight="1" thickBot="1">
      <c r="B41" s="386" t="s">
        <v>293</v>
      </c>
      <c r="C41" s="387"/>
      <c r="D41" s="387"/>
      <c r="E41" s="388"/>
      <c r="F41" s="389"/>
      <c r="G41" s="390">
        <f>(H37+L37)/5</f>
        <v>0.4</v>
      </c>
      <c r="H41" s="391">
        <f>IF(ROUND(G41,0)=0,1,ROUND(G41,0))</f>
        <v>1</v>
      </c>
      <c r="I41" s="405"/>
    </row>
    <row r="42" spans="1:12" ht="19.5" customHeight="1">
      <c r="H42" s="375"/>
    </row>
    <row r="43" spans="1:12" ht="19.5" customHeight="1" thickBot="1">
      <c r="A43" s="249" t="s">
        <v>294</v>
      </c>
    </row>
    <row r="44" spans="1:12" ht="19.5" customHeight="1" thickBot="1">
      <c r="B44" s="380"/>
      <c r="C44" s="392">
        <v>49020</v>
      </c>
      <c r="D44" s="381" t="s">
        <v>295</v>
      </c>
      <c r="E44" s="382"/>
      <c r="F44" s="393"/>
      <c r="G44" s="394"/>
      <c r="H44" s="224" t="str">
        <f>IF(I40="","実人数を入力してください",IF(ISBLANK(I40),C44*H40,IF(H40&lt;I40,C44*H40,C44*I40)))</f>
        <v>実人数を入力してください</v>
      </c>
    </row>
    <row r="45" spans="1:12" ht="19.5" customHeight="1" thickBot="1">
      <c r="B45" s="395"/>
      <c r="C45" s="396">
        <v>6130</v>
      </c>
      <c r="D45" s="397" t="s">
        <v>296</v>
      </c>
      <c r="E45" s="398"/>
      <c r="F45" s="399"/>
      <c r="G45" s="400"/>
      <c r="H45" s="225" t="str">
        <f>IF(I41="","実人数を入力してください",IF(ISBLANK(I41),C45*H41,IF(H41&lt;I41,C45*H41,C45*I41)))</f>
        <v>実人数を入力してください</v>
      </c>
    </row>
    <row r="46" spans="1:12" ht="19.5" customHeight="1" thickTop="1" thickBot="1">
      <c r="B46" s="401"/>
      <c r="C46" s="402" t="s">
        <v>297</v>
      </c>
      <c r="D46" s="403"/>
      <c r="E46" s="403"/>
      <c r="F46" s="404"/>
      <c r="G46" s="404"/>
      <c r="H46" s="226">
        <f>SUM(H44:H45)</f>
        <v>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sheetProtection algorithmName="SHA-512" hashValue="Lf2RPbAvLzQWT+Q7K4t/C07NnqgDs+Db0+Uu9PERYkaL7kVldXch98x2maVuF2d0A1l6np1WXwjDiYpHF7tXDg==" saltValue="8vi1cMPrgNWJSHoj1Sk7eA==" spinCount="100000" sheet="1" objects="1" scenarios="1"/>
  <mergeCells count="21">
    <mergeCell ref="C34:D34"/>
    <mergeCell ref="I34:J34"/>
    <mergeCell ref="G19:H19"/>
    <mergeCell ref="K19:L19"/>
    <mergeCell ref="I30:J30"/>
    <mergeCell ref="I31:J31"/>
    <mergeCell ref="I32:J32"/>
    <mergeCell ref="I33:J33"/>
    <mergeCell ref="E18:H18"/>
    <mergeCell ref="I18:L18"/>
    <mergeCell ref="B3:C3"/>
    <mergeCell ref="D3:H3"/>
    <mergeCell ref="B7:D7"/>
    <mergeCell ref="B8:E8"/>
    <mergeCell ref="B9:E9"/>
    <mergeCell ref="C10:D10"/>
    <mergeCell ref="C11:D11"/>
    <mergeCell ref="C12:D12"/>
    <mergeCell ref="C13:D13"/>
    <mergeCell ref="C14:D14"/>
    <mergeCell ref="C15:L15"/>
  </mergeCells>
  <phoneticPr fontId="4"/>
  <dataValidations count="2">
    <dataValidation type="list" allowBlank="1" showInputMessage="1" showErrorMessage="1" sqref="I29 E24 E7 E29:E34 E22 E26" xr:uid="{C6F28A60-F6F6-490F-A25E-858CF5589E85}">
      <formula1>"　,あり,なし"</formula1>
    </dataValidation>
    <dataValidation type="whole" allowBlank="1" showInputMessage="1" showErrorMessage="1" sqref="F10:F14 J10:J14 I40:I41" xr:uid="{06E07A98-F565-4AB4-83F6-82787E1DE36B}">
      <formula1>0</formula1>
      <formula2>1000</formula2>
    </dataValidation>
  </dataValidations>
  <pageMargins left="0.92" right="0.56000000000000005" top="0.75" bottom="0.37" header="0.3" footer="0.3"/>
  <pageSetup paperSize="9" scale="63"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0D0E9-347F-4229-A226-8FA4E8A77FB8}">
  <sheetPr>
    <pageSetUpPr fitToPage="1"/>
  </sheetPr>
  <dimension ref="A1:E23"/>
  <sheetViews>
    <sheetView showGridLines="0" view="pageBreakPreview" zoomScale="85" zoomScaleNormal="85" zoomScaleSheetLayoutView="85" workbookViewId="0">
      <selection activeCell="D20" sqref="D20"/>
    </sheetView>
  </sheetViews>
  <sheetFormatPr defaultRowHeight="13.5"/>
  <cols>
    <col min="1" max="2" width="3.375" style="234" customWidth="1"/>
    <col min="3" max="3" width="16.875" style="234" bestFit="1" customWidth="1"/>
    <col min="4" max="4" width="21" style="234" customWidth="1"/>
    <col min="5" max="16384" width="9" style="234"/>
  </cols>
  <sheetData>
    <row r="1" spans="1:5">
      <c r="A1" s="234" t="s">
        <v>307</v>
      </c>
    </row>
    <row r="2" spans="1:5">
      <c r="B2" s="235" t="s">
        <v>308</v>
      </c>
    </row>
    <row r="4" spans="1:5" s="236" customFormat="1" ht="24.75" customHeight="1">
      <c r="B4" s="236" t="s">
        <v>309</v>
      </c>
    </row>
    <row r="5" spans="1:5" s="236" customFormat="1" ht="24.75" customHeight="1">
      <c r="C5" s="237" t="s">
        <v>310</v>
      </c>
      <c r="D5" s="238" t="e">
        <f>加算率a</f>
        <v>#N/A</v>
      </c>
    </row>
    <row r="6" spans="1:5" s="236" customFormat="1" ht="24.75" customHeight="1">
      <c r="C6" s="237" t="s">
        <v>311</v>
      </c>
      <c r="D6" s="238" t="e">
        <f>加算率b</f>
        <v>#N/A</v>
      </c>
    </row>
    <row r="8" spans="1:5" s="236" customFormat="1" ht="24.75" customHeight="1">
      <c r="B8" s="236" t="s">
        <v>312</v>
      </c>
    </row>
    <row r="9" spans="1:5" s="236" customFormat="1" ht="24.75" customHeight="1">
      <c r="C9" s="237" t="s">
        <v>173</v>
      </c>
      <c r="D9" s="239" t="e">
        <f>'2_区分12加算額計算表'!$D$45</f>
        <v>#N/A</v>
      </c>
    </row>
    <row r="10" spans="1:5" s="236" customFormat="1" ht="24.75" customHeight="1">
      <c r="C10" s="237" t="s">
        <v>181</v>
      </c>
      <c r="D10" s="239" t="e">
        <f>ROUNDDOWN(D9*実施月数,-3)</f>
        <v>#N/A</v>
      </c>
      <c r="E10" s="414" t="s">
        <v>655</v>
      </c>
    </row>
    <row r="12" spans="1:5" s="236" customFormat="1" ht="24.75" customHeight="1">
      <c r="B12" s="236" t="s">
        <v>313</v>
      </c>
    </row>
    <row r="13" spans="1:5" s="236" customFormat="1" ht="24.75" customHeight="1">
      <c r="C13" s="237" t="s">
        <v>173</v>
      </c>
      <c r="D13" s="239" t="e">
        <f>'2_区分12加算額計算表'!$D$46</f>
        <v>#N/A</v>
      </c>
    </row>
    <row r="14" spans="1:5" s="236" customFormat="1" ht="24.75" customHeight="1">
      <c r="C14" s="237" t="s">
        <v>181</v>
      </c>
      <c r="D14" s="239" t="e">
        <f>ROUNDDOWN(D13*実施月数,-3)</f>
        <v>#N/A</v>
      </c>
      <c r="E14" s="414" t="s">
        <v>655</v>
      </c>
    </row>
    <row r="16" spans="1:5" s="236" customFormat="1" ht="24.75" customHeight="1">
      <c r="B16" s="236" t="s">
        <v>314</v>
      </c>
    </row>
    <row r="17" spans="1:5" s="236" customFormat="1" ht="24.75" customHeight="1">
      <c r="C17" s="237" t="s">
        <v>315</v>
      </c>
      <c r="D17" s="240" t="str">
        <f>IF('3_区分3計算表'!$I$40="","実人数を入力してください。",MIN('3_区分3計算表'!$H$40:$I$40))</f>
        <v>実人数を入力してください。</v>
      </c>
    </row>
    <row r="18" spans="1:5" s="236" customFormat="1" ht="24.75" customHeight="1">
      <c r="C18" s="237" t="s">
        <v>316</v>
      </c>
      <c r="D18" s="240" t="str">
        <f>IF('3_区分3計算表'!$I$41="","実人数を入力してください。",MIN('3_区分3計算表'!$H$41:$I$41))</f>
        <v>実人数を入力してください。</v>
      </c>
    </row>
    <row r="19" spans="1:5" s="236" customFormat="1" ht="24.75" customHeight="1">
      <c r="C19" s="237" t="s">
        <v>173</v>
      </c>
      <c r="D19" s="239">
        <f>'3_区分3計算表'!$H$46</f>
        <v>0</v>
      </c>
    </row>
    <row r="20" spans="1:5" s="236" customFormat="1" ht="24.75" customHeight="1">
      <c r="C20" s="237" t="s">
        <v>181</v>
      </c>
      <c r="D20" s="239">
        <f>ROUNDDOWN(D19*実施月数,-3)</f>
        <v>0</v>
      </c>
      <c r="E20" s="414" t="s">
        <v>656</v>
      </c>
    </row>
    <row r="22" spans="1:5">
      <c r="A22" s="235" t="str">
        <f>IF('1-1_児童数計算表'!$M$3="","・施設・事業所名がブランクになっています。（児童数計算表）","")</f>
        <v/>
      </c>
    </row>
    <row r="23" spans="1:5">
      <c r="A23" s="235" t="str">
        <f>IF(OR('3_区分3計算表'!$I$40="",'3_区分3計算表'!$I$41=""),"・区分3計算表の加算算定対象人数の実人数にブランクがあります。","")</f>
        <v>・区分3計算表の加算算定対象人数の実人数にブランクがあります。</v>
      </c>
    </row>
  </sheetData>
  <sheetProtection algorithmName="SHA-512" hashValue="1fjlUrKLxeaNlsBf7iJRKfJwpX/Un+ZH4Dtj9mOxPEkgMSXKdMtp0fTXU0Ek5gQwp9lK/jGft5EwdDtCOdRpGQ==" saltValue="2t4e8wKVwYo6Kc/YcVt1Fw==" spinCount="100000" sheet="1" objects="1" scenarios="1"/>
  <phoneticPr fontId="4"/>
  <pageMargins left="0.7" right="0.7" top="0.75" bottom="0.75" header="0.3" footer="0.3"/>
  <pageSetup paperSize="9" scale="8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0C84-D077-477A-8887-1D2EF9C9D589}">
  <sheetPr>
    <pageSetUpPr fitToPage="1"/>
  </sheetPr>
  <dimension ref="B1:AQ55"/>
  <sheetViews>
    <sheetView showGridLines="0" view="pageBreakPreview" zoomScale="85" zoomScaleNormal="100" zoomScaleSheetLayoutView="85" workbookViewId="0">
      <selection activeCell="U10" sqref="U10:AG10"/>
    </sheetView>
  </sheetViews>
  <sheetFormatPr defaultColWidth="9" defaultRowHeight="18" customHeight="1"/>
  <cols>
    <col min="1" max="1" width="2" style="427" customWidth="1"/>
    <col min="2" max="2" width="2.5" style="427" customWidth="1"/>
    <col min="3" max="7" width="3" style="427" customWidth="1"/>
    <col min="8" max="21" width="3.625" style="427" customWidth="1"/>
    <col min="22" max="25" width="3" style="427" customWidth="1"/>
    <col min="26" max="26" width="3" style="428" customWidth="1"/>
    <col min="27" max="30" width="3" style="427" customWidth="1"/>
    <col min="31" max="33" width="3.375" style="427" customWidth="1"/>
    <col min="34" max="34" width="3.875" style="427" customWidth="1"/>
    <col min="35" max="52" width="3.375" style="427" customWidth="1"/>
    <col min="53" max="16384" width="9" style="427"/>
  </cols>
  <sheetData>
    <row r="1" spans="2:43" ht="18" customHeight="1">
      <c r="B1" s="470" t="s">
        <v>410</v>
      </c>
      <c r="AQ1" s="469" t="s">
        <v>409</v>
      </c>
    </row>
    <row r="2" spans="2:43" ht="18" customHeight="1">
      <c r="B2" s="836" t="str">
        <f>$AQ$1&amp;AQ2&amp;"年度加算率等認定申請書（処遇改善等加算）"</f>
        <v>令和７年度加算率等認定申請書（処遇改善等加算）</v>
      </c>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Q2" s="468" t="s">
        <v>408</v>
      </c>
    </row>
    <row r="3" spans="2:43" ht="9.75" customHeight="1">
      <c r="C3" s="466"/>
      <c r="D3" s="466"/>
      <c r="E3" s="466"/>
      <c r="F3" s="466"/>
      <c r="G3" s="466"/>
      <c r="H3" s="466"/>
      <c r="I3" s="466"/>
      <c r="J3" s="466"/>
      <c r="K3" s="466"/>
      <c r="L3" s="466"/>
      <c r="M3" s="466"/>
      <c r="N3" s="466"/>
      <c r="O3" s="466"/>
      <c r="P3" s="466"/>
      <c r="Q3" s="466"/>
      <c r="R3" s="466"/>
      <c r="S3" s="466"/>
      <c r="T3" s="466"/>
      <c r="U3" s="466"/>
      <c r="V3" s="466"/>
      <c r="W3" s="466"/>
      <c r="X3" s="466"/>
      <c r="Y3" s="466"/>
      <c r="Z3" s="467"/>
      <c r="AA3" s="466"/>
      <c r="AB3" s="466"/>
      <c r="AC3" s="466"/>
      <c r="AD3" s="466"/>
      <c r="AE3" s="466"/>
      <c r="AF3" s="466"/>
      <c r="AG3" s="466"/>
    </row>
    <row r="4" spans="2:43" ht="18" customHeight="1">
      <c r="F4" s="464"/>
      <c r="G4" s="464"/>
      <c r="N4" s="464"/>
      <c r="O4" s="464"/>
    </row>
    <row r="5" spans="2:43" ht="17.25" customHeight="1">
      <c r="F5" s="837" t="s">
        <v>407</v>
      </c>
      <c r="G5" s="837"/>
      <c r="H5" s="837"/>
      <c r="I5" s="837"/>
      <c r="J5" s="837"/>
      <c r="K5" s="837"/>
      <c r="L5" s="837"/>
      <c r="M5" s="464"/>
      <c r="N5" s="464"/>
      <c r="O5" s="464"/>
    </row>
    <row r="6" spans="2:43" ht="17.25" customHeight="1" thickBot="1">
      <c r="F6" s="464"/>
      <c r="G6" s="464"/>
      <c r="H6" s="464"/>
      <c r="I6" s="464"/>
      <c r="J6" s="464"/>
      <c r="K6" s="464"/>
      <c r="L6" s="464"/>
      <c r="M6" s="464"/>
      <c r="N6" s="464"/>
      <c r="O6" s="464"/>
      <c r="U6" s="465"/>
      <c r="V6" s="465"/>
      <c r="W6" s="465"/>
      <c r="X6" s="465"/>
      <c r="Y6" s="465"/>
      <c r="Z6" s="465"/>
      <c r="AA6" s="465"/>
      <c r="AB6" s="465"/>
      <c r="AC6" s="465"/>
      <c r="AD6" s="465"/>
      <c r="AE6" s="465"/>
      <c r="AF6" s="465"/>
      <c r="AG6" s="465"/>
    </row>
    <row r="7" spans="2:43" ht="17.25" customHeight="1">
      <c r="F7" s="464"/>
      <c r="G7" s="464"/>
      <c r="N7" s="464"/>
      <c r="O7" s="838" t="s">
        <v>406</v>
      </c>
      <c r="P7" s="838"/>
      <c r="Q7" s="838"/>
      <c r="R7" s="838"/>
      <c r="S7" s="838"/>
      <c r="T7" s="838"/>
      <c r="U7" s="839" t="s">
        <v>405</v>
      </c>
      <c r="V7" s="839"/>
      <c r="W7" s="839"/>
      <c r="X7" s="839"/>
      <c r="Y7" s="839"/>
      <c r="Z7" s="839"/>
      <c r="AA7" s="839"/>
      <c r="AB7" s="839"/>
      <c r="AC7" s="839"/>
      <c r="AD7" s="839"/>
      <c r="AE7" s="839"/>
      <c r="AF7" s="839"/>
      <c r="AG7" s="840"/>
    </row>
    <row r="8" spans="2:43" ht="17.25" customHeight="1">
      <c r="N8" s="464"/>
      <c r="O8" s="843" t="s">
        <v>404</v>
      </c>
      <c r="P8" s="843"/>
      <c r="Q8" s="843"/>
      <c r="R8" s="843"/>
      <c r="S8" s="843"/>
      <c r="T8" s="843"/>
      <c r="U8" s="844">
        <f>'0_基本情報'!$D$4</f>
        <v>0</v>
      </c>
      <c r="V8" s="844"/>
      <c r="W8" s="844"/>
      <c r="X8" s="844"/>
      <c r="Y8" s="844"/>
      <c r="Z8" s="844"/>
      <c r="AA8" s="844"/>
      <c r="AB8" s="844"/>
      <c r="AC8" s="844"/>
      <c r="AD8" s="844"/>
      <c r="AE8" s="844"/>
      <c r="AF8" s="844"/>
      <c r="AG8" s="845"/>
    </row>
    <row r="9" spans="2:43" ht="17.25" customHeight="1">
      <c r="N9" s="464"/>
      <c r="O9" s="843" t="s">
        <v>403</v>
      </c>
      <c r="P9" s="843"/>
      <c r="Q9" s="843"/>
      <c r="R9" s="843"/>
      <c r="S9" s="843"/>
      <c r="T9" s="843"/>
      <c r="U9" s="844">
        <f>'0_基本情報'!$D$5</f>
        <v>0</v>
      </c>
      <c r="V9" s="844"/>
      <c r="W9" s="844"/>
      <c r="X9" s="844"/>
      <c r="Y9" s="844"/>
      <c r="Z9" s="844"/>
      <c r="AA9" s="844"/>
      <c r="AB9" s="844"/>
      <c r="AC9" s="844"/>
      <c r="AD9" s="844"/>
      <c r="AE9" s="844"/>
      <c r="AF9" s="844"/>
      <c r="AG9" s="845"/>
    </row>
    <row r="10" spans="2:43" ht="17.25" customHeight="1" thickBot="1">
      <c r="N10" s="464"/>
      <c r="O10" s="846" t="s">
        <v>402</v>
      </c>
      <c r="P10" s="846"/>
      <c r="Q10" s="846"/>
      <c r="R10" s="846"/>
      <c r="S10" s="846"/>
      <c r="T10" s="846"/>
      <c r="U10" s="841">
        <f>'0_基本情報'!$D$3</f>
        <v>0</v>
      </c>
      <c r="V10" s="841"/>
      <c r="W10" s="841"/>
      <c r="X10" s="841"/>
      <c r="Y10" s="841"/>
      <c r="Z10" s="841"/>
      <c r="AA10" s="841"/>
      <c r="AB10" s="841"/>
      <c r="AC10" s="841"/>
      <c r="AD10" s="841"/>
      <c r="AE10" s="841"/>
      <c r="AF10" s="841"/>
      <c r="AG10" s="842"/>
    </row>
    <row r="11" spans="2:43" ht="17.25" customHeight="1">
      <c r="Q11" s="432"/>
      <c r="R11" s="432"/>
      <c r="S11" s="432"/>
      <c r="T11" s="432"/>
      <c r="U11" s="463"/>
      <c r="V11" s="432"/>
      <c r="W11" s="432"/>
      <c r="X11" s="432"/>
      <c r="Y11" s="432"/>
    </row>
    <row r="12" spans="2:43" ht="9.75" customHeight="1">
      <c r="Q12" s="432"/>
      <c r="R12" s="432"/>
      <c r="S12" s="432"/>
      <c r="T12" s="432"/>
      <c r="U12" s="432"/>
      <c r="V12" s="432"/>
      <c r="W12" s="432"/>
      <c r="X12" s="432"/>
      <c r="Y12" s="432"/>
    </row>
    <row r="13" spans="2:43" ht="9.75" customHeight="1">
      <c r="Q13" s="432"/>
      <c r="R13" s="432"/>
      <c r="S13" s="432"/>
      <c r="T13" s="432"/>
      <c r="U13" s="432"/>
      <c r="V13" s="432"/>
      <c r="W13" s="432"/>
      <c r="X13" s="432"/>
      <c r="Y13" s="432"/>
    </row>
    <row r="14" spans="2:43" ht="18.75" customHeight="1" thickBot="1">
      <c r="B14" s="441" t="s">
        <v>401</v>
      </c>
      <c r="D14" s="459"/>
      <c r="E14" s="459"/>
      <c r="F14" s="459"/>
      <c r="G14" s="459"/>
      <c r="H14" s="459"/>
      <c r="I14" s="459"/>
      <c r="J14" s="459"/>
      <c r="K14" s="459"/>
      <c r="L14" s="459"/>
      <c r="M14" s="459"/>
      <c r="N14" s="459"/>
      <c r="O14" s="459"/>
      <c r="P14" s="459"/>
      <c r="Q14" s="459"/>
      <c r="R14" s="459"/>
      <c r="S14" s="459"/>
      <c r="T14" s="459"/>
      <c r="U14" s="459"/>
      <c r="V14" s="459"/>
      <c r="W14" s="459"/>
      <c r="X14" s="459"/>
      <c r="Y14" s="459"/>
      <c r="Z14" s="462"/>
      <c r="AA14" s="459"/>
      <c r="AB14" s="459"/>
      <c r="AC14" s="459"/>
      <c r="AD14" s="459"/>
      <c r="AE14" s="459"/>
      <c r="AF14" s="459"/>
      <c r="AG14" s="459"/>
      <c r="AH14" s="459"/>
      <c r="AI14" s="459"/>
      <c r="AJ14" s="459"/>
      <c r="AK14" s="459"/>
      <c r="AL14" s="459"/>
      <c r="AM14" s="459"/>
      <c r="AN14" s="459"/>
    </row>
    <row r="15" spans="2:43" ht="10.5" customHeight="1" thickBot="1">
      <c r="B15" s="459"/>
      <c r="C15" s="830" t="s">
        <v>400</v>
      </c>
      <c r="D15" s="830"/>
      <c r="E15" s="830"/>
      <c r="F15" s="830"/>
      <c r="G15" s="830"/>
      <c r="H15" s="830"/>
      <c r="I15" s="830"/>
      <c r="J15" s="830"/>
      <c r="K15" s="830"/>
      <c r="L15" s="831"/>
      <c r="AA15" s="459"/>
    </row>
    <row r="16" spans="2:43" ht="34.5" customHeight="1">
      <c r="B16" s="459"/>
      <c r="C16" s="830"/>
      <c r="D16" s="830"/>
      <c r="E16" s="830"/>
      <c r="F16" s="830"/>
      <c r="G16" s="830"/>
      <c r="H16" s="830"/>
      <c r="I16" s="830"/>
      <c r="J16" s="830"/>
      <c r="K16" s="830"/>
      <c r="L16" s="831"/>
      <c r="AA16" s="459"/>
    </row>
    <row r="17" spans="2:34" ht="18.75" customHeight="1" thickBot="1">
      <c r="B17" s="459"/>
      <c r="C17" s="826" t="str">
        <f>IF('0_基本情報'!$D$24='【リスト】 (2)'!$C$2,"適","否")</f>
        <v>否</v>
      </c>
      <c r="D17" s="826"/>
      <c r="E17" s="826"/>
      <c r="F17" s="827">
        <f>IF(C17="適",加算率a,0)</f>
        <v>0</v>
      </c>
      <c r="G17" s="827"/>
      <c r="H17" s="827"/>
      <c r="I17" s="827"/>
      <c r="J17" s="827"/>
      <c r="K17" s="827"/>
      <c r="L17" s="461" t="s">
        <v>393</v>
      </c>
      <c r="AA17" s="459"/>
    </row>
    <row r="18" spans="2:34" ht="14.25">
      <c r="B18" s="459"/>
      <c r="C18" s="443" t="s">
        <v>391</v>
      </c>
      <c r="D18" s="460" t="s">
        <v>399</v>
      </c>
      <c r="E18" s="442"/>
      <c r="F18" s="442"/>
      <c r="G18" s="442"/>
      <c r="H18" s="442"/>
      <c r="I18" s="442"/>
      <c r="J18" s="442"/>
      <c r="K18" s="442"/>
      <c r="L18" s="442"/>
      <c r="M18" s="442"/>
      <c r="N18" s="442"/>
      <c r="O18" s="442"/>
      <c r="P18" s="442"/>
      <c r="Q18" s="442"/>
      <c r="R18" s="442"/>
      <c r="S18" s="442"/>
      <c r="T18" s="442"/>
      <c r="U18" s="442"/>
      <c r="V18" s="442"/>
      <c r="W18" s="442"/>
      <c r="X18" s="442"/>
      <c r="Y18" s="442"/>
      <c r="Z18" s="455"/>
      <c r="AA18" s="442"/>
      <c r="AB18" s="442"/>
      <c r="AC18" s="442"/>
      <c r="AD18" s="442"/>
      <c r="AE18" s="442"/>
      <c r="AF18" s="442"/>
      <c r="AG18" s="442"/>
      <c r="AH18" s="459"/>
    </row>
    <row r="19" spans="2:34" ht="14.25">
      <c r="B19" s="459"/>
      <c r="C19" s="443"/>
      <c r="D19" s="460"/>
      <c r="G19" s="442"/>
      <c r="H19" s="442"/>
      <c r="I19" s="442"/>
      <c r="J19" s="442"/>
      <c r="K19" s="442"/>
      <c r="L19" s="442"/>
      <c r="M19" s="442"/>
      <c r="N19" s="442"/>
      <c r="O19" s="442"/>
      <c r="P19" s="442"/>
      <c r="Q19" s="442"/>
      <c r="R19" s="442"/>
      <c r="S19" s="442"/>
      <c r="T19" s="442"/>
      <c r="U19" s="442"/>
      <c r="V19" s="442"/>
      <c r="W19" s="442"/>
      <c r="X19" s="442"/>
      <c r="Y19" s="442"/>
      <c r="Z19" s="455"/>
      <c r="AA19" s="442"/>
      <c r="AB19" s="442"/>
      <c r="AC19" s="442"/>
      <c r="AD19" s="442"/>
      <c r="AE19" s="442"/>
      <c r="AF19" s="442"/>
      <c r="AG19" s="442"/>
      <c r="AH19" s="459"/>
    </row>
    <row r="20" spans="2:34" ht="18.75" customHeight="1">
      <c r="B20" s="441" t="s">
        <v>398</v>
      </c>
      <c r="C20" s="439"/>
      <c r="D20" s="439"/>
      <c r="E20" s="439"/>
      <c r="F20" s="439"/>
      <c r="G20" s="439"/>
      <c r="H20" s="439"/>
      <c r="I20" s="439"/>
      <c r="J20" s="439"/>
      <c r="K20" s="440"/>
      <c r="L20" s="440"/>
      <c r="M20" s="440"/>
      <c r="N20" s="439"/>
      <c r="O20" s="439"/>
      <c r="P20" s="439"/>
      <c r="Q20" s="439"/>
      <c r="R20" s="439"/>
      <c r="S20" s="439"/>
      <c r="T20" s="439"/>
      <c r="U20" s="440"/>
    </row>
    <row r="21" spans="2:34" ht="33.75" customHeight="1">
      <c r="C21" s="442" t="s">
        <v>397</v>
      </c>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row>
    <row r="22" spans="2:34" ht="1.5" customHeight="1">
      <c r="C22" s="456"/>
      <c r="D22" s="442"/>
      <c r="E22" s="442"/>
      <c r="F22" s="442"/>
      <c r="G22" s="442"/>
      <c r="H22" s="442"/>
      <c r="I22" s="442"/>
      <c r="J22" s="442"/>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row>
    <row r="23" spans="2:34" ht="1.5" customHeight="1">
      <c r="C23" s="456"/>
      <c r="D23" s="442"/>
      <c r="E23" s="442"/>
      <c r="F23" s="442"/>
      <c r="G23" s="442"/>
      <c r="H23" s="442"/>
      <c r="I23" s="442"/>
      <c r="J23" s="442"/>
      <c r="K23" s="440"/>
      <c r="L23" s="456"/>
      <c r="M23" s="456"/>
      <c r="N23" s="456"/>
      <c r="O23" s="456"/>
      <c r="P23" s="456"/>
      <c r="Q23" s="440"/>
      <c r="R23" s="456"/>
      <c r="S23" s="456"/>
      <c r="T23" s="456"/>
      <c r="U23" s="456"/>
      <c r="V23" s="456"/>
      <c r="W23" s="456"/>
      <c r="X23" s="456"/>
      <c r="Y23" s="456"/>
      <c r="Z23" s="456"/>
      <c r="AA23" s="456"/>
      <c r="AB23" s="456"/>
      <c r="AC23" s="456"/>
      <c r="AD23" s="456"/>
      <c r="AE23" s="456"/>
      <c r="AF23" s="456"/>
      <c r="AG23" s="456"/>
    </row>
    <row r="24" spans="2:34" ht="1.5" customHeight="1">
      <c r="C24" s="456"/>
      <c r="D24" s="454"/>
      <c r="E24" s="454"/>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row>
    <row r="25" spans="2:34" ht="1.5" customHeight="1">
      <c r="C25" s="456"/>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row>
    <row r="26" spans="2:34" ht="1.5" customHeight="1">
      <c r="C26" s="456"/>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row>
    <row r="27" spans="2:34" ht="1.5" customHeight="1">
      <c r="C27" s="456"/>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row>
    <row r="28" spans="2:34" ht="1.5" customHeight="1">
      <c r="C28" s="456"/>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row>
    <row r="29" spans="2:34" ht="1.5" customHeight="1">
      <c r="C29" s="456"/>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row>
    <row r="30" spans="2:34" ht="1.5" customHeight="1">
      <c r="C30" s="456"/>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row>
    <row r="31" spans="2:34" ht="1.5" customHeight="1">
      <c r="C31" s="456"/>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row>
    <row r="32" spans="2:34" ht="1.5" customHeight="1">
      <c r="C32" s="456"/>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row>
    <row r="33" spans="2:33" ht="1.5" customHeight="1">
      <c r="C33" s="456"/>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row>
    <row r="34" spans="2:33" ht="1.5" customHeight="1">
      <c r="C34" s="456"/>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row>
    <row r="35" spans="2:33" ht="1.5" customHeight="1">
      <c r="C35" s="456"/>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row>
    <row r="36" spans="2:33" ht="1.5" customHeight="1">
      <c r="C36" s="456"/>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row>
    <row r="37" spans="2:33" ht="1.5" customHeight="1">
      <c r="C37" s="456"/>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row>
    <row r="38" spans="2:33" ht="1.5" customHeight="1">
      <c r="C38" s="456"/>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row>
    <row r="39" spans="2:33" ht="1.5" customHeight="1">
      <c r="C39" s="456"/>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row>
    <row r="40" spans="2:33" ht="1.5" customHeight="1">
      <c r="C40" s="456"/>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row>
    <row r="41" spans="2:33" ht="1.5" customHeight="1">
      <c r="C41" s="456"/>
      <c r="D41" s="456"/>
      <c r="E41" s="456"/>
      <c r="F41" s="456"/>
      <c r="G41" s="456"/>
      <c r="H41" s="442"/>
      <c r="I41" s="442"/>
      <c r="J41" s="442"/>
      <c r="K41" s="456"/>
      <c r="L41" s="456"/>
      <c r="M41" s="456"/>
      <c r="N41" s="456"/>
      <c r="O41" s="456"/>
      <c r="P41" s="456"/>
      <c r="Q41" s="456"/>
      <c r="R41" s="456"/>
      <c r="S41" s="456"/>
      <c r="T41" s="456"/>
      <c r="U41" s="456"/>
      <c r="V41" s="456"/>
      <c r="W41" s="442"/>
      <c r="X41" s="442"/>
      <c r="Y41" s="442"/>
      <c r="Z41" s="442"/>
    </row>
    <row r="42" spans="2:33" ht="1.5" customHeight="1">
      <c r="C42" s="456"/>
      <c r="D42" s="456"/>
      <c r="E42" s="456"/>
      <c r="F42" s="456"/>
      <c r="G42" s="456"/>
      <c r="H42" s="442"/>
      <c r="I42" s="442"/>
      <c r="J42" s="442"/>
      <c r="K42" s="456"/>
      <c r="L42" s="456"/>
      <c r="M42" s="456"/>
      <c r="N42" s="456"/>
      <c r="O42" s="456"/>
      <c r="P42" s="456"/>
      <c r="Q42" s="456"/>
      <c r="R42" s="456"/>
      <c r="S42" s="456"/>
      <c r="T42" s="456"/>
      <c r="U42" s="456"/>
      <c r="V42" s="456"/>
      <c r="W42" s="442"/>
      <c r="X42" s="442"/>
      <c r="Y42" s="442"/>
      <c r="Z42" s="442"/>
    </row>
    <row r="43" spans="2:33" ht="1.5" customHeight="1">
      <c r="C43" s="457"/>
      <c r="D43" s="457"/>
      <c r="E43" s="457"/>
      <c r="F43" s="457"/>
      <c r="G43" s="457"/>
      <c r="H43" s="457"/>
      <c r="I43" s="457"/>
      <c r="J43" s="457"/>
      <c r="K43" s="457"/>
      <c r="L43" s="457"/>
      <c r="M43" s="457"/>
      <c r="N43" s="457"/>
      <c r="O43" s="457"/>
      <c r="P43" s="456"/>
      <c r="Q43" s="456"/>
      <c r="R43" s="456"/>
      <c r="S43" s="456"/>
      <c r="T43" s="456"/>
      <c r="U43" s="454"/>
      <c r="V43" s="454"/>
      <c r="W43" s="454"/>
      <c r="X43" s="454"/>
      <c r="Y43" s="454"/>
      <c r="Z43" s="455"/>
      <c r="AA43" s="454"/>
      <c r="AB43" s="454"/>
      <c r="AC43" s="454"/>
      <c r="AD43" s="442"/>
      <c r="AE43" s="442"/>
      <c r="AF43" s="442"/>
      <c r="AG43" s="442"/>
    </row>
    <row r="44" spans="2:33" ht="1.5" customHeight="1">
      <c r="C44" s="452"/>
      <c r="D44" s="453"/>
      <c r="E44" s="453"/>
      <c r="F44" s="451"/>
      <c r="G44" s="451"/>
      <c r="H44" s="451"/>
      <c r="I44" s="451"/>
      <c r="J44" s="451"/>
      <c r="K44" s="451"/>
      <c r="L44" s="451"/>
      <c r="M44" s="451"/>
      <c r="N44" s="451"/>
      <c r="O44" s="451"/>
      <c r="P44" s="451"/>
      <c r="Q44" s="451"/>
      <c r="R44" s="451"/>
      <c r="S44" s="451"/>
      <c r="T44" s="451"/>
      <c r="U44" s="451"/>
      <c r="V44" s="451"/>
      <c r="W44" s="451"/>
      <c r="X44" s="451"/>
      <c r="Y44" s="451"/>
      <c r="Z44" s="452"/>
      <c r="AA44" s="451"/>
      <c r="AB44" s="451"/>
      <c r="AC44" s="451"/>
      <c r="AD44" s="451"/>
      <c r="AE44" s="451"/>
      <c r="AF44" s="451"/>
      <c r="AG44" s="451"/>
    </row>
    <row r="45" spans="2:33" ht="1.5" customHeight="1">
      <c r="C45" s="452"/>
      <c r="D45" s="453"/>
      <c r="E45" s="453"/>
      <c r="F45" s="451"/>
      <c r="G45" s="451"/>
      <c r="H45" s="451"/>
      <c r="I45" s="451"/>
      <c r="J45" s="451"/>
      <c r="K45" s="451"/>
      <c r="L45" s="451"/>
      <c r="M45" s="451"/>
      <c r="N45" s="451"/>
      <c r="O45" s="451"/>
      <c r="P45" s="451"/>
      <c r="Q45" s="451"/>
      <c r="R45" s="451"/>
      <c r="S45" s="451"/>
      <c r="T45" s="451"/>
      <c r="U45" s="451"/>
      <c r="V45" s="451"/>
      <c r="W45" s="451"/>
      <c r="X45" s="451"/>
      <c r="Y45" s="451"/>
      <c r="Z45" s="452"/>
      <c r="AA45" s="451"/>
      <c r="AB45" s="451"/>
      <c r="AC45" s="451"/>
      <c r="AD45" s="451"/>
      <c r="AE45" s="451"/>
      <c r="AF45" s="451"/>
      <c r="AG45" s="451"/>
    </row>
    <row r="46" spans="2:33" ht="1.5" customHeight="1">
      <c r="C46" s="430"/>
    </row>
    <row r="47" spans="2:33" ht="1.5" customHeight="1">
      <c r="C47" s="430"/>
    </row>
    <row r="48" spans="2:33" ht="18.75" customHeight="1" thickBot="1">
      <c r="B48" s="441" t="s">
        <v>396</v>
      </c>
      <c r="C48" s="439"/>
      <c r="D48" s="439"/>
      <c r="E48" s="439"/>
      <c r="F48" s="439"/>
      <c r="G48" s="439"/>
      <c r="H48" s="439"/>
      <c r="I48" s="439"/>
      <c r="J48" s="439"/>
      <c r="K48" s="440"/>
      <c r="L48" s="440"/>
      <c r="M48" s="440"/>
      <c r="N48" s="439"/>
      <c r="O48" s="439"/>
      <c r="P48" s="439"/>
      <c r="Q48" s="439"/>
      <c r="R48" s="450"/>
      <c r="S48" s="439"/>
      <c r="T48" s="439"/>
      <c r="U48" s="440"/>
    </row>
    <row r="49" spans="2:21" ht="18.75" customHeight="1" thickBot="1">
      <c r="B49" s="441"/>
      <c r="C49" s="832" t="s">
        <v>395</v>
      </c>
      <c r="D49" s="833"/>
      <c r="E49" s="833"/>
      <c r="F49" s="833"/>
      <c r="G49" s="833"/>
      <c r="H49" s="833"/>
      <c r="I49" s="833"/>
      <c r="J49" s="833"/>
      <c r="K49" s="833"/>
      <c r="L49" s="833"/>
      <c r="M49" s="449"/>
      <c r="N49" s="448"/>
      <c r="O49" s="448"/>
      <c r="P49" s="447"/>
      <c r="Q49" s="439"/>
      <c r="R49" s="439"/>
      <c r="S49" s="439"/>
      <c r="T49" s="439"/>
      <c r="U49" s="440"/>
    </row>
    <row r="50" spans="2:21" ht="24" customHeight="1">
      <c r="B50" s="441"/>
      <c r="C50" s="832"/>
      <c r="D50" s="833"/>
      <c r="E50" s="833"/>
      <c r="F50" s="833"/>
      <c r="G50" s="833"/>
      <c r="H50" s="833"/>
      <c r="I50" s="833"/>
      <c r="J50" s="833"/>
      <c r="K50" s="833"/>
      <c r="L50" s="833"/>
      <c r="M50" s="834" t="s">
        <v>394</v>
      </c>
      <c r="N50" s="834"/>
      <c r="O50" s="834"/>
      <c r="P50" s="835"/>
      <c r="Q50" s="439"/>
      <c r="R50" s="439"/>
      <c r="S50" s="439"/>
      <c r="T50" s="439"/>
      <c r="U50" s="440"/>
    </row>
    <row r="51" spans="2:21" ht="18.75" customHeight="1" thickBot="1">
      <c r="B51" s="441"/>
      <c r="C51" s="826" t="str">
        <f>IF('0_基本情報'!$D$25='【リスト】 (2)'!$C$2,"適","否")</f>
        <v>否</v>
      </c>
      <c r="D51" s="826"/>
      <c r="E51" s="826"/>
      <c r="F51" s="827">
        <f>IF(C51="適",加算率b,0)</f>
        <v>0</v>
      </c>
      <c r="G51" s="827"/>
      <c r="H51" s="827"/>
      <c r="I51" s="827"/>
      <c r="J51" s="827"/>
      <c r="K51" s="827"/>
      <c r="L51" s="623" t="s">
        <v>393</v>
      </c>
      <c r="M51" s="828" t="str">
        <f>IF('0_基本情報'!$D$26='【リスト】 (2)'!$C$2,"区分３",IF('2_区分12加算額計算表'!$F$33=【リスト】!$C$2,"否",""))</f>
        <v/>
      </c>
      <c r="N51" s="828"/>
      <c r="O51" s="828"/>
      <c r="P51" s="829"/>
      <c r="Q51" s="439"/>
      <c r="R51" s="439"/>
      <c r="S51" s="439"/>
      <c r="T51" s="439"/>
      <c r="U51" s="440"/>
    </row>
    <row r="52" spans="2:21" ht="18.75" customHeight="1">
      <c r="B52" s="441"/>
      <c r="C52" s="446" t="s">
        <v>391</v>
      </c>
      <c r="D52" s="445" t="s">
        <v>392</v>
      </c>
      <c r="E52" s="624"/>
      <c r="F52" s="625"/>
      <c r="G52" s="626"/>
      <c r="H52" s="626"/>
      <c r="I52" s="626"/>
      <c r="J52" s="626"/>
      <c r="K52" s="626"/>
      <c r="L52" s="444"/>
      <c r="M52" s="624"/>
      <c r="N52" s="439"/>
      <c r="O52" s="439"/>
      <c r="P52" s="439"/>
      <c r="Q52" s="439"/>
      <c r="R52" s="439"/>
      <c r="S52" s="439"/>
      <c r="T52" s="439"/>
      <c r="U52" s="440"/>
    </row>
    <row r="53" spans="2:21" ht="18.75" customHeight="1">
      <c r="B53" s="441"/>
      <c r="C53" s="443" t="s">
        <v>391</v>
      </c>
      <c r="D53" s="429" t="s">
        <v>390</v>
      </c>
      <c r="E53" s="442"/>
      <c r="F53" s="442"/>
      <c r="G53" s="439"/>
      <c r="H53" s="439"/>
      <c r="I53" s="439"/>
      <c r="J53" s="439"/>
      <c r="K53" s="440"/>
      <c r="L53" s="440"/>
      <c r="M53" s="440"/>
      <c r="N53" s="439"/>
      <c r="O53" s="439"/>
      <c r="P53" s="439"/>
      <c r="Q53" s="439"/>
      <c r="R53" s="439"/>
      <c r="S53" s="439"/>
      <c r="T53" s="439"/>
      <c r="U53" s="440"/>
    </row>
    <row r="54" spans="2:21" ht="18.75" customHeight="1">
      <c r="B54" s="441"/>
      <c r="C54" s="443"/>
      <c r="D54" s="429"/>
      <c r="E54" s="442"/>
      <c r="F54" s="442"/>
      <c r="G54" s="439"/>
      <c r="H54" s="439"/>
      <c r="I54" s="439"/>
      <c r="J54" s="439"/>
      <c r="K54" s="440"/>
      <c r="L54" s="440"/>
      <c r="M54" s="440"/>
      <c r="N54" s="439"/>
      <c r="O54" s="439"/>
      <c r="P54" s="439"/>
      <c r="Q54" s="439"/>
      <c r="R54" s="439"/>
      <c r="S54" s="439"/>
      <c r="T54" s="439"/>
      <c r="U54" s="440"/>
    </row>
    <row r="55" spans="2:21" ht="18.75" customHeight="1">
      <c r="B55" s="441"/>
      <c r="C55" s="443"/>
      <c r="D55" s="429"/>
      <c r="E55" s="442"/>
      <c r="F55" s="442"/>
      <c r="G55" s="439"/>
      <c r="H55" s="439"/>
      <c r="I55" s="439"/>
      <c r="J55" s="439"/>
      <c r="K55" s="440"/>
      <c r="L55" s="440"/>
      <c r="M55" s="440"/>
      <c r="N55" s="439"/>
      <c r="O55" s="439"/>
      <c r="P55" s="439"/>
      <c r="Q55" s="439"/>
      <c r="R55" s="439"/>
      <c r="S55" s="439"/>
      <c r="T55" s="439"/>
      <c r="U55" s="440"/>
    </row>
  </sheetData>
  <sheetProtection algorithmName="SHA-512" hashValue="AsVP2nEUylHaeXBWsGG9udm4Psz/HxNnWiIFSAQuB63z6nrsLvxXlUWi3+wC4o4b3xMS8/7wZUeJo7ObpkXu9w==" saltValue="IWyhBp/q7GXW3t4/QkBOuw==" spinCount="100000" sheet="1" insertRows="0"/>
  <mergeCells count="18">
    <mergeCell ref="B2:AG2"/>
    <mergeCell ref="F5:L5"/>
    <mergeCell ref="O7:T7"/>
    <mergeCell ref="U7:AG7"/>
    <mergeCell ref="U10:AG10"/>
    <mergeCell ref="O8:T8"/>
    <mergeCell ref="U8:AG8"/>
    <mergeCell ref="O9:T9"/>
    <mergeCell ref="U9:AG9"/>
    <mergeCell ref="O10:T10"/>
    <mergeCell ref="C51:E51"/>
    <mergeCell ref="F51:K51"/>
    <mergeCell ref="M51:P51"/>
    <mergeCell ref="C15:L16"/>
    <mergeCell ref="C49:L50"/>
    <mergeCell ref="M50:P50"/>
    <mergeCell ref="C17:E17"/>
    <mergeCell ref="F17:K17"/>
  </mergeCells>
  <phoneticPr fontId="4"/>
  <dataValidations count="2">
    <dataValidation type="list" allowBlank="1" showInputMessage="1" showErrorMessage="1" sqref="C17:E17 C51:E51" xr:uid="{E02821F2-C733-4BB4-9001-634D7F17A89C}">
      <formula1>"適,否"</formula1>
    </dataValidation>
    <dataValidation type="list" allowBlank="1" showInputMessage="1" showErrorMessage="1" sqref="C52"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28C4-90A0-4D91-8D6B-A71692E942AD}">
  <sheetPr>
    <pageSetUpPr fitToPage="1"/>
  </sheetPr>
  <dimension ref="B1:AM29"/>
  <sheetViews>
    <sheetView showGridLines="0" view="pageBreakPreview" zoomScale="85" zoomScaleNormal="100" zoomScaleSheetLayoutView="85" workbookViewId="0">
      <selection activeCell="V11" sqref="V11:AH11"/>
    </sheetView>
  </sheetViews>
  <sheetFormatPr defaultColWidth="9" defaultRowHeight="18" customHeight="1"/>
  <cols>
    <col min="1" max="1" width="2.5" style="427" customWidth="1"/>
    <col min="2" max="34" width="3" style="427" customWidth="1"/>
    <col min="35" max="35" width="2.5" style="427" customWidth="1"/>
    <col min="36" max="38" width="3" style="427" customWidth="1"/>
    <col min="39" max="39" width="13" style="427" hidden="1" customWidth="1"/>
    <col min="40" max="47" width="3" style="427" customWidth="1"/>
    <col min="48" max="16384" width="9" style="427"/>
  </cols>
  <sheetData>
    <row r="1" spans="2:34" ht="18" customHeight="1">
      <c r="B1" s="470" t="s">
        <v>436</v>
      </c>
    </row>
    <row r="2" spans="2:34" ht="18" customHeight="1">
      <c r="B2" s="836" t="str">
        <f>様式1!$AQ$1&amp;様式1!$AQ$2&amp;"年度キャリアパス要件届出書"</f>
        <v>令和７年度キャリアパス要件届出書</v>
      </c>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row>
    <row r="3" spans="2:34" ht="18" customHeight="1">
      <c r="B3" s="847" t="s">
        <v>435</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row>
    <row r="4" spans="2:34" ht="18" customHeight="1">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row>
    <row r="5" spans="2:34" ht="18" customHeight="1">
      <c r="F5" s="464"/>
      <c r="G5" s="464"/>
      <c r="M5" s="464"/>
      <c r="N5" s="464"/>
      <c r="O5" s="464"/>
    </row>
    <row r="6" spans="2:34" ht="17.25" customHeight="1">
      <c r="F6" s="837" t="s">
        <v>407</v>
      </c>
      <c r="G6" s="837"/>
      <c r="H6" s="837"/>
      <c r="I6" s="837"/>
      <c r="J6" s="837"/>
      <c r="K6" s="837"/>
      <c r="L6" s="837"/>
      <c r="M6" s="464"/>
      <c r="N6" s="464"/>
      <c r="O6" s="464"/>
    </row>
    <row r="7" spans="2:34" ht="17.25" customHeight="1" thickBot="1">
      <c r="F7" s="464"/>
      <c r="G7" s="464"/>
      <c r="H7" s="464"/>
      <c r="I7" s="464"/>
      <c r="J7" s="464"/>
      <c r="K7" s="464"/>
      <c r="L7" s="464"/>
      <c r="M7" s="464"/>
      <c r="N7" s="464"/>
      <c r="O7" s="464"/>
      <c r="V7" s="465"/>
      <c r="W7" s="465"/>
      <c r="X7" s="465"/>
      <c r="Y7" s="465"/>
      <c r="Z7" s="465"/>
      <c r="AA7" s="465"/>
      <c r="AB7" s="465"/>
      <c r="AC7" s="465"/>
      <c r="AD7" s="465"/>
      <c r="AE7" s="465"/>
      <c r="AF7" s="465"/>
      <c r="AG7" s="465"/>
      <c r="AH7" s="465"/>
    </row>
    <row r="8" spans="2:34" ht="17.25" customHeight="1">
      <c r="D8" s="464"/>
      <c r="E8" s="464"/>
      <c r="F8" s="464"/>
      <c r="G8" s="464"/>
      <c r="H8" s="464"/>
      <c r="I8" s="464"/>
      <c r="J8" s="464"/>
      <c r="K8" s="464"/>
      <c r="L8" s="464"/>
      <c r="M8" s="464"/>
      <c r="N8" s="464"/>
      <c r="P8" s="838" t="s">
        <v>406</v>
      </c>
      <c r="Q8" s="869"/>
      <c r="R8" s="869"/>
      <c r="S8" s="869"/>
      <c r="T8" s="869"/>
      <c r="U8" s="869"/>
      <c r="V8" s="870" t="str">
        <f>様式1!U7</f>
        <v>京都市</v>
      </c>
      <c r="W8" s="871"/>
      <c r="X8" s="871"/>
      <c r="Y8" s="871"/>
      <c r="Z8" s="871"/>
      <c r="AA8" s="871"/>
      <c r="AB8" s="871"/>
      <c r="AC8" s="871"/>
      <c r="AD8" s="871"/>
      <c r="AE8" s="871"/>
      <c r="AF8" s="871"/>
      <c r="AG8" s="871"/>
      <c r="AH8" s="872"/>
    </row>
    <row r="9" spans="2:34" ht="17.25" customHeight="1">
      <c r="D9" s="464"/>
      <c r="E9" s="464"/>
      <c r="F9" s="464"/>
      <c r="G9" s="464"/>
      <c r="H9" s="464"/>
      <c r="I9" s="464"/>
      <c r="J9" s="464"/>
      <c r="K9" s="464"/>
      <c r="L9" s="464"/>
      <c r="M9" s="464"/>
      <c r="N9" s="464"/>
      <c r="P9" s="843" t="s">
        <v>404</v>
      </c>
      <c r="Q9" s="879"/>
      <c r="R9" s="879"/>
      <c r="S9" s="879"/>
      <c r="T9" s="879"/>
      <c r="U9" s="879"/>
      <c r="V9" s="885">
        <f>様式1!U8</f>
        <v>0</v>
      </c>
      <c r="W9" s="886"/>
      <c r="X9" s="886"/>
      <c r="Y9" s="886"/>
      <c r="Z9" s="886"/>
      <c r="AA9" s="886"/>
      <c r="AB9" s="886"/>
      <c r="AC9" s="886"/>
      <c r="AD9" s="886"/>
      <c r="AE9" s="886"/>
      <c r="AF9" s="886"/>
      <c r="AG9" s="886"/>
      <c r="AH9" s="887"/>
    </row>
    <row r="10" spans="2:34" ht="17.25" customHeight="1">
      <c r="D10" s="464"/>
      <c r="E10" s="464"/>
      <c r="F10" s="464"/>
      <c r="G10" s="464"/>
      <c r="H10" s="464"/>
      <c r="I10" s="464"/>
      <c r="J10" s="464"/>
      <c r="K10" s="464"/>
      <c r="L10" s="464"/>
      <c r="M10" s="464"/>
      <c r="N10" s="464"/>
      <c r="P10" s="843" t="s">
        <v>403</v>
      </c>
      <c r="Q10" s="879"/>
      <c r="R10" s="879"/>
      <c r="S10" s="879"/>
      <c r="T10" s="879"/>
      <c r="U10" s="879"/>
      <c r="V10" s="885">
        <f>様式1!U9</f>
        <v>0</v>
      </c>
      <c r="W10" s="886"/>
      <c r="X10" s="886"/>
      <c r="Y10" s="886"/>
      <c r="Z10" s="886"/>
      <c r="AA10" s="886"/>
      <c r="AB10" s="886"/>
      <c r="AC10" s="886"/>
      <c r="AD10" s="886"/>
      <c r="AE10" s="886"/>
      <c r="AF10" s="886"/>
      <c r="AG10" s="886"/>
      <c r="AH10" s="887"/>
    </row>
    <row r="11" spans="2:34" ht="17.25" customHeight="1" thickBot="1">
      <c r="D11" s="464"/>
      <c r="E11" s="464"/>
      <c r="F11" s="464"/>
      <c r="G11" s="464"/>
      <c r="H11" s="464"/>
      <c r="I11" s="464"/>
      <c r="J11" s="464"/>
      <c r="K11" s="464"/>
      <c r="L11" s="464"/>
      <c r="M11" s="464"/>
      <c r="N11" s="464"/>
      <c r="O11" s="464"/>
      <c r="P11" s="846" t="s">
        <v>434</v>
      </c>
      <c r="Q11" s="888"/>
      <c r="R11" s="888"/>
      <c r="S11" s="888"/>
      <c r="T11" s="888"/>
      <c r="U11" s="888"/>
      <c r="V11" s="882">
        <f>様式1!U10</f>
        <v>0</v>
      </c>
      <c r="W11" s="883"/>
      <c r="X11" s="883"/>
      <c r="Y11" s="883"/>
      <c r="Z11" s="883"/>
      <c r="AA11" s="883"/>
      <c r="AB11" s="883"/>
      <c r="AC11" s="883"/>
      <c r="AD11" s="883"/>
      <c r="AE11" s="883"/>
      <c r="AF11" s="883"/>
      <c r="AG11" s="883"/>
      <c r="AH11" s="884"/>
    </row>
    <row r="12" spans="2:34" ht="18" customHeight="1">
      <c r="R12" s="432"/>
      <c r="S12" s="432"/>
      <c r="T12" s="432"/>
      <c r="U12" s="432"/>
      <c r="V12" s="432"/>
      <c r="W12" s="432"/>
      <c r="X12" s="432"/>
      <c r="Y12" s="432"/>
    </row>
    <row r="13" spans="2:34" ht="21.75" customHeight="1">
      <c r="B13" s="427" t="s">
        <v>433</v>
      </c>
    </row>
    <row r="14" spans="2:34" ht="9" customHeight="1"/>
    <row r="15" spans="2:34" ht="18.75" customHeight="1" thickBot="1">
      <c r="C15" s="427" t="s">
        <v>432</v>
      </c>
    </row>
    <row r="16" spans="2:34" ht="24" customHeight="1" thickTop="1" thickBot="1">
      <c r="C16" s="850" t="s">
        <v>431</v>
      </c>
      <c r="D16" s="481" t="s">
        <v>430</v>
      </c>
      <c r="E16" s="481"/>
      <c r="F16" s="481"/>
      <c r="G16" s="481"/>
      <c r="H16" s="481"/>
      <c r="I16" s="481"/>
      <c r="J16" s="481"/>
      <c r="K16" s="481"/>
      <c r="L16" s="481"/>
      <c r="M16" s="481"/>
      <c r="N16" s="481"/>
      <c r="O16" s="481"/>
      <c r="P16" s="481"/>
      <c r="Q16" s="481"/>
      <c r="R16" s="481"/>
      <c r="S16" s="481"/>
      <c r="T16" s="481"/>
      <c r="U16" s="481"/>
      <c r="V16" s="481"/>
      <c r="W16" s="481"/>
      <c r="X16" s="481"/>
      <c r="Y16" s="481"/>
      <c r="Z16" s="481"/>
      <c r="AA16" s="480"/>
      <c r="AB16" s="889"/>
      <c r="AC16" s="890"/>
      <c r="AD16" s="890"/>
      <c r="AE16" s="890"/>
      <c r="AF16" s="890"/>
      <c r="AG16" s="890"/>
      <c r="AH16" s="891"/>
    </row>
    <row r="17" spans="3:39" ht="17.25" customHeight="1" thickTop="1">
      <c r="C17" s="851"/>
      <c r="D17" s="479" t="s">
        <v>429</v>
      </c>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42"/>
      <c r="AC17" s="442"/>
      <c r="AD17" s="442"/>
      <c r="AE17" s="442"/>
      <c r="AF17" s="442"/>
      <c r="AG17" s="442"/>
      <c r="AH17" s="477"/>
    </row>
    <row r="18" spans="3:39" ht="18" customHeight="1">
      <c r="C18" s="851"/>
      <c r="D18" s="462" t="s">
        <v>428</v>
      </c>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77"/>
      <c r="AM18" s="427" t="s">
        <v>427</v>
      </c>
    </row>
    <row r="19" spans="3:39" ht="18" customHeight="1" thickBot="1">
      <c r="C19" s="852"/>
      <c r="D19" s="476" t="s">
        <v>426</v>
      </c>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4"/>
      <c r="AC19" s="474"/>
      <c r="AD19" s="474"/>
      <c r="AE19" s="474"/>
      <c r="AF19" s="474"/>
      <c r="AG19" s="474"/>
      <c r="AH19" s="473"/>
      <c r="AM19" s="427" t="s">
        <v>425</v>
      </c>
    </row>
    <row r="20" spans="3:39" ht="24" customHeight="1" thickTop="1" thickBot="1">
      <c r="C20" s="853" t="s">
        <v>424</v>
      </c>
      <c r="D20" s="864" t="s">
        <v>423</v>
      </c>
      <c r="E20" s="865"/>
      <c r="F20" s="865"/>
      <c r="G20" s="865"/>
      <c r="H20" s="865"/>
      <c r="I20" s="865"/>
      <c r="J20" s="865"/>
      <c r="K20" s="865"/>
      <c r="L20" s="865"/>
      <c r="M20" s="865"/>
      <c r="N20" s="865"/>
      <c r="O20" s="865"/>
      <c r="P20" s="865"/>
      <c r="Q20" s="865"/>
      <c r="R20" s="865"/>
      <c r="S20" s="865"/>
      <c r="T20" s="865"/>
      <c r="U20" s="865"/>
      <c r="V20" s="865"/>
      <c r="W20" s="865"/>
      <c r="X20" s="865"/>
      <c r="Y20" s="865"/>
      <c r="Z20" s="865"/>
      <c r="AA20" s="866"/>
      <c r="AB20" s="889"/>
      <c r="AC20" s="890"/>
      <c r="AD20" s="890"/>
      <c r="AE20" s="890"/>
      <c r="AF20" s="890"/>
      <c r="AG20" s="890"/>
      <c r="AH20" s="891"/>
    </row>
    <row r="21" spans="3:39" ht="47.25" customHeight="1" thickTop="1">
      <c r="C21" s="854"/>
      <c r="D21" s="472" t="s">
        <v>422</v>
      </c>
      <c r="E21" s="849" t="s">
        <v>421</v>
      </c>
      <c r="F21" s="849"/>
      <c r="G21" s="849"/>
      <c r="H21" s="849"/>
      <c r="I21" s="849"/>
      <c r="J21" s="849"/>
      <c r="K21" s="849"/>
      <c r="L21" s="893"/>
      <c r="M21" s="894"/>
      <c r="N21" s="894"/>
      <c r="O21" s="894"/>
      <c r="P21" s="894"/>
      <c r="Q21" s="894"/>
      <c r="R21" s="894"/>
      <c r="S21" s="894"/>
      <c r="T21" s="894"/>
      <c r="U21" s="894"/>
      <c r="V21" s="894"/>
      <c r="W21" s="894"/>
      <c r="X21" s="894"/>
      <c r="Y21" s="894"/>
      <c r="Z21" s="894"/>
      <c r="AA21" s="894"/>
      <c r="AB21" s="894"/>
      <c r="AC21" s="894"/>
      <c r="AD21" s="894"/>
      <c r="AE21" s="894"/>
      <c r="AF21" s="894"/>
      <c r="AG21" s="894"/>
      <c r="AH21" s="895"/>
    </row>
    <row r="22" spans="3:39" ht="30" customHeight="1">
      <c r="C22" s="854"/>
      <c r="D22" s="862" t="s">
        <v>420</v>
      </c>
      <c r="E22" s="860" t="s">
        <v>419</v>
      </c>
      <c r="F22" s="860"/>
      <c r="G22" s="860"/>
      <c r="H22" s="860"/>
      <c r="I22" s="860"/>
      <c r="J22" s="860"/>
      <c r="K22" s="860"/>
      <c r="L22" s="471" t="s">
        <v>418</v>
      </c>
      <c r="M22" s="856" t="s">
        <v>417</v>
      </c>
      <c r="N22" s="856"/>
      <c r="O22" s="856"/>
      <c r="P22" s="856"/>
      <c r="Q22" s="856"/>
      <c r="R22" s="856"/>
      <c r="S22" s="856"/>
      <c r="T22" s="856"/>
      <c r="U22" s="856"/>
      <c r="V22" s="856"/>
      <c r="W22" s="856"/>
      <c r="X22" s="856"/>
      <c r="Y22" s="856"/>
      <c r="Z22" s="856"/>
      <c r="AA22" s="856"/>
      <c r="AB22" s="856"/>
      <c r="AC22" s="856"/>
      <c r="AD22" s="856"/>
      <c r="AE22" s="856"/>
      <c r="AF22" s="856"/>
      <c r="AG22" s="856"/>
      <c r="AH22" s="857"/>
    </row>
    <row r="23" spans="3:39" ht="18" customHeight="1">
      <c r="C23" s="854"/>
      <c r="D23" s="862"/>
      <c r="E23" s="860"/>
      <c r="F23" s="860"/>
      <c r="G23" s="860"/>
      <c r="H23" s="860"/>
      <c r="I23" s="860"/>
      <c r="J23" s="860"/>
      <c r="K23" s="860"/>
      <c r="L23" s="867" t="s">
        <v>416</v>
      </c>
      <c r="M23" s="875" t="s">
        <v>415</v>
      </c>
      <c r="N23" s="876"/>
      <c r="O23" s="876"/>
      <c r="P23" s="876"/>
      <c r="Q23" s="876"/>
      <c r="R23" s="876"/>
      <c r="S23" s="876"/>
      <c r="T23" s="876"/>
      <c r="U23" s="876"/>
      <c r="V23" s="876"/>
      <c r="W23" s="876"/>
      <c r="X23" s="876"/>
      <c r="Y23" s="876"/>
      <c r="Z23" s="876"/>
      <c r="AA23" s="876"/>
      <c r="AB23" s="876"/>
      <c r="AC23" s="876"/>
      <c r="AD23" s="876"/>
      <c r="AE23" s="876"/>
      <c r="AF23" s="876"/>
      <c r="AG23" s="876"/>
      <c r="AH23" s="877"/>
    </row>
    <row r="24" spans="3:39" ht="47.25" customHeight="1" thickBot="1">
      <c r="C24" s="855"/>
      <c r="D24" s="863"/>
      <c r="E24" s="861"/>
      <c r="F24" s="861"/>
      <c r="G24" s="861"/>
      <c r="H24" s="861"/>
      <c r="I24" s="861"/>
      <c r="J24" s="861"/>
      <c r="K24" s="861"/>
      <c r="L24" s="868"/>
      <c r="M24" s="858"/>
      <c r="N24" s="858"/>
      <c r="O24" s="858"/>
      <c r="P24" s="858"/>
      <c r="Q24" s="858"/>
      <c r="R24" s="858"/>
      <c r="S24" s="858"/>
      <c r="T24" s="858"/>
      <c r="U24" s="858"/>
      <c r="V24" s="858"/>
      <c r="W24" s="858"/>
      <c r="X24" s="858"/>
      <c r="Y24" s="858"/>
      <c r="Z24" s="858"/>
      <c r="AA24" s="858"/>
      <c r="AB24" s="858"/>
      <c r="AC24" s="858"/>
      <c r="AD24" s="858"/>
      <c r="AE24" s="858"/>
      <c r="AF24" s="858"/>
      <c r="AG24" s="858"/>
      <c r="AH24" s="859"/>
    </row>
    <row r="25" spans="3:39" ht="18" customHeight="1">
      <c r="C25" s="427" t="s">
        <v>414</v>
      </c>
    </row>
    <row r="27" spans="3:39" ht="18" customHeight="1">
      <c r="Q27" s="892" t="s">
        <v>413</v>
      </c>
      <c r="R27" s="892"/>
      <c r="S27" s="892"/>
      <c r="T27" s="892"/>
      <c r="U27" s="892"/>
      <c r="V27" s="892"/>
      <c r="W27" s="892"/>
      <c r="X27" s="892"/>
      <c r="Y27" s="878"/>
      <c r="Z27" s="847"/>
      <c r="AA27" s="847"/>
      <c r="AB27" s="847"/>
      <c r="AC27" s="847"/>
      <c r="AD27" s="847"/>
      <c r="AE27" s="847"/>
      <c r="AF27" s="847"/>
      <c r="AG27" s="847"/>
      <c r="AH27" s="847"/>
    </row>
    <row r="28" spans="3:39" ht="18" customHeight="1">
      <c r="S28" s="880" t="s">
        <v>412</v>
      </c>
      <c r="T28" s="880"/>
      <c r="U28" s="880"/>
      <c r="V28" s="880"/>
      <c r="W28" s="880"/>
      <c r="X28" s="880"/>
      <c r="Y28" s="881"/>
      <c r="Z28" s="881"/>
      <c r="AA28" s="881"/>
      <c r="AB28" s="881"/>
      <c r="AC28" s="881"/>
      <c r="AD28" s="881"/>
      <c r="AE28" s="881"/>
      <c r="AF28" s="881"/>
      <c r="AG28" s="881"/>
      <c r="AH28" s="881"/>
    </row>
    <row r="29" spans="3:39" ht="18" customHeight="1">
      <c r="S29" s="873" t="s">
        <v>411</v>
      </c>
      <c r="T29" s="873"/>
      <c r="U29" s="873"/>
      <c r="V29" s="873"/>
      <c r="W29" s="873"/>
      <c r="X29" s="873"/>
      <c r="Y29" s="874"/>
      <c r="Z29" s="874"/>
      <c r="AA29" s="874"/>
      <c r="AB29" s="874"/>
      <c r="AC29" s="874"/>
      <c r="AD29" s="874"/>
      <c r="AE29" s="874"/>
      <c r="AF29" s="874"/>
      <c r="AG29" s="874"/>
      <c r="AH29" s="874"/>
    </row>
  </sheetData>
  <sheetProtection algorithmName="SHA-512" hashValue="N3LpdjoFpl7pb9tXPQbojurbOjAecIAxSiVb9FDd+tLxb7uuH+HsiKy+pmILwVoG3gdtu4rHMV6TgVxyCN/dRQ==" saltValue="NIevDS38l70bRp4IDll8wQ==" spinCount="100000" sheet="1" insertRows="0"/>
  <mergeCells count="30">
    <mergeCell ref="S29:X29"/>
    <mergeCell ref="Y29:AH29"/>
    <mergeCell ref="M23:AH23"/>
    <mergeCell ref="Y27:AH27"/>
    <mergeCell ref="P9:U9"/>
    <mergeCell ref="S28:X28"/>
    <mergeCell ref="Y28:AH28"/>
    <mergeCell ref="V11:AH11"/>
    <mergeCell ref="V9:AH9"/>
    <mergeCell ref="P11:U11"/>
    <mergeCell ref="P10:U10"/>
    <mergeCell ref="V10:AH10"/>
    <mergeCell ref="AB20:AH20"/>
    <mergeCell ref="Q27:X27"/>
    <mergeCell ref="AB16:AH16"/>
    <mergeCell ref="L21:AH21"/>
    <mergeCell ref="B3:AH3"/>
    <mergeCell ref="B2:AH2"/>
    <mergeCell ref="E21:K21"/>
    <mergeCell ref="C16:C19"/>
    <mergeCell ref="C20:C24"/>
    <mergeCell ref="M22:AH22"/>
    <mergeCell ref="M24:AH24"/>
    <mergeCell ref="E22:K24"/>
    <mergeCell ref="D22:D24"/>
    <mergeCell ref="D20:AA20"/>
    <mergeCell ref="F6:L6"/>
    <mergeCell ref="L23:L24"/>
    <mergeCell ref="P8:U8"/>
    <mergeCell ref="V8:AH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9"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A68F-110B-4697-B4BE-97980E73F69B}">
  <sheetPr>
    <pageSetUpPr fitToPage="1"/>
  </sheetPr>
  <dimension ref="A1:AN103"/>
  <sheetViews>
    <sheetView showGridLines="0" view="pageBreakPreview" zoomScale="85" zoomScaleNormal="100" zoomScaleSheetLayoutView="85" workbookViewId="0">
      <selection activeCell="AS8" sqref="AS8"/>
    </sheetView>
  </sheetViews>
  <sheetFormatPr defaultColWidth="9" defaultRowHeight="18" customHeight="1"/>
  <cols>
    <col min="1" max="1" width="1.375" style="427" customWidth="1"/>
    <col min="2" max="23" width="3" style="427" customWidth="1"/>
    <col min="24" max="24" width="3.875" style="427" customWidth="1"/>
    <col min="25" max="33" width="3" style="427" customWidth="1"/>
    <col min="34" max="34" width="1.375" style="427" customWidth="1"/>
    <col min="35" max="36" width="3.375" style="427" customWidth="1"/>
    <col min="37" max="37" width="3.375" style="427" hidden="1" customWidth="1"/>
    <col min="38" max="38" width="7.5" style="427" hidden="1" customWidth="1"/>
    <col min="39" max="52" width="3.375" style="427" customWidth="1"/>
    <col min="53" max="16384" width="9" style="427"/>
  </cols>
  <sheetData>
    <row r="1" spans="2:40" ht="12.75" customHeight="1">
      <c r="R1" s="505"/>
      <c r="AK1" s="427" t="s">
        <v>480</v>
      </c>
      <c r="AL1" s="427" t="s">
        <v>479</v>
      </c>
    </row>
    <row r="2" spans="2:40" ht="18" customHeight="1">
      <c r="B2" s="470" t="s">
        <v>478</v>
      </c>
      <c r="AL2" s="427" t="s">
        <v>477</v>
      </c>
    </row>
    <row r="3" spans="2:40" ht="18" customHeight="1">
      <c r="B3" s="1065" t="str">
        <f>様式1!$AQ$1&amp;様式1!$AQ$2&amp;"年度加算算定対象人数等認定申請書（区分３（質の向上分））"</f>
        <v>令和７年度加算算定対象人数等認定申請書（区分３（質の向上分））</v>
      </c>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row>
    <row r="4" spans="2:40" ht="18" customHeight="1">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row>
    <row r="5" spans="2:40" ht="17.25" customHeight="1">
      <c r="E5" s="464"/>
      <c r="F5" s="464"/>
      <c r="L5" s="464"/>
      <c r="M5" s="464"/>
      <c r="N5" s="464"/>
      <c r="O5" s="464"/>
    </row>
    <row r="6" spans="2:40" ht="17.25" customHeight="1">
      <c r="E6" s="837" t="s">
        <v>407</v>
      </c>
      <c r="F6" s="837"/>
      <c r="G6" s="837"/>
      <c r="H6" s="837"/>
      <c r="I6" s="837"/>
      <c r="J6" s="837"/>
      <c r="K6" s="837"/>
      <c r="L6" s="464"/>
      <c r="M6" s="464"/>
      <c r="N6" s="464"/>
    </row>
    <row r="7" spans="2:40" ht="17.25" customHeight="1" thickBot="1">
      <c r="E7" s="464"/>
      <c r="F7" s="464"/>
      <c r="G7" s="464"/>
      <c r="H7" s="464"/>
      <c r="I7" s="464"/>
      <c r="J7" s="464"/>
      <c r="K7" s="464"/>
      <c r="L7" s="464"/>
      <c r="M7" s="464"/>
      <c r="N7" s="464"/>
      <c r="O7" s="464"/>
      <c r="U7" s="465"/>
      <c r="V7" s="465"/>
      <c r="W7" s="465"/>
      <c r="X7" s="465"/>
      <c r="Y7" s="465"/>
      <c r="Z7" s="465"/>
      <c r="AA7" s="465"/>
      <c r="AB7" s="465"/>
      <c r="AC7" s="465"/>
      <c r="AD7" s="465"/>
      <c r="AE7" s="465"/>
      <c r="AF7" s="465"/>
      <c r="AG7" s="465"/>
    </row>
    <row r="8" spans="2:40" ht="17.25" customHeight="1">
      <c r="E8" s="464"/>
      <c r="F8" s="464"/>
      <c r="N8" s="464"/>
      <c r="O8" s="838" t="s">
        <v>406</v>
      </c>
      <c r="P8" s="869"/>
      <c r="Q8" s="869"/>
      <c r="R8" s="869"/>
      <c r="S8" s="869"/>
      <c r="T8" s="869"/>
      <c r="U8" s="1066" t="str">
        <f>様式1!U7</f>
        <v>京都市</v>
      </c>
      <c r="V8" s="1066"/>
      <c r="W8" s="1066"/>
      <c r="X8" s="1066"/>
      <c r="Y8" s="1066"/>
      <c r="Z8" s="1066"/>
      <c r="AA8" s="1066"/>
      <c r="AB8" s="1066"/>
      <c r="AC8" s="1066"/>
      <c r="AD8" s="1066"/>
      <c r="AE8" s="1066"/>
      <c r="AF8" s="1066"/>
      <c r="AG8" s="1067"/>
    </row>
    <row r="9" spans="2:40" ht="17.25" customHeight="1">
      <c r="E9" s="464"/>
      <c r="F9" s="464"/>
      <c r="N9" s="464"/>
      <c r="O9" s="843" t="s">
        <v>404</v>
      </c>
      <c r="P9" s="879"/>
      <c r="Q9" s="879"/>
      <c r="R9" s="879"/>
      <c r="S9" s="879"/>
      <c r="T9" s="879"/>
      <c r="U9" s="1068">
        <f>様式1!U8</f>
        <v>0</v>
      </c>
      <c r="V9" s="1068"/>
      <c r="W9" s="1068"/>
      <c r="X9" s="1068"/>
      <c r="Y9" s="1068"/>
      <c r="Z9" s="1068"/>
      <c r="AA9" s="1068"/>
      <c r="AB9" s="1068"/>
      <c r="AC9" s="1068"/>
      <c r="AD9" s="1068"/>
      <c r="AE9" s="1068"/>
      <c r="AF9" s="1068"/>
      <c r="AG9" s="1069"/>
    </row>
    <row r="10" spans="2:40" ht="17.25" customHeight="1">
      <c r="E10" s="464"/>
      <c r="F10" s="464"/>
      <c r="N10" s="464"/>
      <c r="O10" s="843" t="s">
        <v>403</v>
      </c>
      <c r="P10" s="879"/>
      <c r="Q10" s="879"/>
      <c r="R10" s="879"/>
      <c r="S10" s="879"/>
      <c r="T10" s="879"/>
      <c r="U10" s="1068">
        <f>様式1!U9</f>
        <v>0</v>
      </c>
      <c r="V10" s="1068"/>
      <c r="W10" s="1068"/>
      <c r="X10" s="1068"/>
      <c r="Y10" s="1068"/>
      <c r="Z10" s="1068"/>
      <c r="AA10" s="1068"/>
      <c r="AB10" s="1068"/>
      <c r="AC10" s="1068"/>
      <c r="AD10" s="1068"/>
      <c r="AE10" s="1068"/>
      <c r="AF10" s="1068"/>
      <c r="AG10" s="1069"/>
    </row>
    <row r="11" spans="2:40" ht="17.25" customHeight="1" thickBot="1">
      <c r="E11" s="464"/>
      <c r="F11" s="464"/>
      <c r="N11" s="464"/>
      <c r="O11" s="846" t="s">
        <v>434</v>
      </c>
      <c r="P11" s="888"/>
      <c r="Q11" s="888"/>
      <c r="R11" s="888"/>
      <c r="S11" s="888"/>
      <c r="T11" s="888"/>
      <c r="U11" s="1051">
        <f>様式1!U10</f>
        <v>0</v>
      </c>
      <c r="V11" s="1052"/>
      <c r="W11" s="1052"/>
      <c r="X11" s="1052"/>
      <c r="Y11" s="1052"/>
      <c r="Z11" s="1052"/>
      <c r="AA11" s="1052"/>
      <c r="AB11" s="1052"/>
      <c r="AC11" s="1052"/>
      <c r="AD11" s="1052"/>
      <c r="AE11" s="1052"/>
      <c r="AF11" s="1052"/>
      <c r="AG11" s="1053"/>
    </row>
    <row r="12" spans="2:40" ht="18" customHeight="1">
      <c r="O12" s="442"/>
      <c r="P12" s="442"/>
      <c r="Q12" s="442"/>
      <c r="R12" s="442"/>
      <c r="S12" s="442"/>
      <c r="T12" s="442"/>
      <c r="U12" s="503"/>
      <c r="V12" s="503"/>
      <c r="W12" s="503"/>
      <c r="X12" s="503"/>
      <c r="Y12" s="503"/>
      <c r="Z12" s="503"/>
      <c r="AA12" s="503"/>
      <c r="AB12" s="503"/>
      <c r="AC12" s="503"/>
      <c r="AD12" s="503"/>
      <c r="AE12" s="503"/>
      <c r="AF12" s="503"/>
      <c r="AG12" s="503"/>
    </row>
    <row r="13" spans="2:40" ht="18" customHeight="1">
      <c r="O13" s="504"/>
      <c r="P13" s="504"/>
      <c r="Q13" s="504"/>
      <c r="R13" s="504"/>
      <c r="S13" s="504"/>
      <c r="T13" s="504"/>
      <c r="U13" s="503"/>
      <c r="V13" s="503"/>
      <c r="W13" s="503"/>
      <c r="X13" s="503"/>
      <c r="Y13" s="503"/>
      <c r="Z13" s="503"/>
      <c r="AA13" s="503"/>
      <c r="AB13" s="503"/>
      <c r="AC13" s="503"/>
      <c r="AD13" s="503"/>
      <c r="AE13" s="503"/>
      <c r="AF13" s="503"/>
      <c r="AG13" s="503"/>
    </row>
    <row r="14" spans="2:40" ht="18" customHeight="1" thickBot="1">
      <c r="B14" s="427" t="s">
        <v>476</v>
      </c>
      <c r="C14" s="495"/>
      <c r="D14" s="495"/>
      <c r="E14" s="495"/>
      <c r="F14" s="495"/>
      <c r="G14" s="495"/>
      <c r="H14" s="495"/>
      <c r="I14" s="495"/>
      <c r="J14" s="495"/>
      <c r="K14" s="495"/>
      <c r="L14" s="495"/>
      <c r="M14" s="495"/>
      <c r="N14" s="495"/>
      <c r="O14" s="495"/>
      <c r="P14" s="495"/>
      <c r="Q14" s="495"/>
      <c r="R14" s="495"/>
      <c r="S14" s="495"/>
      <c r="T14" s="627"/>
      <c r="U14" s="627"/>
      <c r="V14" s="627"/>
      <c r="W14" s="628"/>
      <c r="X14" s="628"/>
      <c r="Y14" s="628"/>
      <c r="Z14" s="628"/>
      <c r="AA14" s="628"/>
      <c r="AB14" s="628"/>
      <c r="AC14" s="628"/>
      <c r="AD14" s="628"/>
      <c r="AE14" s="628"/>
      <c r="AF14" s="628"/>
      <c r="AG14" s="628"/>
    </row>
    <row r="15" spans="2:40" ht="18" customHeight="1" thickBot="1">
      <c r="B15" s="1048" t="s">
        <v>475</v>
      </c>
      <c r="C15" s="1049"/>
      <c r="D15" s="1049"/>
      <c r="E15" s="1049"/>
      <c r="F15" s="1049"/>
      <c r="G15" s="1050"/>
      <c r="H15" s="1048" t="s">
        <v>474</v>
      </c>
      <c r="I15" s="1049"/>
      <c r="J15" s="1049"/>
      <c r="K15" s="1049"/>
      <c r="L15" s="1019">
        <f>Q16+Q18</f>
        <v>0</v>
      </c>
      <c r="M15" s="1019"/>
      <c r="N15" s="1019"/>
      <c r="O15" s="502" t="s">
        <v>443</v>
      </c>
      <c r="P15" s="1048" t="s">
        <v>473</v>
      </c>
      <c r="Q15" s="1049"/>
      <c r="R15" s="1049"/>
      <c r="S15" s="1049"/>
      <c r="T15" s="1019">
        <f>Q17</f>
        <v>0</v>
      </c>
      <c r="U15" s="1019"/>
      <c r="V15" s="1019"/>
      <c r="W15" s="485" t="s">
        <v>443</v>
      </c>
      <c r="Y15" s="1045" t="s">
        <v>472</v>
      </c>
      <c r="Z15" s="1046"/>
      <c r="AA15" s="1046"/>
      <c r="AB15" s="1046"/>
      <c r="AC15" s="1046"/>
      <c r="AD15" s="1046"/>
      <c r="AE15" s="1047"/>
      <c r="AF15" s="501" t="str">
        <f>IFERROR(IF(T15+L15&gt;=1,"○","×"),"")</f>
        <v>×</v>
      </c>
      <c r="AG15" s="628"/>
      <c r="AM15" s="608" t="str">
        <f>IF(AND($L$15&gt;=$AA$94,$T$15&gt;=$AA$95),"","「区分3計算表」の内容と人数A・人数Bの数値が一致しません。確認してください。")</f>
        <v>「区分3計算表」の内容と人数A・人数Bの数値が一致しません。確認してください。</v>
      </c>
    </row>
    <row r="16" spans="2:40" ht="18" customHeight="1">
      <c r="B16" s="434" t="s">
        <v>471</v>
      </c>
      <c r="C16" s="433"/>
      <c r="D16" s="433"/>
      <c r="E16" s="433"/>
      <c r="F16" s="433"/>
      <c r="G16" s="433"/>
      <c r="H16" s="433"/>
      <c r="I16" s="433"/>
      <c r="J16" s="433"/>
      <c r="K16" s="433"/>
      <c r="L16" s="433"/>
      <c r="M16" s="433"/>
      <c r="N16" s="433"/>
      <c r="O16" s="433"/>
      <c r="P16" s="500"/>
      <c r="Q16" s="1070"/>
      <c r="R16" s="1071"/>
      <c r="S16" s="1071"/>
      <c r="T16" s="1071"/>
      <c r="U16" s="1071"/>
      <c r="V16" s="1071"/>
      <c r="W16" s="484" t="s">
        <v>443</v>
      </c>
      <c r="Z16" s="499"/>
      <c r="AA16" s="499"/>
      <c r="AB16" s="499"/>
      <c r="AC16" s="499"/>
      <c r="AD16" s="499"/>
      <c r="AE16" s="436"/>
      <c r="AN16" s="427">
        <f>COUNTIFS(様式4別添1!$B$11:$B$60,"&lt;&gt;",様式4別添1!$Y$11:$Y$60,様式4別添1!$Y$80)
+COUNTIFS(様式4別添1!$B$11:$B$60,"&lt;&gt;",様式4別添1!$Y$11:$Y$60,様式4別添1!$Y$81)</f>
        <v>0</v>
      </c>
    </row>
    <row r="17" spans="1:40" ht="18" customHeight="1">
      <c r="B17" s="437" t="s">
        <v>470</v>
      </c>
      <c r="C17" s="435"/>
      <c r="D17" s="435"/>
      <c r="E17" s="435"/>
      <c r="F17" s="435"/>
      <c r="G17" s="435"/>
      <c r="H17" s="435"/>
      <c r="I17" s="435"/>
      <c r="J17" s="435"/>
      <c r="K17" s="435"/>
      <c r="L17" s="435"/>
      <c r="M17" s="435"/>
      <c r="N17" s="435"/>
      <c r="O17" s="435"/>
      <c r="P17" s="498"/>
      <c r="Q17" s="1028"/>
      <c r="R17" s="1029"/>
      <c r="S17" s="1029"/>
      <c r="T17" s="1029"/>
      <c r="U17" s="1029"/>
      <c r="V17" s="1029"/>
      <c r="W17" s="497" t="s">
        <v>443</v>
      </c>
      <c r="AN17" s="427">
        <f>COUNTIFS(様式4別添1!$B$11:$B$60,"&lt;&gt;",様式4別添1!$Y$11:$Y$60,様式4別添1!$Y$83)</f>
        <v>0</v>
      </c>
    </row>
    <row r="18" spans="1:40" ht="34.15" customHeight="1" thickBot="1">
      <c r="B18" s="1030" t="s">
        <v>469</v>
      </c>
      <c r="C18" s="1031"/>
      <c r="D18" s="1031"/>
      <c r="E18" s="1031"/>
      <c r="F18" s="1031"/>
      <c r="G18" s="1031"/>
      <c r="H18" s="1031"/>
      <c r="I18" s="1031"/>
      <c r="J18" s="1031"/>
      <c r="K18" s="1031"/>
      <c r="L18" s="1031"/>
      <c r="M18" s="1031"/>
      <c r="N18" s="1031"/>
      <c r="O18" s="1031"/>
      <c r="P18" s="1032"/>
      <c r="Q18" s="1033"/>
      <c r="R18" s="1034"/>
      <c r="S18" s="1034"/>
      <c r="T18" s="1034"/>
      <c r="U18" s="1034"/>
      <c r="V18" s="1034"/>
      <c r="W18" s="496" t="s">
        <v>443</v>
      </c>
      <c r="AN18" s="427">
        <f>COUNTIFS(様式4別添1!$B$11:$B$60,"&lt;&gt;",様式4別添1!$Y$11:$Y$60,様式4別添1!$Y$82)</f>
        <v>0</v>
      </c>
    </row>
    <row r="19" spans="1:40" ht="18" customHeight="1" thickBot="1">
      <c r="B19" s="436"/>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627"/>
      <c r="AA19" s="628"/>
      <c r="AB19" s="628"/>
      <c r="AC19" s="628"/>
      <c r="AD19" s="628"/>
      <c r="AE19" s="628"/>
      <c r="AF19" s="628"/>
      <c r="AG19" s="628"/>
      <c r="AH19" s="629"/>
    </row>
    <row r="20" spans="1:40" ht="18" customHeight="1" thickBot="1">
      <c r="B20" s="1023" t="s">
        <v>468</v>
      </c>
      <c r="C20" s="1024"/>
      <c r="D20" s="1024"/>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5"/>
    </row>
    <row r="21" spans="1:40" ht="18" customHeight="1">
      <c r="B21" s="1026"/>
      <c r="C21" s="1044" t="s">
        <v>467</v>
      </c>
      <c r="D21" s="903"/>
      <c r="E21" s="903"/>
      <c r="F21" s="903"/>
      <c r="G21" s="903"/>
      <c r="H21" s="903"/>
      <c r="I21" s="903"/>
      <c r="J21" s="903"/>
      <c r="K21" s="903"/>
      <c r="L21" s="903"/>
      <c r="M21" s="903"/>
      <c r="N21" s="903"/>
      <c r="O21" s="903"/>
      <c r="P21" s="903"/>
      <c r="Q21" s="903"/>
      <c r="R21" s="903"/>
      <c r="S21" s="903"/>
      <c r="T21" s="903"/>
      <c r="U21" s="903"/>
      <c r="V21" s="903"/>
      <c r="W21" s="903"/>
      <c r="X21" s="903"/>
      <c r="Y21" s="903"/>
      <c r="Z21" s="903"/>
      <c r="AA21" s="1054"/>
      <c r="AB21" s="1055"/>
      <c r="AC21" s="1055"/>
      <c r="AD21" s="1055"/>
      <c r="AE21" s="1055"/>
      <c r="AF21" s="1055"/>
      <c r="AG21" s="1056"/>
    </row>
    <row r="22" spans="1:40" ht="18" customHeight="1" thickBot="1">
      <c r="B22" s="1027"/>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1057"/>
      <c r="AB22" s="1058"/>
      <c r="AC22" s="1058"/>
      <c r="AD22" s="1058"/>
      <c r="AE22" s="1058"/>
      <c r="AF22" s="1058"/>
      <c r="AG22" s="1059"/>
    </row>
    <row r="23" spans="1:40" ht="21.6" customHeight="1">
      <c r="B23" s="436"/>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627"/>
      <c r="AA23" s="628"/>
      <c r="AB23" s="628"/>
      <c r="AC23" s="628"/>
      <c r="AD23" s="628"/>
      <c r="AE23" s="628"/>
      <c r="AF23" s="628"/>
      <c r="AG23" s="628"/>
    </row>
    <row r="24" spans="1:40" ht="21.75" customHeight="1" thickBot="1">
      <c r="B24" s="427" t="s">
        <v>466</v>
      </c>
      <c r="C24" s="483"/>
      <c r="D24" s="483"/>
      <c r="E24" s="483"/>
      <c r="F24" s="483"/>
      <c r="G24" s="432"/>
      <c r="H24" s="432"/>
      <c r="I24" s="432"/>
      <c r="J24" s="431"/>
      <c r="K24" s="431"/>
      <c r="L24" s="431"/>
      <c r="M24" s="431"/>
      <c r="N24" s="431"/>
      <c r="O24" s="431"/>
      <c r="P24" s="431"/>
      <c r="Q24" s="431"/>
      <c r="R24" s="431"/>
      <c r="S24" s="432"/>
      <c r="T24" s="432"/>
      <c r="U24" s="432"/>
      <c r="V24" s="431"/>
      <c r="W24" s="431"/>
      <c r="X24" s="431"/>
      <c r="Y24" s="431"/>
      <c r="Z24" s="431"/>
      <c r="AA24" s="431"/>
      <c r="AB24" s="431"/>
      <c r="AC24" s="431"/>
      <c r="AD24" s="431"/>
      <c r="AE24" s="432"/>
      <c r="AF24" s="432"/>
      <c r="AG24" s="432"/>
    </row>
    <row r="25" spans="1:40" ht="27.75" customHeight="1" thickBot="1">
      <c r="B25" s="1062" t="s">
        <v>465</v>
      </c>
      <c r="C25" s="1063"/>
      <c r="D25" s="1063"/>
      <c r="E25" s="1063"/>
      <c r="F25" s="1064"/>
      <c r="G25" s="1064"/>
      <c r="H25" s="1064"/>
      <c r="I25" s="1064"/>
      <c r="J25" s="1064"/>
      <c r="K25" s="1064"/>
      <c r="L25" s="1064"/>
      <c r="M25" s="1040">
        <f>IF('3_区分3計算表'!$E$7="あり",SUM('3_区分3計算表'!$F$8,'3_区分3計算表'!J8),'3_区分3計算表'!$F$8)</f>
        <v>0</v>
      </c>
      <c r="N25" s="1041"/>
      <c r="O25" s="1041"/>
      <c r="P25" s="1041"/>
      <c r="Q25" s="1041"/>
      <c r="R25" s="1041"/>
      <c r="S25" s="1041"/>
      <c r="T25" s="1041"/>
      <c r="U25" s="494" t="s">
        <v>443</v>
      </c>
      <c r="V25" s="431"/>
      <c r="W25" s="431"/>
      <c r="X25" s="431"/>
      <c r="Y25" s="431"/>
      <c r="Z25" s="431"/>
      <c r="AA25" s="431"/>
      <c r="AB25" s="431"/>
      <c r="AC25" s="431"/>
      <c r="AD25" s="431"/>
      <c r="AE25" s="432"/>
      <c r="AF25" s="432"/>
      <c r="AG25" s="432"/>
    </row>
    <row r="26" spans="1:40" s="488" customFormat="1" ht="21" customHeight="1">
      <c r="A26" s="489"/>
      <c r="B26" s="974" t="s">
        <v>464</v>
      </c>
      <c r="C26" s="975"/>
      <c r="D26" s="975"/>
      <c r="E26" s="976"/>
      <c r="F26" s="1042" t="s">
        <v>463</v>
      </c>
      <c r="G26" s="1043"/>
      <c r="H26" s="1043"/>
      <c r="I26" s="1043"/>
      <c r="J26" s="1043"/>
      <c r="K26" s="1043"/>
      <c r="L26" s="1043"/>
      <c r="M26" s="1060" t="s">
        <v>28</v>
      </c>
      <c r="N26" s="1043"/>
      <c r="O26" s="1043"/>
      <c r="P26" s="1043"/>
      <c r="Q26" s="1043"/>
      <c r="R26" s="1043"/>
      <c r="S26" s="1043"/>
      <c r="T26" s="1060" t="s">
        <v>462</v>
      </c>
      <c r="U26" s="1043"/>
      <c r="V26" s="1043"/>
      <c r="W26" s="1043"/>
      <c r="X26" s="1043"/>
      <c r="Y26" s="1043"/>
      <c r="Z26" s="1043"/>
      <c r="AA26" s="1060" t="s">
        <v>461</v>
      </c>
      <c r="AB26" s="1043"/>
      <c r="AC26" s="1043"/>
      <c r="AD26" s="1043"/>
      <c r="AE26" s="1043"/>
      <c r="AF26" s="1043"/>
      <c r="AG26" s="1061"/>
      <c r="AH26" s="489"/>
    </row>
    <row r="27" spans="1:40" s="488" customFormat="1" ht="21" customHeight="1">
      <c r="A27" s="489"/>
      <c r="B27" s="977"/>
      <c r="C27" s="978"/>
      <c r="D27" s="978"/>
      <c r="E27" s="979"/>
      <c r="F27" s="1000">
        <f>IF('3_区分3計算表'!$E$7="あり",SUM('3_区分3計算表'!$F$10,'3_区分3計算表'!J10),'3_区分3計算表'!$F$10)</f>
        <v>0</v>
      </c>
      <c r="G27" s="1001"/>
      <c r="H27" s="1001"/>
      <c r="I27" s="1001"/>
      <c r="J27" s="1001"/>
      <c r="K27" s="1001"/>
      <c r="L27" s="1035" t="s">
        <v>443</v>
      </c>
      <c r="M27" s="1012">
        <f>IF('3_区分3計算表'!$E$7="あり",SUM('3_区分3計算表'!$F$11,'3_区分3計算表'!J11),'3_区分3計算表'!$F$11)</f>
        <v>0</v>
      </c>
      <c r="N27" s="1013"/>
      <c r="O27" s="1013"/>
      <c r="P27" s="1013"/>
      <c r="Q27" s="1013"/>
      <c r="R27" s="1013"/>
      <c r="S27" s="493" t="s">
        <v>443</v>
      </c>
      <c r="T27" s="1012">
        <f>IF('3_区分3計算表'!$E$7="あり",SUM('3_区分3計算表'!$F$12,'3_区分3計算表'!J12),'3_区分3計算表'!$F$12)</f>
        <v>0</v>
      </c>
      <c r="U27" s="1001"/>
      <c r="V27" s="1001"/>
      <c r="W27" s="1001"/>
      <c r="X27" s="1001"/>
      <c r="Y27" s="1001"/>
      <c r="Z27" s="1035" t="s">
        <v>443</v>
      </c>
      <c r="AA27" s="1012">
        <f>IF('3_区分3計算表'!$E$7="あり",SUM('3_区分3計算表'!$F$14,'3_区分3計算表'!J14),'3_区分3計算表'!$F$14)</f>
        <v>0</v>
      </c>
      <c r="AB27" s="1001"/>
      <c r="AC27" s="1001"/>
      <c r="AD27" s="1001"/>
      <c r="AE27" s="1001"/>
      <c r="AF27" s="1001"/>
      <c r="AG27" s="995" t="s">
        <v>443</v>
      </c>
      <c r="AH27" s="489"/>
    </row>
    <row r="28" spans="1:40" s="488" customFormat="1" ht="18" customHeight="1">
      <c r="A28" s="489"/>
      <c r="B28" s="977"/>
      <c r="C28" s="978"/>
      <c r="D28" s="978"/>
      <c r="E28" s="979"/>
      <c r="F28" s="1002"/>
      <c r="G28" s="1003"/>
      <c r="H28" s="1003"/>
      <c r="I28" s="1003"/>
      <c r="J28" s="1003"/>
      <c r="K28" s="1003"/>
      <c r="L28" s="1036"/>
      <c r="M28" s="492"/>
      <c r="N28" s="1007" t="s">
        <v>460</v>
      </c>
      <c r="O28" s="1008"/>
      <c r="P28" s="1008"/>
      <c r="Q28" s="1008"/>
      <c r="R28" s="1008"/>
      <c r="S28" s="1009"/>
      <c r="T28" s="1038"/>
      <c r="U28" s="1003"/>
      <c r="V28" s="1003"/>
      <c r="W28" s="1003"/>
      <c r="X28" s="1003"/>
      <c r="Y28" s="1003"/>
      <c r="Z28" s="1036"/>
      <c r="AA28" s="1038"/>
      <c r="AB28" s="1003"/>
      <c r="AC28" s="1003"/>
      <c r="AD28" s="1003"/>
      <c r="AE28" s="1003"/>
      <c r="AF28" s="1003"/>
      <c r="AG28" s="996"/>
      <c r="AH28" s="489"/>
    </row>
    <row r="29" spans="1:40" s="488" customFormat="1" ht="21" customHeight="1" thickBot="1">
      <c r="A29" s="489"/>
      <c r="B29" s="980"/>
      <c r="C29" s="981"/>
      <c r="D29" s="981"/>
      <c r="E29" s="982"/>
      <c r="F29" s="1004"/>
      <c r="G29" s="1005"/>
      <c r="H29" s="1005"/>
      <c r="I29" s="1005"/>
      <c r="J29" s="1005"/>
      <c r="K29" s="1005"/>
      <c r="L29" s="1037"/>
      <c r="M29" s="491"/>
      <c r="N29" s="1006" t="s">
        <v>620</v>
      </c>
      <c r="O29" s="1006"/>
      <c r="P29" s="1006"/>
      <c r="Q29" s="1006"/>
      <c r="R29" s="1006"/>
      <c r="S29" s="490" t="s">
        <v>443</v>
      </c>
      <c r="T29" s="1039"/>
      <c r="U29" s="1005"/>
      <c r="V29" s="1005"/>
      <c r="W29" s="1005"/>
      <c r="X29" s="1005"/>
      <c r="Y29" s="1005"/>
      <c r="Z29" s="1037"/>
      <c r="AA29" s="1039"/>
      <c r="AB29" s="1005"/>
      <c r="AC29" s="1005"/>
      <c r="AD29" s="1005"/>
      <c r="AE29" s="1005"/>
      <c r="AF29" s="1005"/>
      <c r="AG29" s="997"/>
      <c r="AH29" s="489"/>
    </row>
    <row r="30" spans="1:40" ht="28.5" customHeight="1">
      <c r="B30" s="830" t="s">
        <v>459</v>
      </c>
      <c r="C30" s="918"/>
      <c r="D30" s="918"/>
      <c r="E30" s="919"/>
      <c r="F30" s="985" t="s">
        <v>389</v>
      </c>
      <c r="G30" s="986"/>
      <c r="H30" s="630" t="s">
        <v>381</v>
      </c>
      <c r="I30" s="631"/>
      <c r="J30" s="631"/>
      <c r="K30" s="632"/>
      <c r="L30" s="632"/>
      <c r="M30" s="632"/>
      <c r="N30" s="632"/>
      <c r="O30" s="632"/>
      <c r="P30" s="632"/>
      <c r="Q30" s="632"/>
      <c r="R30" s="632"/>
      <c r="S30" s="633"/>
      <c r="T30" s="633"/>
      <c r="U30" s="633"/>
      <c r="V30" s="632"/>
      <c r="W30" s="632"/>
      <c r="X30" s="632"/>
      <c r="Y30" s="632"/>
      <c r="Z30" s="632"/>
      <c r="AA30" s="632"/>
      <c r="AB30" s="632"/>
      <c r="AC30" s="632"/>
      <c r="AD30" s="632"/>
      <c r="AE30" s="1014"/>
      <c r="AF30" s="1015"/>
      <c r="AG30" s="1016"/>
    </row>
    <row r="31" spans="1:40" ht="28.5" customHeight="1">
      <c r="B31" s="920"/>
      <c r="C31" s="921"/>
      <c r="D31" s="921"/>
      <c r="E31" s="922"/>
      <c r="F31" s="987"/>
      <c r="G31" s="988"/>
      <c r="H31" s="634" t="s">
        <v>378</v>
      </c>
      <c r="I31" s="634"/>
      <c r="J31" s="634"/>
      <c r="K31" s="635"/>
      <c r="L31" s="635"/>
      <c r="M31" s="635"/>
      <c r="N31" s="635"/>
      <c r="O31" s="635"/>
      <c r="P31" s="635"/>
      <c r="Q31" s="635"/>
      <c r="R31" s="635"/>
      <c r="S31" s="636"/>
      <c r="T31" s="636"/>
      <c r="U31" s="636"/>
      <c r="V31" s="635"/>
      <c r="W31" s="635"/>
      <c r="X31" s="635"/>
      <c r="Y31" s="635"/>
      <c r="Z31" s="635"/>
      <c r="AA31" s="635"/>
      <c r="AB31" s="635"/>
      <c r="AC31" s="635"/>
      <c r="AD31" s="635"/>
      <c r="AE31" s="932"/>
      <c r="AF31" s="927"/>
      <c r="AG31" s="928"/>
    </row>
    <row r="32" spans="1:40" ht="28.5" customHeight="1">
      <c r="B32" s="920"/>
      <c r="C32" s="921"/>
      <c r="D32" s="921"/>
      <c r="E32" s="922"/>
      <c r="F32" s="987"/>
      <c r="G32" s="988"/>
      <c r="H32" s="637" t="s">
        <v>380</v>
      </c>
      <c r="I32" s="629"/>
      <c r="J32" s="629"/>
      <c r="K32" s="638"/>
      <c r="L32" s="638"/>
      <c r="M32" s="638"/>
      <c r="N32" s="638"/>
      <c r="O32" s="638"/>
      <c r="P32" s="638"/>
      <c r="Q32" s="638"/>
      <c r="R32" s="638"/>
      <c r="S32" s="639"/>
      <c r="T32" s="639"/>
      <c r="U32" s="639"/>
      <c r="V32" s="638"/>
      <c r="W32" s="638"/>
      <c r="X32" s="638"/>
      <c r="Y32" s="638"/>
      <c r="Z32" s="638"/>
      <c r="AA32" s="638"/>
      <c r="AB32" s="638"/>
      <c r="AC32" s="638"/>
      <c r="AD32" s="638"/>
      <c r="AE32" s="932"/>
      <c r="AF32" s="927"/>
      <c r="AG32" s="928"/>
    </row>
    <row r="33" spans="2:33" ht="28.5" customHeight="1">
      <c r="B33" s="920"/>
      <c r="C33" s="921"/>
      <c r="D33" s="921"/>
      <c r="E33" s="922"/>
      <c r="F33" s="987"/>
      <c r="G33" s="988"/>
      <c r="H33" s="634" t="s">
        <v>388</v>
      </c>
      <c r="I33" s="634"/>
      <c r="J33" s="634"/>
      <c r="K33" s="635"/>
      <c r="L33" s="635"/>
      <c r="M33" s="635"/>
      <c r="N33" s="635"/>
      <c r="O33" s="635"/>
      <c r="P33" s="635"/>
      <c r="Q33" s="635"/>
      <c r="R33" s="635"/>
      <c r="S33" s="636"/>
      <c r="T33" s="636"/>
      <c r="U33" s="636"/>
      <c r="V33" s="635"/>
      <c r="W33" s="635"/>
      <c r="X33" s="635"/>
      <c r="Y33" s="635"/>
      <c r="Z33" s="635"/>
      <c r="AA33" s="635"/>
      <c r="AB33" s="635"/>
      <c r="AC33" s="635"/>
      <c r="AD33" s="635"/>
      <c r="AE33" s="932"/>
      <c r="AF33" s="927"/>
      <c r="AG33" s="928"/>
    </row>
    <row r="34" spans="2:33" ht="28.5" customHeight="1">
      <c r="B34" s="920"/>
      <c r="C34" s="921"/>
      <c r="D34" s="921"/>
      <c r="E34" s="922"/>
      <c r="F34" s="987"/>
      <c r="G34" s="988"/>
      <c r="H34" s="634" t="s">
        <v>376</v>
      </c>
      <c r="I34" s="634"/>
      <c r="J34" s="634"/>
      <c r="K34" s="635"/>
      <c r="L34" s="635"/>
      <c r="M34" s="635"/>
      <c r="N34" s="635"/>
      <c r="O34" s="635"/>
      <c r="P34" s="635"/>
      <c r="Q34" s="635"/>
      <c r="R34" s="635"/>
      <c r="S34" s="636"/>
      <c r="T34" s="636"/>
      <c r="U34" s="636"/>
      <c r="V34" s="635"/>
      <c r="W34" s="635"/>
      <c r="X34" s="635"/>
      <c r="Y34" s="635"/>
      <c r="Z34" s="635"/>
      <c r="AA34" s="635"/>
      <c r="AB34" s="635"/>
      <c r="AC34" s="635"/>
      <c r="AD34" s="635"/>
      <c r="AE34" s="932"/>
      <c r="AF34" s="927"/>
      <c r="AG34" s="928"/>
    </row>
    <row r="35" spans="2:33" ht="28.5" customHeight="1">
      <c r="B35" s="920"/>
      <c r="C35" s="921"/>
      <c r="D35" s="921"/>
      <c r="E35" s="922"/>
      <c r="F35" s="987"/>
      <c r="G35" s="988"/>
      <c r="H35" s="634" t="s">
        <v>375</v>
      </c>
      <c r="I35" s="634"/>
      <c r="J35" s="634"/>
      <c r="K35" s="635"/>
      <c r="L35" s="635"/>
      <c r="M35" s="635"/>
      <c r="N35" s="635"/>
      <c r="O35" s="635"/>
      <c r="P35" s="635"/>
      <c r="Q35" s="635"/>
      <c r="R35" s="635"/>
      <c r="S35" s="636"/>
      <c r="T35" s="636"/>
      <c r="U35" s="636"/>
      <c r="V35" s="635"/>
      <c r="W35" s="635"/>
      <c r="X35" s="635"/>
      <c r="Y35" s="635"/>
      <c r="Z35" s="635"/>
      <c r="AA35" s="635"/>
      <c r="AB35" s="635"/>
      <c r="AC35" s="635"/>
      <c r="AD35" s="635"/>
      <c r="AE35" s="932"/>
      <c r="AF35" s="927"/>
      <c r="AG35" s="928"/>
    </row>
    <row r="36" spans="2:33" ht="28.5" customHeight="1">
      <c r="B36" s="920"/>
      <c r="C36" s="921"/>
      <c r="D36" s="921"/>
      <c r="E36" s="922"/>
      <c r="F36" s="987"/>
      <c r="G36" s="988"/>
      <c r="H36" s="640" t="s">
        <v>457</v>
      </c>
      <c r="I36" s="640"/>
      <c r="J36" s="640"/>
      <c r="K36" s="641"/>
      <c r="L36" s="641"/>
      <c r="M36" s="641"/>
      <c r="N36" s="635"/>
      <c r="O36" s="634"/>
      <c r="P36" s="642"/>
      <c r="Q36" s="642"/>
      <c r="R36" s="642"/>
      <c r="S36" s="634"/>
      <c r="T36" s="634"/>
      <c r="U36" s="634"/>
      <c r="V36" s="642"/>
      <c r="W36" s="642"/>
      <c r="X36" s="642"/>
      <c r="Y36" s="642"/>
      <c r="Z36" s="642"/>
      <c r="AA36" s="642"/>
      <c r="AB36" s="642"/>
      <c r="AC36" s="642"/>
      <c r="AD36" s="642"/>
      <c r="AE36" s="932"/>
      <c r="AF36" s="927"/>
      <c r="AG36" s="928"/>
    </row>
    <row r="37" spans="2:33" ht="28.5" customHeight="1">
      <c r="B37" s="920"/>
      <c r="C37" s="921"/>
      <c r="D37" s="921"/>
      <c r="E37" s="922"/>
      <c r="F37" s="987"/>
      <c r="G37" s="988"/>
      <c r="H37" s="634" t="s">
        <v>387</v>
      </c>
      <c r="I37" s="634"/>
      <c r="J37" s="634"/>
      <c r="K37" s="635"/>
      <c r="L37" s="635"/>
      <c r="M37" s="635"/>
      <c r="N37" s="635"/>
      <c r="O37" s="635"/>
      <c r="P37" s="635"/>
      <c r="Q37" s="635"/>
      <c r="R37" s="635"/>
      <c r="S37" s="636"/>
      <c r="T37" s="636"/>
      <c r="U37" s="636"/>
      <c r="V37" s="635"/>
      <c r="W37" s="635"/>
      <c r="X37" s="635"/>
      <c r="Y37" s="635"/>
      <c r="Z37" s="635"/>
      <c r="AA37" s="635"/>
      <c r="AB37" s="635"/>
      <c r="AC37" s="635"/>
      <c r="AD37" s="635"/>
      <c r="AE37" s="932"/>
      <c r="AF37" s="927"/>
      <c r="AG37" s="928"/>
    </row>
    <row r="38" spans="2:33" ht="28.5" customHeight="1">
      <c r="B38" s="920"/>
      <c r="C38" s="921"/>
      <c r="D38" s="921"/>
      <c r="E38" s="922"/>
      <c r="F38" s="987"/>
      <c r="G38" s="988"/>
      <c r="H38" s="643" t="s">
        <v>372</v>
      </c>
      <c r="I38" s="634"/>
      <c r="J38" s="634"/>
      <c r="K38" s="635"/>
      <c r="L38" s="635"/>
      <c r="M38" s="635"/>
      <c r="N38" s="635"/>
      <c r="O38" s="635"/>
      <c r="P38" s="635"/>
      <c r="Q38" s="635"/>
      <c r="R38" s="635"/>
      <c r="S38" s="636"/>
      <c r="T38" s="636"/>
      <c r="U38" s="636"/>
      <c r="V38" s="635"/>
      <c r="W38" s="635"/>
      <c r="X38" s="635"/>
      <c r="Y38" s="635"/>
      <c r="Z38" s="635"/>
      <c r="AA38" s="635"/>
      <c r="AB38" s="635"/>
      <c r="AC38" s="635"/>
      <c r="AD38" s="644"/>
      <c r="AE38" s="932"/>
      <c r="AF38" s="927"/>
      <c r="AG38" s="928"/>
    </row>
    <row r="39" spans="2:33" ht="28.5" customHeight="1">
      <c r="B39" s="920"/>
      <c r="C39" s="921"/>
      <c r="D39" s="921"/>
      <c r="E39" s="922"/>
      <c r="F39" s="987"/>
      <c r="G39" s="988"/>
      <c r="H39" s="637" t="s">
        <v>371</v>
      </c>
      <c r="I39" s="637"/>
      <c r="J39" s="637"/>
      <c r="K39" s="645"/>
      <c r="L39" s="645"/>
      <c r="M39" s="645"/>
      <c r="N39" s="645"/>
      <c r="O39" s="645"/>
      <c r="P39" s="645"/>
      <c r="Q39" s="645"/>
      <c r="R39" s="645"/>
      <c r="S39" s="646"/>
      <c r="T39" s="646"/>
      <c r="U39" s="646"/>
      <c r="V39" s="645"/>
      <c r="W39" s="645"/>
      <c r="X39" s="645"/>
      <c r="Y39" s="645"/>
      <c r="Z39" s="645"/>
      <c r="AA39" s="645"/>
      <c r="AB39" s="645"/>
      <c r="AC39" s="645"/>
      <c r="AD39" s="645"/>
      <c r="AE39" s="932"/>
      <c r="AF39" s="927"/>
      <c r="AG39" s="928"/>
    </row>
    <row r="40" spans="2:33" ht="28.5" customHeight="1">
      <c r="B40" s="920"/>
      <c r="C40" s="921"/>
      <c r="D40" s="921"/>
      <c r="E40" s="922"/>
      <c r="F40" s="987"/>
      <c r="G40" s="988"/>
      <c r="H40" s="647" t="s">
        <v>370</v>
      </c>
      <c r="I40" s="640"/>
      <c r="J40" s="640"/>
      <c r="K40" s="641"/>
      <c r="L40" s="641"/>
      <c r="M40" s="641"/>
      <c r="N40" s="641"/>
      <c r="O40" s="641"/>
      <c r="P40" s="641"/>
      <c r="Q40" s="641"/>
      <c r="R40" s="641"/>
      <c r="S40" s="648"/>
      <c r="T40" s="648"/>
      <c r="U40" s="648"/>
      <c r="V40" s="641"/>
      <c r="W40" s="641"/>
      <c r="X40" s="641"/>
      <c r="Y40" s="641"/>
      <c r="Z40" s="641"/>
      <c r="AA40" s="641"/>
      <c r="AB40" s="641"/>
      <c r="AC40" s="641"/>
      <c r="AD40" s="641"/>
      <c r="AE40" s="940"/>
      <c r="AF40" s="941"/>
      <c r="AG40" s="942"/>
    </row>
    <row r="41" spans="2:33" ht="28.5" customHeight="1">
      <c r="B41" s="920"/>
      <c r="C41" s="921"/>
      <c r="D41" s="921"/>
      <c r="E41" s="922"/>
      <c r="F41" s="987"/>
      <c r="G41" s="988"/>
      <c r="H41" s="643" t="s">
        <v>363</v>
      </c>
      <c r="I41" s="634"/>
      <c r="J41" s="634"/>
      <c r="K41" s="635"/>
      <c r="L41" s="635"/>
      <c r="M41" s="635"/>
      <c r="N41" s="635"/>
      <c r="O41" s="635"/>
      <c r="P41" s="635"/>
      <c r="Q41" s="635"/>
      <c r="R41" s="635"/>
      <c r="S41" s="636"/>
      <c r="T41" s="636"/>
      <c r="U41" s="636"/>
      <c r="V41" s="635"/>
      <c r="W41" s="635"/>
      <c r="X41" s="635"/>
      <c r="Y41" s="635"/>
      <c r="Z41" s="635"/>
      <c r="AA41" s="635"/>
      <c r="AB41" s="635"/>
      <c r="AC41" s="635"/>
      <c r="AD41" s="635"/>
      <c r="AE41" s="932"/>
      <c r="AF41" s="927"/>
      <c r="AG41" s="928"/>
    </row>
    <row r="42" spans="2:33" ht="28.5" customHeight="1">
      <c r="B42" s="920"/>
      <c r="C42" s="921"/>
      <c r="D42" s="921"/>
      <c r="E42" s="922"/>
      <c r="F42" s="987"/>
      <c r="G42" s="988"/>
      <c r="H42" s="649" t="s">
        <v>456</v>
      </c>
      <c r="I42" s="637"/>
      <c r="J42" s="637"/>
      <c r="K42" s="645"/>
      <c r="L42" s="645"/>
      <c r="M42" s="645"/>
      <c r="N42" s="645"/>
      <c r="O42" s="645"/>
      <c r="P42" s="645"/>
      <c r="Q42" s="645"/>
      <c r="R42" s="645"/>
      <c r="S42" s="646"/>
      <c r="T42" s="646"/>
      <c r="U42" s="646"/>
      <c r="V42" s="645"/>
      <c r="W42" s="645"/>
      <c r="X42" s="645"/>
      <c r="Y42" s="645"/>
      <c r="Z42" s="645"/>
      <c r="AA42" s="645"/>
      <c r="AB42" s="645"/>
      <c r="AC42" s="645"/>
      <c r="AD42" s="645"/>
      <c r="AE42" s="929"/>
      <c r="AF42" s="930"/>
      <c r="AG42" s="931"/>
    </row>
    <row r="43" spans="2:33" ht="28.5" customHeight="1" thickBot="1">
      <c r="B43" s="923"/>
      <c r="C43" s="924"/>
      <c r="D43" s="924"/>
      <c r="E43" s="925"/>
      <c r="F43" s="989"/>
      <c r="G43" s="990"/>
      <c r="H43" s="650" t="s">
        <v>373</v>
      </c>
      <c r="I43" s="651"/>
      <c r="J43" s="651"/>
      <c r="K43" s="652"/>
      <c r="L43" s="652"/>
      <c r="M43" s="652"/>
      <c r="N43" s="652"/>
      <c r="O43" s="652"/>
      <c r="P43" s="652"/>
      <c r="Q43" s="652"/>
      <c r="R43" s="652"/>
      <c r="S43" s="653"/>
      <c r="T43" s="653"/>
      <c r="U43" s="653"/>
      <c r="V43" s="652"/>
      <c r="W43" s="652"/>
      <c r="X43" s="652"/>
      <c r="Y43" s="652"/>
      <c r="Z43" s="652"/>
      <c r="AA43" s="652"/>
      <c r="AB43" s="652"/>
      <c r="AC43" s="652"/>
      <c r="AD43" s="652"/>
      <c r="AE43" s="956"/>
      <c r="AF43" s="934"/>
      <c r="AG43" s="935"/>
    </row>
    <row r="44" spans="2:33" s="436" customFormat="1" ht="9.75" customHeight="1">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row>
    <row r="45" spans="2:33" s="436" customFormat="1" ht="9.75" customHeight="1" thickBot="1">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row>
    <row r="46" spans="2:33" ht="28.5" customHeight="1">
      <c r="B46" s="830" t="s">
        <v>455</v>
      </c>
      <c r="C46" s="918"/>
      <c r="D46" s="918"/>
      <c r="E46" s="919"/>
      <c r="F46" s="985" t="s">
        <v>386</v>
      </c>
      <c r="G46" s="986"/>
      <c r="H46" s="655" t="s">
        <v>381</v>
      </c>
      <c r="I46" s="630"/>
      <c r="J46" s="630"/>
      <c r="K46" s="656"/>
      <c r="L46" s="656"/>
      <c r="M46" s="656"/>
      <c r="N46" s="656"/>
      <c r="O46" s="656"/>
      <c r="P46" s="656"/>
      <c r="Q46" s="656"/>
      <c r="R46" s="656"/>
      <c r="S46" s="657"/>
      <c r="T46" s="657"/>
      <c r="U46" s="657"/>
      <c r="V46" s="656"/>
      <c r="W46" s="656"/>
      <c r="X46" s="656"/>
      <c r="Y46" s="656"/>
      <c r="Z46" s="656"/>
      <c r="AA46" s="656"/>
      <c r="AB46" s="656"/>
      <c r="AC46" s="656"/>
      <c r="AD46" s="658"/>
      <c r="AE46" s="1021" t="str">
        <f>IF('3_区分3計算表'!$E24="あり","有","無")</f>
        <v>無</v>
      </c>
      <c r="AF46" s="1021"/>
      <c r="AG46" s="1022"/>
    </row>
    <row r="47" spans="2:33" ht="28.5" customHeight="1">
      <c r="B47" s="920"/>
      <c r="C47" s="921"/>
      <c r="D47" s="921"/>
      <c r="E47" s="922"/>
      <c r="F47" s="987"/>
      <c r="G47" s="988"/>
      <c r="H47" s="637" t="s">
        <v>380</v>
      </c>
      <c r="I47" s="637"/>
      <c r="J47" s="637"/>
      <c r="K47" s="645"/>
      <c r="L47" s="645"/>
      <c r="M47" s="645"/>
      <c r="N47" s="645"/>
      <c r="O47" s="645"/>
      <c r="P47" s="645"/>
      <c r="Q47" s="645"/>
      <c r="R47" s="645"/>
      <c r="S47" s="646"/>
      <c r="T47" s="646"/>
      <c r="U47" s="646"/>
      <c r="V47" s="645"/>
      <c r="W47" s="645"/>
      <c r="X47" s="645"/>
      <c r="Y47" s="645"/>
      <c r="Z47" s="645"/>
      <c r="AA47" s="645"/>
      <c r="AB47" s="645"/>
      <c r="AC47" s="645"/>
      <c r="AD47" s="659"/>
      <c r="AE47" s="1010" t="str">
        <f>IF('3_区分3計算表'!$E22="あり","有","無")</f>
        <v>無</v>
      </c>
      <c r="AF47" s="1010"/>
      <c r="AG47" s="1011"/>
    </row>
    <row r="48" spans="2:33" ht="28.5" customHeight="1">
      <c r="B48" s="920"/>
      <c r="C48" s="921"/>
      <c r="D48" s="921"/>
      <c r="E48" s="922"/>
      <c r="F48" s="987"/>
      <c r="G48" s="988"/>
      <c r="H48" s="637" t="s">
        <v>379</v>
      </c>
      <c r="I48" s="637"/>
      <c r="J48" s="637"/>
      <c r="K48" s="645"/>
      <c r="L48" s="645"/>
      <c r="M48" s="645"/>
      <c r="N48" s="645"/>
      <c r="O48" s="645"/>
      <c r="P48" s="645"/>
      <c r="Q48" s="645"/>
      <c r="R48" s="645"/>
      <c r="S48" s="646"/>
      <c r="T48" s="646"/>
      <c r="U48" s="646"/>
      <c r="V48" s="645"/>
      <c r="W48" s="645"/>
      <c r="X48" s="645"/>
      <c r="Y48" s="645"/>
      <c r="Z48" s="645"/>
      <c r="AA48" s="645"/>
      <c r="AB48" s="645"/>
      <c r="AC48" s="645"/>
      <c r="AD48" s="659"/>
      <c r="AE48" s="1010" t="str">
        <f>IF('3_区分3計算表'!$E26="あり","有","無")</f>
        <v>無</v>
      </c>
      <c r="AF48" s="1010"/>
      <c r="AG48" s="1011"/>
    </row>
    <row r="49" spans="2:33" ht="28.5" customHeight="1">
      <c r="B49" s="920"/>
      <c r="C49" s="921"/>
      <c r="D49" s="921"/>
      <c r="E49" s="922"/>
      <c r="F49" s="987"/>
      <c r="G49" s="988"/>
      <c r="H49" s="637" t="s">
        <v>454</v>
      </c>
      <c r="I49" s="637"/>
      <c r="J49" s="637"/>
      <c r="K49" s="645"/>
      <c r="L49" s="645"/>
      <c r="M49" s="645"/>
      <c r="N49" s="645"/>
      <c r="O49" s="645"/>
      <c r="P49" s="645"/>
      <c r="Q49" s="645"/>
      <c r="R49" s="645"/>
      <c r="S49" s="646"/>
      <c r="T49" s="646"/>
      <c r="U49" s="646"/>
      <c r="V49" s="645"/>
      <c r="W49" s="645"/>
      <c r="X49" s="645"/>
      <c r="Y49" s="645"/>
      <c r="Z49" s="645"/>
      <c r="AA49" s="645"/>
      <c r="AB49" s="645"/>
      <c r="AC49" s="645"/>
      <c r="AD49" s="659"/>
      <c r="AE49" s="1010" t="str">
        <f>IF('3_区分3計算表'!$E29="あり","有","無")</f>
        <v>無</v>
      </c>
      <c r="AF49" s="1010"/>
      <c r="AG49" s="1011"/>
    </row>
    <row r="50" spans="2:33" ht="28.5" customHeight="1">
      <c r="B50" s="920"/>
      <c r="C50" s="921"/>
      <c r="D50" s="921"/>
      <c r="E50" s="922"/>
      <c r="F50" s="987"/>
      <c r="G50" s="988"/>
      <c r="H50" s="634" t="s">
        <v>384</v>
      </c>
      <c r="I50" s="634"/>
      <c r="J50" s="634"/>
      <c r="K50" s="635"/>
      <c r="L50" s="635"/>
      <c r="M50" s="635"/>
      <c r="N50" s="635"/>
      <c r="O50" s="635"/>
      <c r="P50" s="635"/>
      <c r="Q50" s="635"/>
      <c r="R50" s="635"/>
      <c r="S50" s="636"/>
      <c r="T50" s="636"/>
      <c r="U50" s="636"/>
      <c r="V50" s="635"/>
      <c r="W50" s="635"/>
      <c r="X50" s="635"/>
      <c r="Y50" s="635"/>
      <c r="Z50" s="635"/>
      <c r="AA50" s="635"/>
      <c r="AB50" s="635"/>
      <c r="AC50" s="635"/>
      <c r="AD50" s="660"/>
      <c r="AE50" s="998" t="str">
        <f>IF('3_区分3計算表'!$E30="あり","有","無")</f>
        <v>無</v>
      </c>
      <c r="AF50" s="998"/>
      <c r="AG50" s="999"/>
    </row>
    <row r="51" spans="2:33" ht="28.5" customHeight="1">
      <c r="B51" s="920"/>
      <c r="C51" s="921"/>
      <c r="D51" s="921"/>
      <c r="E51" s="922"/>
      <c r="F51" s="987"/>
      <c r="G51" s="988"/>
      <c r="H51" s="634" t="s">
        <v>383</v>
      </c>
      <c r="I51" s="634"/>
      <c r="J51" s="634"/>
      <c r="K51" s="635"/>
      <c r="L51" s="635"/>
      <c r="M51" s="635"/>
      <c r="N51" s="635"/>
      <c r="O51" s="635"/>
      <c r="P51" s="635"/>
      <c r="Q51" s="635"/>
      <c r="R51" s="635"/>
      <c r="S51" s="636"/>
      <c r="T51" s="636"/>
      <c r="U51" s="636"/>
      <c r="V51" s="635"/>
      <c r="W51" s="635"/>
      <c r="X51" s="635"/>
      <c r="Y51" s="635"/>
      <c r="Z51" s="635"/>
      <c r="AA51" s="635"/>
      <c r="AB51" s="635"/>
      <c r="AC51" s="635"/>
      <c r="AD51" s="660"/>
      <c r="AE51" s="998" t="str">
        <f>IF('3_区分3計算表'!$E31="あり","有","無")</f>
        <v>無</v>
      </c>
      <c r="AF51" s="998"/>
      <c r="AG51" s="999"/>
    </row>
    <row r="52" spans="2:33" ht="28.5" customHeight="1">
      <c r="B52" s="920"/>
      <c r="C52" s="921"/>
      <c r="D52" s="921"/>
      <c r="E52" s="922"/>
      <c r="F52" s="987"/>
      <c r="G52" s="988"/>
      <c r="H52" s="634" t="s">
        <v>366</v>
      </c>
      <c r="I52" s="634"/>
      <c r="J52" s="634"/>
      <c r="K52" s="635"/>
      <c r="L52" s="635"/>
      <c r="M52" s="635"/>
      <c r="N52" s="635"/>
      <c r="O52" s="635"/>
      <c r="P52" s="635"/>
      <c r="Q52" s="635"/>
      <c r="R52" s="635"/>
      <c r="S52" s="636"/>
      <c r="T52" s="636"/>
      <c r="U52" s="636"/>
      <c r="V52" s="635"/>
      <c r="W52" s="635"/>
      <c r="X52" s="635"/>
      <c r="Y52" s="635"/>
      <c r="Z52" s="635"/>
      <c r="AA52" s="635"/>
      <c r="AB52" s="635"/>
      <c r="AC52" s="635"/>
      <c r="AD52" s="660"/>
      <c r="AE52" s="998" t="str">
        <f>IF('3_区分3計算表'!$E32="あり","有","無")</f>
        <v>無</v>
      </c>
      <c r="AF52" s="998"/>
      <c r="AG52" s="999"/>
    </row>
    <row r="53" spans="2:33" ht="28.5" customHeight="1">
      <c r="B53" s="920"/>
      <c r="C53" s="921"/>
      <c r="D53" s="921"/>
      <c r="E53" s="922"/>
      <c r="F53" s="987"/>
      <c r="G53" s="988"/>
      <c r="H53" s="640" t="s">
        <v>385</v>
      </c>
      <c r="I53" s="640"/>
      <c r="J53" s="640"/>
      <c r="K53" s="641"/>
      <c r="L53" s="641"/>
      <c r="M53" s="641"/>
      <c r="N53" s="641"/>
      <c r="O53" s="641"/>
      <c r="P53" s="641"/>
      <c r="Q53" s="641"/>
      <c r="R53" s="641"/>
      <c r="S53" s="648"/>
      <c r="T53" s="648"/>
      <c r="U53" s="648"/>
      <c r="V53" s="641"/>
      <c r="W53" s="641"/>
      <c r="X53" s="641"/>
      <c r="Y53" s="641"/>
      <c r="Z53" s="641"/>
      <c r="AA53" s="641"/>
      <c r="AB53" s="641"/>
      <c r="AC53" s="641"/>
      <c r="AD53" s="661"/>
      <c r="AE53" s="998" t="str">
        <f>IF('3_区分3計算表'!$E33="あり","有","無")</f>
        <v>無</v>
      </c>
      <c r="AF53" s="998"/>
      <c r="AG53" s="999"/>
    </row>
    <row r="54" spans="2:33" ht="28.5" customHeight="1" thickBot="1">
      <c r="B54" s="920"/>
      <c r="C54" s="921"/>
      <c r="D54" s="921"/>
      <c r="E54" s="922"/>
      <c r="F54" s="1017"/>
      <c r="G54" s="1018"/>
      <c r="H54" s="662" t="s">
        <v>363</v>
      </c>
      <c r="I54" s="663"/>
      <c r="J54" s="663"/>
      <c r="K54" s="664"/>
      <c r="L54" s="664"/>
      <c r="M54" s="664"/>
      <c r="N54" s="664"/>
      <c r="O54" s="664"/>
      <c r="P54" s="664"/>
      <c r="Q54" s="664"/>
      <c r="R54" s="664"/>
      <c r="S54" s="665"/>
      <c r="T54" s="665"/>
      <c r="U54" s="665"/>
      <c r="V54" s="664"/>
      <c r="W54" s="664"/>
      <c r="X54" s="664"/>
      <c r="Y54" s="664"/>
      <c r="Z54" s="664"/>
      <c r="AA54" s="664"/>
      <c r="AB54" s="664"/>
      <c r="AC54" s="664"/>
      <c r="AD54" s="666"/>
      <c r="AE54" s="983" t="str">
        <f>IF('3_区分3計算表'!$E34="あり","有","無")</f>
        <v>無</v>
      </c>
      <c r="AF54" s="983"/>
      <c r="AG54" s="984"/>
    </row>
    <row r="55" spans="2:33" ht="28.5" customHeight="1">
      <c r="B55" s="920"/>
      <c r="C55" s="921"/>
      <c r="D55" s="921"/>
      <c r="E55" s="922"/>
      <c r="F55" s="896" t="s">
        <v>382</v>
      </c>
      <c r="G55" s="897"/>
      <c r="H55" s="630" t="s">
        <v>381</v>
      </c>
      <c r="I55" s="630"/>
      <c r="J55" s="630"/>
      <c r="K55" s="656"/>
      <c r="L55" s="656"/>
      <c r="M55" s="656"/>
      <c r="N55" s="656"/>
      <c r="O55" s="656"/>
      <c r="P55" s="656"/>
      <c r="Q55" s="656"/>
      <c r="R55" s="656"/>
      <c r="S55" s="657"/>
      <c r="T55" s="657"/>
      <c r="U55" s="657"/>
      <c r="V55" s="656"/>
      <c r="W55" s="656"/>
      <c r="X55" s="656"/>
      <c r="Y55" s="656"/>
      <c r="Z55" s="656"/>
      <c r="AA55" s="656"/>
      <c r="AB55" s="656"/>
      <c r="AC55" s="656"/>
      <c r="AD55" s="658"/>
      <c r="AE55" s="1020"/>
      <c r="AF55" s="945"/>
      <c r="AG55" s="946"/>
    </row>
    <row r="56" spans="2:33" ht="28.5" customHeight="1">
      <c r="B56" s="920"/>
      <c r="C56" s="921"/>
      <c r="D56" s="921"/>
      <c r="E56" s="922"/>
      <c r="F56" s="898"/>
      <c r="G56" s="899"/>
      <c r="H56" s="643" t="s">
        <v>380</v>
      </c>
      <c r="I56" s="634"/>
      <c r="J56" s="634"/>
      <c r="K56" s="635"/>
      <c r="L56" s="635"/>
      <c r="M56" s="635"/>
      <c r="N56" s="635"/>
      <c r="O56" s="635"/>
      <c r="P56" s="635"/>
      <c r="Q56" s="635"/>
      <c r="R56" s="635"/>
      <c r="S56" s="636"/>
      <c r="T56" s="636"/>
      <c r="U56" s="636"/>
      <c r="V56" s="635"/>
      <c r="W56" s="635"/>
      <c r="X56" s="635"/>
      <c r="Y56" s="635"/>
      <c r="Z56" s="635"/>
      <c r="AA56" s="635"/>
      <c r="AB56" s="635"/>
      <c r="AC56" s="635"/>
      <c r="AD56" s="660"/>
      <c r="AE56" s="926"/>
      <c r="AF56" s="927"/>
      <c r="AG56" s="928"/>
    </row>
    <row r="57" spans="2:33" ht="28.5" customHeight="1">
      <c r="B57" s="920"/>
      <c r="C57" s="921"/>
      <c r="D57" s="921"/>
      <c r="E57" s="922"/>
      <c r="F57" s="898"/>
      <c r="G57" s="899"/>
      <c r="H57" s="637" t="s">
        <v>379</v>
      </c>
      <c r="I57" s="637"/>
      <c r="J57" s="637"/>
      <c r="K57" s="645"/>
      <c r="L57" s="645"/>
      <c r="M57" s="645"/>
      <c r="N57" s="645"/>
      <c r="O57" s="645"/>
      <c r="P57" s="645"/>
      <c r="Q57" s="645"/>
      <c r="R57" s="645"/>
      <c r="S57" s="646"/>
      <c r="T57" s="646"/>
      <c r="U57" s="646"/>
      <c r="V57" s="645"/>
      <c r="W57" s="645"/>
      <c r="X57" s="645"/>
      <c r="Y57" s="645"/>
      <c r="Z57" s="645"/>
      <c r="AA57" s="645"/>
      <c r="AB57" s="645"/>
      <c r="AC57" s="645"/>
      <c r="AD57" s="659"/>
      <c r="AE57" s="991"/>
      <c r="AF57" s="930"/>
      <c r="AG57" s="931"/>
    </row>
    <row r="58" spans="2:33" ht="28.5" customHeight="1">
      <c r="B58" s="920"/>
      <c r="C58" s="921"/>
      <c r="D58" s="921"/>
      <c r="E58" s="922"/>
      <c r="F58" s="898"/>
      <c r="G58" s="899"/>
      <c r="H58" s="634" t="s">
        <v>378</v>
      </c>
      <c r="I58" s="634"/>
      <c r="J58" s="634"/>
      <c r="K58" s="635"/>
      <c r="L58" s="635"/>
      <c r="M58" s="635"/>
      <c r="N58" s="635"/>
      <c r="O58" s="635"/>
      <c r="P58" s="635"/>
      <c r="Q58" s="635"/>
      <c r="R58" s="635"/>
      <c r="S58" s="636"/>
      <c r="T58" s="636"/>
      <c r="U58" s="636"/>
      <c r="V58" s="635"/>
      <c r="W58" s="635"/>
      <c r="X58" s="635"/>
      <c r="Y58" s="635"/>
      <c r="Z58" s="635"/>
      <c r="AA58" s="635"/>
      <c r="AB58" s="635"/>
      <c r="AC58" s="635"/>
      <c r="AD58" s="660"/>
      <c r="AE58" s="926"/>
      <c r="AF58" s="927"/>
      <c r="AG58" s="928"/>
    </row>
    <row r="59" spans="2:33" ht="28.5" customHeight="1">
      <c r="B59" s="920"/>
      <c r="C59" s="921"/>
      <c r="D59" s="921"/>
      <c r="E59" s="922"/>
      <c r="F59" s="898"/>
      <c r="G59" s="899"/>
      <c r="H59" s="637" t="s">
        <v>454</v>
      </c>
      <c r="I59" s="637"/>
      <c r="J59" s="637"/>
      <c r="K59" s="645"/>
      <c r="L59" s="645"/>
      <c r="M59" s="645"/>
      <c r="N59" s="645"/>
      <c r="O59" s="645"/>
      <c r="P59" s="645"/>
      <c r="Q59" s="645"/>
      <c r="R59" s="645"/>
      <c r="S59" s="646"/>
      <c r="T59" s="646"/>
      <c r="U59" s="646"/>
      <c r="V59" s="645"/>
      <c r="W59" s="645"/>
      <c r="X59" s="645"/>
      <c r="Y59" s="645"/>
      <c r="Z59" s="645"/>
      <c r="AA59" s="645"/>
      <c r="AB59" s="645"/>
      <c r="AC59" s="645"/>
      <c r="AD59" s="659"/>
      <c r="AE59" s="926"/>
      <c r="AF59" s="927"/>
      <c r="AG59" s="928"/>
    </row>
    <row r="60" spans="2:33" ht="28.5" customHeight="1">
      <c r="B60" s="920"/>
      <c r="C60" s="921"/>
      <c r="D60" s="921"/>
      <c r="E60" s="922"/>
      <c r="F60" s="898"/>
      <c r="G60" s="899"/>
      <c r="H60" s="637" t="s">
        <v>458</v>
      </c>
      <c r="I60" s="637"/>
      <c r="J60" s="637"/>
      <c r="K60" s="645"/>
      <c r="L60" s="645"/>
      <c r="M60" s="645"/>
      <c r="N60" s="645"/>
      <c r="O60" s="645"/>
      <c r="P60" s="645"/>
      <c r="Q60" s="645"/>
      <c r="R60" s="645"/>
      <c r="S60" s="646"/>
      <c r="T60" s="646"/>
      <c r="U60" s="646"/>
      <c r="V60" s="645"/>
      <c r="W60" s="645"/>
      <c r="X60" s="645"/>
      <c r="Y60" s="645"/>
      <c r="Z60" s="645"/>
      <c r="AA60" s="645"/>
      <c r="AB60" s="645"/>
      <c r="AC60" s="645"/>
      <c r="AD60" s="659"/>
      <c r="AE60" s="926"/>
      <c r="AF60" s="927"/>
      <c r="AG60" s="928"/>
    </row>
    <row r="61" spans="2:33" ht="28.5" customHeight="1">
      <c r="B61" s="920"/>
      <c r="C61" s="921"/>
      <c r="D61" s="921"/>
      <c r="E61" s="922"/>
      <c r="F61" s="898"/>
      <c r="G61" s="899"/>
      <c r="H61" s="634" t="s">
        <v>377</v>
      </c>
      <c r="I61" s="634"/>
      <c r="J61" s="634"/>
      <c r="K61" s="635"/>
      <c r="L61" s="635"/>
      <c r="M61" s="635"/>
      <c r="N61" s="635"/>
      <c r="O61" s="635"/>
      <c r="P61" s="635"/>
      <c r="Q61" s="635"/>
      <c r="R61" s="635"/>
      <c r="S61" s="636"/>
      <c r="T61" s="636"/>
      <c r="U61" s="636"/>
      <c r="V61" s="635"/>
      <c r="W61" s="635"/>
      <c r="X61" s="635"/>
      <c r="Y61" s="635"/>
      <c r="Z61" s="635"/>
      <c r="AA61" s="635"/>
      <c r="AB61" s="635"/>
      <c r="AC61" s="635"/>
      <c r="AD61" s="660"/>
      <c r="AE61" s="926"/>
      <c r="AF61" s="927"/>
      <c r="AG61" s="928"/>
    </row>
    <row r="62" spans="2:33" ht="28.5" customHeight="1">
      <c r="B62" s="920"/>
      <c r="C62" s="921"/>
      <c r="D62" s="921"/>
      <c r="E62" s="922"/>
      <c r="F62" s="898"/>
      <c r="G62" s="899"/>
      <c r="H62" s="634" t="s">
        <v>376</v>
      </c>
      <c r="I62" s="634"/>
      <c r="J62" s="634"/>
      <c r="K62" s="635"/>
      <c r="L62" s="635"/>
      <c r="M62" s="635"/>
      <c r="N62" s="635"/>
      <c r="O62" s="635"/>
      <c r="P62" s="635"/>
      <c r="Q62" s="635"/>
      <c r="R62" s="635"/>
      <c r="S62" s="636"/>
      <c r="T62" s="636"/>
      <c r="U62" s="636"/>
      <c r="V62" s="635"/>
      <c r="W62" s="635"/>
      <c r="X62" s="635"/>
      <c r="Y62" s="635"/>
      <c r="Z62" s="635"/>
      <c r="AA62" s="635"/>
      <c r="AB62" s="635"/>
      <c r="AC62" s="635"/>
      <c r="AD62" s="660"/>
      <c r="AE62" s="926"/>
      <c r="AF62" s="927"/>
      <c r="AG62" s="928"/>
    </row>
    <row r="63" spans="2:33" ht="28.5" customHeight="1">
      <c r="B63" s="920"/>
      <c r="C63" s="921"/>
      <c r="D63" s="921"/>
      <c r="E63" s="922"/>
      <c r="F63" s="898"/>
      <c r="G63" s="899"/>
      <c r="H63" s="634" t="s">
        <v>375</v>
      </c>
      <c r="I63" s="634"/>
      <c r="J63" s="634"/>
      <c r="K63" s="635"/>
      <c r="L63" s="635"/>
      <c r="M63" s="635"/>
      <c r="N63" s="635"/>
      <c r="O63" s="635"/>
      <c r="P63" s="635"/>
      <c r="Q63" s="635"/>
      <c r="R63" s="635"/>
      <c r="S63" s="636"/>
      <c r="T63" s="636"/>
      <c r="U63" s="636"/>
      <c r="V63" s="635"/>
      <c r="W63" s="635"/>
      <c r="X63" s="635"/>
      <c r="Y63" s="635"/>
      <c r="Z63" s="635"/>
      <c r="AA63" s="635"/>
      <c r="AB63" s="635"/>
      <c r="AC63" s="635"/>
      <c r="AD63" s="660"/>
      <c r="AE63" s="926"/>
      <c r="AF63" s="927"/>
      <c r="AG63" s="928"/>
    </row>
    <row r="64" spans="2:33" ht="28.5" customHeight="1">
      <c r="B64" s="920"/>
      <c r="C64" s="921"/>
      <c r="D64" s="921"/>
      <c r="E64" s="922"/>
      <c r="F64" s="898"/>
      <c r="G64" s="899"/>
      <c r="H64" s="640" t="s">
        <v>457</v>
      </c>
      <c r="I64" s="640"/>
      <c r="J64" s="640"/>
      <c r="K64" s="641"/>
      <c r="L64" s="641"/>
      <c r="M64" s="641"/>
      <c r="N64" s="641"/>
      <c r="O64" s="634"/>
      <c r="P64" s="642"/>
      <c r="Q64" s="642"/>
      <c r="R64" s="642"/>
      <c r="S64" s="634"/>
      <c r="T64" s="634"/>
      <c r="U64" s="634"/>
      <c r="V64" s="642"/>
      <c r="W64" s="642"/>
      <c r="X64" s="642"/>
      <c r="Y64" s="642"/>
      <c r="Z64" s="642"/>
      <c r="AA64" s="642"/>
      <c r="AB64" s="642"/>
      <c r="AC64" s="642"/>
      <c r="AD64" s="667"/>
      <c r="AE64" s="926"/>
      <c r="AF64" s="927"/>
      <c r="AG64" s="928"/>
    </row>
    <row r="65" spans="2:34" ht="28.5" customHeight="1">
      <c r="B65" s="920"/>
      <c r="C65" s="921"/>
      <c r="D65" s="921"/>
      <c r="E65" s="922"/>
      <c r="F65" s="898"/>
      <c r="G65" s="899"/>
      <c r="H65" s="634" t="s">
        <v>366</v>
      </c>
      <c r="I65" s="634"/>
      <c r="J65" s="634"/>
      <c r="K65" s="635"/>
      <c r="L65" s="635"/>
      <c r="M65" s="635"/>
      <c r="N65" s="635"/>
      <c r="O65" s="635"/>
      <c r="P65" s="635"/>
      <c r="Q65" s="635"/>
      <c r="R65" s="635"/>
      <c r="S65" s="636"/>
      <c r="T65" s="636"/>
      <c r="U65" s="636"/>
      <c r="V65" s="635"/>
      <c r="W65" s="635"/>
      <c r="X65" s="635"/>
      <c r="Y65" s="635"/>
      <c r="Z65" s="635"/>
      <c r="AA65" s="635"/>
      <c r="AB65" s="635"/>
      <c r="AC65" s="635"/>
      <c r="AD65" s="660"/>
      <c r="AE65" s="926"/>
      <c r="AF65" s="927"/>
      <c r="AG65" s="928"/>
    </row>
    <row r="66" spans="2:34" ht="28.5" customHeight="1">
      <c r="B66" s="920"/>
      <c r="C66" s="921"/>
      <c r="D66" s="921"/>
      <c r="E66" s="922"/>
      <c r="F66" s="898"/>
      <c r="G66" s="899"/>
      <c r="H66" s="634" t="s">
        <v>372</v>
      </c>
      <c r="I66" s="640"/>
      <c r="J66" s="640"/>
      <c r="K66" s="641"/>
      <c r="L66" s="641"/>
      <c r="M66" s="641"/>
      <c r="N66" s="641"/>
      <c r="O66" s="641"/>
      <c r="P66" s="641"/>
      <c r="Q66" s="641"/>
      <c r="R66" s="641"/>
      <c r="S66" s="648"/>
      <c r="T66" s="648"/>
      <c r="U66" s="648"/>
      <c r="V66" s="641"/>
      <c r="W66" s="641"/>
      <c r="X66" s="641"/>
      <c r="Y66" s="641"/>
      <c r="Z66" s="641"/>
      <c r="AA66" s="641"/>
      <c r="AB66" s="641"/>
      <c r="AC66" s="641"/>
      <c r="AD66" s="661"/>
      <c r="AE66" s="926"/>
      <c r="AF66" s="927"/>
      <c r="AG66" s="928"/>
    </row>
    <row r="67" spans="2:34" ht="28.5" customHeight="1">
      <c r="B67" s="920"/>
      <c r="C67" s="921"/>
      <c r="D67" s="921"/>
      <c r="E67" s="922"/>
      <c r="F67" s="898"/>
      <c r="G67" s="899"/>
      <c r="H67" s="634" t="s">
        <v>371</v>
      </c>
      <c r="I67" s="634"/>
      <c r="J67" s="634"/>
      <c r="K67" s="635"/>
      <c r="L67" s="635"/>
      <c r="M67" s="635"/>
      <c r="N67" s="635"/>
      <c r="O67" s="635"/>
      <c r="P67" s="635"/>
      <c r="Q67" s="635"/>
      <c r="R67" s="635"/>
      <c r="S67" s="636"/>
      <c r="T67" s="636"/>
      <c r="U67" s="636"/>
      <c r="V67" s="635"/>
      <c r="W67" s="635"/>
      <c r="X67" s="635"/>
      <c r="Y67" s="635"/>
      <c r="Z67" s="635"/>
      <c r="AA67" s="635"/>
      <c r="AB67" s="635"/>
      <c r="AC67" s="635"/>
      <c r="AD67" s="660"/>
      <c r="AE67" s="926"/>
      <c r="AF67" s="927"/>
      <c r="AG67" s="928"/>
    </row>
    <row r="68" spans="2:34" ht="28.5" customHeight="1">
      <c r="B68" s="920"/>
      <c r="C68" s="921"/>
      <c r="D68" s="921"/>
      <c r="E68" s="922"/>
      <c r="F68" s="898"/>
      <c r="G68" s="899"/>
      <c r="H68" s="634" t="s">
        <v>370</v>
      </c>
      <c r="I68" s="640"/>
      <c r="J68" s="640"/>
      <c r="K68" s="641"/>
      <c r="L68" s="641"/>
      <c r="M68" s="641"/>
      <c r="N68" s="641"/>
      <c r="O68" s="641"/>
      <c r="P68" s="641"/>
      <c r="Q68" s="641"/>
      <c r="R68" s="641"/>
      <c r="S68" s="648"/>
      <c r="T68" s="648"/>
      <c r="U68" s="648"/>
      <c r="V68" s="641"/>
      <c r="W68" s="641"/>
      <c r="X68" s="641"/>
      <c r="Y68" s="641"/>
      <c r="Z68" s="641"/>
      <c r="AA68" s="641"/>
      <c r="AB68" s="641"/>
      <c r="AC68" s="641"/>
      <c r="AD68" s="661"/>
      <c r="AE68" s="926"/>
      <c r="AF68" s="927"/>
      <c r="AG68" s="928"/>
    </row>
    <row r="69" spans="2:34" ht="28.5" customHeight="1">
      <c r="B69" s="920"/>
      <c r="C69" s="921"/>
      <c r="D69" s="921"/>
      <c r="E69" s="922"/>
      <c r="F69" s="898"/>
      <c r="G69" s="899"/>
      <c r="H69" s="640" t="s">
        <v>363</v>
      </c>
      <c r="I69" s="640"/>
      <c r="J69" s="640"/>
      <c r="K69" s="641"/>
      <c r="L69" s="641"/>
      <c r="M69" s="641"/>
      <c r="N69" s="641"/>
      <c r="O69" s="641"/>
      <c r="P69" s="641"/>
      <c r="Q69" s="641"/>
      <c r="R69" s="641"/>
      <c r="S69" s="648"/>
      <c r="T69" s="648"/>
      <c r="U69" s="648"/>
      <c r="V69" s="641"/>
      <c r="W69" s="641"/>
      <c r="X69" s="641"/>
      <c r="Y69" s="641"/>
      <c r="Z69" s="641"/>
      <c r="AA69" s="641"/>
      <c r="AB69" s="641"/>
      <c r="AC69" s="641"/>
      <c r="AD69" s="661"/>
      <c r="AE69" s="943"/>
      <c r="AF69" s="941"/>
      <c r="AG69" s="942"/>
    </row>
    <row r="70" spans="2:34" ht="28.5" customHeight="1">
      <c r="B70" s="920"/>
      <c r="C70" s="921"/>
      <c r="D70" s="921"/>
      <c r="E70" s="922"/>
      <c r="F70" s="898"/>
      <c r="G70" s="899"/>
      <c r="H70" s="643" t="s">
        <v>456</v>
      </c>
      <c r="I70" s="634"/>
      <c r="J70" s="634"/>
      <c r="K70" s="635"/>
      <c r="L70" s="635"/>
      <c r="M70" s="635"/>
      <c r="N70" s="635"/>
      <c r="O70" s="635"/>
      <c r="P70" s="635"/>
      <c r="Q70" s="635"/>
      <c r="R70" s="635"/>
      <c r="S70" s="636"/>
      <c r="T70" s="636"/>
      <c r="U70" s="636"/>
      <c r="V70" s="635"/>
      <c r="W70" s="635"/>
      <c r="X70" s="635"/>
      <c r="Y70" s="635"/>
      <c r="Z70" s="635"/>
      <c r="AA70" s="635"/>
      <c r="AB70" s="635"/>
      <c r="AC70" s="635"/>
      <c r="AD70" s="660"/>
      <c r="AE70" s="926"/>
      <c r="AF70" s="927"/>
      <c r="AG70" s="928"/>
    </row>
    <row r="71" spans="2:34" ht="28.5" customHeight="1">
      <c r="B71" s="920"/>
      <c r="C71" s="921"/>
      <c r="D71" s="921"/>
      <c r="E71" s="922"/>
      <c r="F71" s="898"/>
      <c r="G71" s="899"/>
      <c r="H71" s="966" t="s">
        <v>374</v>
      </c>
      <c r="I71" s="967"/>
      <c r="J71" s="967"/>
      <c r="K71" s="967"/>
      <c r="L71" s="967"/>
      <c r="M71" s="967"/>
      <c r="N71" s="967"/>
      <c r="O71" s="967"/>
      <c r="P71" s="967"/>
      <c r="Q71" s="967"/>
      <c r="R71" s="967"/>
      <c r="S71" s="967"/>
      <c r="T71" s="967"/>
      <c r="U71" s="967"/>
      <c r="V71" s="967"/>
      <c r="W71" s="967"/>
      <c r="X71" s="967"/>
      <c r="Y71" s="967"/>
      <c r="Z71" s="967"/>
      <c r="AA71" s="967"/>
      <c r="AB71" s="967"/>
      <c r="AC71" s="967"/>
      <c r="AD71" s="968"/>
      <c r="AE71" s="926"/>
      <c r="AF71" s="927"/>
      <c r="AG71" s="928"/>
    </row>
    <row r="72" spans="2:34" ht="28.5" customHeight="1">
      <c r="B72" s="920"/>
      <c r="C72" s="921"/>
      <c r="D72" s="921"/>
      <c r="E72" s="922"/>
      <c r="F72" s="900"/>
      <c r="G72" s="901"/>
      <c r="H72" s="662" t="s">
        <v>373</v>
      </c>
      <c r="I72" s="663"/>
      <c r="J72" s="663"/>
      <c r="K72" s="664"/>
      <c r="L72" s="664"/>
      <c r="M72" s="664"/>
      <c r="N72" s="664"/>
      <c r="O72" s="664"/>
      <c r="P72" s="664"/>
      <c r="Q72" s="664"/>
      <c r="R72" s="664"/>
      <c r="S72" s="665"/>
      <c r="T72" s="665"/>
      <c r="U72" s="665"/>
      <c r="V72" s="664"/>
      <c r="W72" s="664"/>
      <c r="X72" s="664"/>
      <c r="Y72" s="664"/>
      <c r="Z72" s="664"/>
      <c r="AA72" s="664"/>
      <c r="AB72" s="664"/>
      <c r="AC72" s="664"/>
      <c r="AD72" s="666"/>
      <c r="AE72" s="959"/>
      <c r="AF72" s="951"/>
      <c r="AG72" s="952"/>
    </row>
    <row r="73" spans="2:34" ht="28.5" customHeight="1">
      <c r="B73" s="920"/>
      <c r="C73" s="921"/>
      <c r="D73" s="921"/>
      <c r="E73" s="922"/>
      <c r="F73" s="936" t="s">
        <v>369</v>
      </c>
      <c r="G73" s="937"/>
      <c r="H73" s="649" t="s">
        <v>364</v>
      </c>
      <c r="I73" s="637"/>
      <c r="J73" s="637"/>
      <c r="K73" s="645"/>
      <c r="L73" s="645"/>
      <c r="M73" s="645"/>
      <c r="N73" s="645"/>
      <c r="O73" s="645"/>
      <c r="P73" s="645"/>
      <c r="Q73" s="645"/>
      <c r="R73" s="645"/>
      <c r="S73" s="646"/>
      <c r="T73" s="646"/>
      <c r="U73" s="646"/>
      <c r="V73" s="645"/>
      <c r="W73" s="645"/>
      <c r="X73" s="645"/>
      <c r="Y73" s="645"/>
      <c r="Z73" s="645"/>
      <c r="AA73" s="645"/>
      <c r="AB73" s="645"/>
      <c r="AC73" s="645"/>
      <c r="AD73" s="659"/>
      <c r="AE73" s="991"/>
      <c r="AF73" s="930"/>
      <c r="AG73" s="931"/>
    </row>
    <row r="74" spans="2:34" ht="28.5" customHeight="1">
      <c r="B74" s="920"/>
      <c r="C74" s="921"/>
      <c r="D74" s="921"/>
      <c r="E74" s="922"/>
      <c r="F74" s="898"/>
      <c r="G74" s="899"/>
      <c r="H74" s="649" t="s">
        <v>379</v>
      </c>
      <c r="I74" s="637"/>
      <c r="J74" s="637"/>
      <c r="K74" s="645"/>
      <c r="L74" s="645"/>
      <c r="M74" s="645"/>
      <c r="N74" s="645"/>
      <c r="O74" s="645"/>
      <c r="P74" s="645"/>
      <c r="Q74" s="645"/>
      <c r="R74" s="645"/>
      <c r="S74" s="646"/>
      <c r="T74" s="646"/>
      <c r="U74" s="646"/>
      <c r="V74" s="645"/>
      <c r="W74" s="645"/>
      <c r="X74" s="645"/>
      <c r="Y74" s="645"/>
      <c r="Z74" s="645"/>
      <c r="AA74" s="645"/>
      <c r="AB74" s="645"/>
      <c r="AC74" s="645"/>
      <c r="AD74" s="659"/>
      <c r="AE74" s="926"/>
      <c r="AF74" s="927"/>
      <c r="AG74" s="928"/>
    </row>
    <row r="75" spans="2:34" ht="28.5" customHeight="1">
      <c r="B75" s="920"/>
      <c r="C75" s="921"/>
      <c r="D75" s="921"/>
      <c r="E75" s="922"/>
      <c r="F75" s="898"/>
      <c r="G75" s="899"/>
      <c r="H75" s="649" t="s">
        <v>454</v>
      </c>
      <c r="I75" s="637"/>
      <c r="J75" s="637"/>
      <c r="K75" s="645"/>
      <c r="L75" s="645"/>
      <c r="M75" s="645"/>
      <c r="N75" s="645"/>
      <c r="O75" s="645"/>
      <c r="P75" s="645"/>
      <c r="Q75" s="645"/>
      <c r="R75" s="645"/>
      <c r="S75" s="646"/>
      <c r="T75" s="646"/>
      <c r="U75" s="646"/>
      <c r="V75" s="645"/>
      <c r="W75" s="645"/>
      <c r="X75" s="645"/>
      <c r="Y75" s="645"/>
      <c r="Z75" s="645"/>
      <c r="AA75" s="645"/>
      <c r="AB75" s="645"/>
      <c r="AC75" s="645"/>
      <c r="AD75" s="659"/>
      <c r="AE75" s="926"/>
      <c r="AF75" s="927"/>
      <c r="AG75" s="928"/>
    </row>
    <row r="76" spans="2:34" ht="28.5" customHeight="1">
      <c r="B76" s="920"/>
      <c r="C76" s="921"/>
      <c r="D76" s="921"/>
      <c r="E76" s="922"/>
      <c r="F76" s="898"/>
      <c r="G76" s="899"/>
      <c r="H76" s="668" t="s">
        <v>366</v>
      </c>
      <c r="I76" s="629"/>
      <c r="J76" s="629"/>
      <c r="K76" s="638"/>
      <c r="L76" s="638"/>
      <c r="M76" s="638"/>
      <c r="N76" s="638"/>
      <c r="O76" s="638"/>
      <c r="P76" s="638"/>
      <c r="Q76" s="638"/>
      <c r="R76" s="638"/>
      <c r="S76" s="639"/>
      <c r="T76" s="639"/>
      <c r="U76" s="639"/>
      <c r="V76" s="638"/>
      <c r="W76" s="638"/>
      <c r="X76" s="638"/>
      <c r="Y76" s="638"/>
      <c r="Z76" s="638"/>
      <c r="AA76" s="638"/>
      <c r="AB76" s="638"/>
      <c r="AC76" s="638"/>
      <c r="AD76" s="669"/>
      <c r="AE76" s="926"/>
      <c r="AF76" s="927"/>
      <c r="AG76" s="928"/>
    </row>
    <row r="77" spans="2:34" ht="28.5" customHeight="1">
      <c r="B77" s="920"/>
      <c r="C77" s="921"/>
      <c r="D77" s="921"/>
      <c r="E77" s="922"/>
      <c r="F77" s="898"/>
      <c r="G77" s="899"/>
      <c r="H77" s="647" t="s">
        <v>363</v>
      </c>
      <c r="I77" s="640"/>
      <c r="J77" s="640"/>
      <c r="K77" s="641"/>
      <c r="L77" s="641"/>
      <c r="M77" s="641"/>
      <c r="N77" s="641"/>
      <c r="O77" s="641"/>
      <c r="P77" s="641"/>
      <c r="Q77" s="641"/>
      <c r="R77" s="641"/>
      <c r="S77" s="648"/>
      <c r="T77" s="648"/>
      <c r="U77" s="648"/>
      <c r="V77" s="641"/>
      <c r="W77" s="641"/>
      <c r="X77" s="641"/>
      <c r="Y77" s="641"/>
      <c r="Z77" s="641"/>
      <c r="AA77" s="641"/>
      <c r="AB77" s="641"/>
      <c r="AC77" s="641"/>
      <c r="AD77" s="661"/>
      <c r="AE77" s="943"/>
      <c r="AF77" s="941"/>
      <c r="AG77" s="942"/>
    </row>
    <row r="78" spans="2:34" ht="28.5" customHeight="1" thickBot="1">
      <c r="B78" s="923"/>
      <c r="C78" s="924"/>
      <c r="D78" s="924"/>
      <c r="E78" s="925"/>
      <c r="F78" s="938"/>
      <c r="G78" s="939"/>
      <c r="H78" s="953" t="s">
        <v>453</v>
      </c>
      <c r="I78" s="954"/>
      <c r="J78" s="954"/>
      <c r="K78" s="954"/>
      <c r="L78" s="954"/>
      <c r="M78" s="954"/>
      <c r="N78" s="954"/>
      <c r="O78" s="954"/>
      <c r="P78" s="954"/>
      <c r="Q78" s="954"/>
      <c r="R78" s="954"/>
      <c r="S78" s="954"/>
      <c r="T78" s="954"/>
      <c r="U78" s="954"/>
      <c r="V78" s="954"/>
      <c r="W78" s="954"/>
      <c r="X78" s="954"/>
      <c r="Y78" s="954"/>
      <c r="Z78" s="954"/>
      <c r="AA78" s="954"/>
      <c r="AB78" s="954"/>
      <c r="AC78" s="954"/>
      <c r="AD78" s="955"/>
      <c r="AE78" s="933"/>
      <c r="AF78" s="934"/>
      <c r="AG78" s="935"/>
    </row>
    <row r="79" spans="2:34" ht="9" customHeight="1">
      <c r="B79" s="436"/>
      <c r="C79" s="436"/>
      <c r="D79" s="436"/>
      <c r="E79" s="436"/>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436"/>
    </row>
    <row r="80" spans="2:34" ht="9" customHeight="1" thickBot="1">
      <c r="B80" s="436"/>
      <c r="C80" s="436"/>
      <c r="D80" s="436"/>
      <c r="E80" s="436"/>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436"/>
    </row>
    <row r="81" spans="2:33" ht="28.5" customHeight="1">
      <c r="B81" s="830" t="s">
        <v>455</v>
      </c>
      <c r="C81" s="918"/>
      <c r="D81" s="918"/>
      <c r="E81" s="919"/>
      <c r="F81" s="896" t="s">
        <v>368</v>
      </c>
      <c r="G81" s="897"/>
      <c r="H81" s="655" t="s">
        <v>364</v>
      </c>
      <c r="I81" s="630"/>
      <c r="J81" s="630"/>
      <c r="K81" s="656"/>
      <c r="L81" s="656"/>
      <c r="M81" s="656"/>
      <c r="N81" s="656"/>
      <c r="O81" s="656"/>
      <c r="P81" s="656"/>
      <c r="Q81" s="656"/>
      <c r="R81" s="656"/>
      <c r="S81" s="657"/>
      <c r="T81" s="657"/>
      <c r="U81" s="657"/>
      <c r="V81" s="656"/>
      <c r="W81" s="656"/>
      <c r="X81" s="656"/>
      <c r="Y81" s="656"/>
      <c r="Z81" s="656"/>
      <c r="AA81" s="656"/>
      <c r="AB81" s="656"/>
      <c r="AC81" s="656"/>
      <c r="AD81" s="670"/>
      <c r="AE81" s="944"/>
      <c r="AF81" s="945"/>
      <c r="AG81" s="946"/>
    </row>
    <row r="82" spans="2:33" ht="28.5" customHeight="1">
      <c r="B82" s="920"/>
      <c r="C82" s="921"/>
      <c r="D82" s="921"/>
      <c r="E82" s="922"/>
      <c r="F82" s="898"/>
      <c r="G82" s="899"/>
      <c r="H82" s="668" t="s">
        <v>454</v>
      </c>
      <c r="I82" s="629"/>
      <c r="J82" s="629"/>
      <c r="K82" s="638"/>
      <c r="L82" s="638"/>
      <c r="M82" s="638"/>
      <c r="N82" s="638"/>
      <c r="O82" s="638"/>
      <c r="P82" s="638"/>
      <c r="Q82" s="638"/>
      <c r="R82" s="638"/>
      <c r="S82" s="639"/>
      <c r="T82" s="639"/>
      <c r="U82" s="639"/>
      <c r="V82" s="638"/>
      <c r="W82" s="638"/>
      <c r="X82" s="638"/>
      <c r="Y82" s="638"/>
      <c r="Z82" s="638"/>
      <c r="AA82" s="638"/>
      <c r="AB82" s="638"/>
      <c r="AC82" s="638"/>
      <c r="AD82" s="671"/>
      <c r="AE82" s="940"/>
      <c r="AF82" s="941"/>
      <c r="AG82" s="942"/>
    </row>
    <row r="83" spans="2:33" ht="28.5" customHeight="1">
      <c r="B83" s="920"/>
      <c r="C83" s="921"/>
      <c r="D83" s="921"/>
      <c r="E83" s="922"/>
      <c r="F83" s="898"/>
      <c r="G83" s="899"/>
      <c r="H83" s="647" t="s">
        <v>363</v>
      </c>
      <c r="I83" s="640"/>
      <c r="J83" s="640"/>
      <c r="K83" s="641"/>
      <c r="L83" s="641"/>
      <c r="M83" s="641"/>
      <c r="N83" s="641"/>
      <c r="O83" s="641"/>
      <c r="P83" s="641"/>
      <c r="Q83" s="641"/>
      <c r="R83" s="641"/>
      <c r="S83" s="648"/>
      <c r="T83" s="648"/>
      <c r="U83" s="648"/>
      <c r="V83" s="641"/>
      <c r="W83" s="641"/>
      <c r="X83" s="641"/>
      <c r="Y83" s="641"/>
      <c r="Z83" s="641"/>
      <c r="AA83" s="641"/>
      <c r="AB83" s="641"/>
      <c r="AC83" s="641"/>
      <c r="AD83" s="672"/>
      <c r="AE83" s="940"/>
      <c r="AF83" s="941"/>
      <c r="AG83" s="942"/>
    </row>
    <row r="84" spans="2:33" ht="28.5" customHeight="1">
      <c r="B84" s="920"/>
      <c r="C84" s="921"/>
      <c r="D84" s="921"/>
      <c r="E84" s="922"/>
      <c r="F84" s="900"/>
      <c r="G84" s="901"/>
      <c r="H84" s="947" t="s">
        <v>453</v>
      </c>
      <c r="I84" s="948"/>
      <c r="J84" s="948"/>
      <c r="K84" s="948"/>
      <c r="L84" s="948"/>
      <c r="M84" s="948"/>
      <c r="N84" s="948"/>
      <c r="O84" s="948"/>
      <c r="P84" s="948"/>
      <c r="Q84" s="948"/>
      <c r="R84" s="948"/>
      <c r="S84" s="948"/>
      <c r="T84" s="948"/>
      <c r="U84" s="948"/>
      <c r="V84" s="948"/>
      <c r="W84" s="948"/>
      <c r="X84" s="948"/>
      <c r="Y84" s="948"/>
      <c r="Z84" s="948"/>
      <c r="AA84" s="948"/>
      <c r="AB84" s="948"/>
      <c r="AC84" s="948"/>
      <c r="AD84" s="949"/>
      <c r="AE84" s="950"/>
      <c r="AF84" s="951"/>
      <c r="AG84" s="952"/>
    </row>
    <row r="85" spans="2:33" ht="28.5" customHeight="1">
      <c r="B85" s="920"/>
      <c r="C85" s="921"/>
      <c r="D85" s="921"/>
      <c r="E85" s="922"/>
      <c r="F85" s="936" t="s">
        <v>367</v>
      </c>
      <c r="G85" s="937"/>
      <c r="H85" s="649" t="s">
        <v>364</v>
      </c>
      <c r="I85" s="637"/>
      <c r="J85" s="637"/>
      <c r="K85" s="645"/>
      <c r="L85" s="645"/>
      <c r="M85" s="645"/>
      <c r="N85" s="645"/>
      <c r="O85" s="645"/>
      <c r="P85" s="645"/>
      <c r="Q85" s="645"/>
      <c r="R85" s="645"/>
      <c r="S85" s="646"/>
      <c r="T85" s="646"/>
      <c r="U85" s="646"/>
      <c r="V85" s="645"/>
      <c r="W85" s="645"/>
      <c r="X85" s="645"/>
      <c r="Y85" s="645"/>
      <c r="Z85" s="645"/>
      <c r="AA85" s="645"/>
      <c r="AB85" s="645"/>
      <c r="AC85" s="645"/>
      <c r="AD85" s="673"/>
      <c r="AE85" s="929"/>
      <c r="AF85" s="930"/>
      <c r="AG85" s="931"/>
    </row>
    <row r="86" spans="2:33" ht="28.5" customHeight="1">
      <c r="B86" s="920"/>
      <c r="C86" s="921"/>
      <c r="D86" s="921"/>
      <c r="E86" s="922"/>
      <c r="F86" s="898"/>
      <c r="G86" s="899"/>
      <c r="H86" s="643" t="s">
        <v>379</v>
      </c>
      <c r="I86" s="634"/>
      <c r="J86" s="634"/>
      <c r="K86" s="635"/>
      <c r="L86" s="635"/>
      <c r="M86" s="635"/>
      <c r="N86" s="635"/>
      <c r="O86" s="635"/>
      <c r="P86" s="635"/>
      <c r="Q86" s="635"/>
      <c r="R86" s="635"/>
      <c r="S86" s="636"/>
      <c r="T86" s="636"/>
      <c r="U86" s="636"/>
      <c r="V86" s="635"/>
      <c r="W86" s="635"/>
      <c r="X86" s="635"/>
      <c r="Y86" s="635"/>
      <c r="Z86" s="635"/>
      <c r="AA86" s="635"/>
      <c r="AB86" s="635"/>
      <c r="AC86" s="635"/>
      <c r="AD86" s="644"/>
      <c r="AE86" s="932"/>
      <c r="AF86" s="927"/>
      <c r="AG86" s="928"/>
    </row>
    <row r="87" spans="2:33" ht="28.5" customHeight="1">
      <c r="B87" s="920"/>
      <c r="C87" s="921"/>
      <c r="D87" s="921"/>
      <c r="E87" s="922"/>
      <c r="F87" s="898"/>
      <c r="G87" s="899"/>
      <c r="H87" s="649" t="s">
        <v>454</v>
      </c>
      <c r="I87" s="637"/>
      <c r="J87" s="637"/>
      <c r="K87" s="645"/>
      <c r="L87" s="645"/>
      <c r="M87" s="645"/>
      <c r="N87" s="645"/>
      <c r="O87" s="645"/>
      <c r="P87" s="645"/>
      <c r="Q87" s="645"/>
      <c r="R87" s="645"/>
      <c r="S87" s="646"/>
      <c r="T87" s="646"/>
      <c r="U87" s="646"/>
      <c r="V87" s="645"/>
      <c r="W87" s="645"/>
      <c r="X87" s="645"/>
      <c r="Y87" s="645"/>
      <c r="Z87" s="645"/>
      <c r="AA87" s="645"/>
      <c r="AB87" s="645"/>
      <c r="AC87" s="645"/>
      <c r="AD87" s="673"/>
      <c r="AE87" s="929"/>
      <c r="AF87" s="930"/>
      <c r="AG87" s="931"/>
    </row>
    <row r="88" spans="2:33" ht="28.5" customHeight="1">
      <c r="B88" s="920"/>
      <c r="C88" s="921"/>
      <c r="D88" s="921"/>
      <c r="E88" s="922"/>
      <c r="F88" s="898"/>
      <c r="G88" s="899"/>
      <c r="H88" s="647" t="s">
        <v>366</v>
      </c>
      <c r="I88" s="640"/>
      <c r="J88" s="640"/>
      <c r="K88" s="641"/>
      <c r="L88" s="641"/>
      <c r="M88" s="641"/>
      <c r="N88" s="641"/>
      <c r="O88" s="641"/>
      <c r="P88" s="641"/>
      <c r="Q88" s="641"/>
      <c r="R88" s="641"/>
      <c r="S88" s="648"/>
      <c r="T88" s="648"/>
      <c r="U88" s="648"/>
      <c r="V88" s="641"/>
      <c r="W88" s="641"/>
      <c r="X88" s="641"/>
      <c r="Y88" s="641"/>
      <c r="Z88" s="641"/>
      <c r="AA88" s="641"/>
      <c r="AB88" s="641"/>
      <c r="AC88" s="641"/>
      <c r="AD88" s="672"/>
      <c r="AE88" s="940"/>
      <c r="AF88" s="941"/>
      <c r="AG88" s="942"/>
    </row>
    <row r="89" spans="2:33" ht="28.5" customHeight="1">
      <c r="B89" s="920"/>
      <c r="C89" s="921"/>
      <c r="D89" s="921"/>
      <c r="E89" s="922"/>
      <c r="F89" s="898"/>
      <c r="G89" s="899"/>
      <c r="H89" s="647" t="s">
        <v>363</v>
      </c>
      <c r="I89" s="640"/>
      <c r="J89" s="640"/>
      <c r="K89" s="641"/>
      <c r="L89" s="641"/>
      <c r="M89" s="641"/>
      <c r="N89" s="641"/>
      <c r="O89" s="641"/>
      <c r="P89" s="641"/>
      <c r="Q89" s="641"/>
      <c r="R89" s="641"/>
      <c r="S89" s="648"/>
      <c r="T89" s="648"/>
      <c r="U89" s="648"/>
      <c r="V89" s="641"/>
      <c r="W89" s="641"/>
      <c r="X89" s="641"/>
      <c r="Y89" s="641"/>
      <c r="Z89" s="641"/>
      <c r="AA89" s="641"/>
      <c r="AB89" s="641"/>
      <c r="AC89" s="641"/>
      <c r="AD89" s="672"/>
      <c r="AE89" s="932"/>
      <c r="AF89" s="927"/>
      <c r="AG89" s="928"/>
    </row>
    <row r="90" spans="2:33" ht="28.5" customHeight="1" thickBot="1">
      <c r="B90" s="923"/>
      <c r="C90" s="924"/>
      <c r="D90" s="924"/>
      <c r="E90" s="925"/>
      <c r="F90" s="938"/>
      <c r="G90" s="939"/>
      <c r="H90" s="953" t="s">
        <v>453</v>
      </c>
      <c r="I90" s="954"/>
      <c r="J90" s="954"/>
      <c r="K90" s="954"/>
      <c r="L90" s="954"/>
      <c r="M90" s="954"/>
      <c r="N90" s="954"/>
      <c r="O90" s="954"/>
      <c r="P90" s="954"/>
      <c r="Q90" s="954"/>
      <c r="R90" s="954"/>
      <c r="S90" s="954"/>
      <c r="T90" s="954"/>
      <c r="U90" s="954"/>
      <c r="V90" s="954"/>
      <c r="W90" s="954"/>
      <c r="X90" s="954"/>
      <c r="Y90" s="954"/>
      <c r="Z90" s="954"/>
      <c r="AA90" s="954"/>
      <c r="AB90" s="954"/>
      <c r="AC90" s="954"/>
      <c r="AD90" s="992"/>
      <c r="AE90" s="956"/>
      <c r="AF90" s="934"/>
      <c r="AG90" s="935"/>
    </row>
    <row r="91" spans="2:33" ht="31.5" customHeight="1">
      <c r="B91" s="902" t="s">
        <v>452</v>
      </c>
      <c r="C91" s="903"/>
      <c r="D91" s="903"/>
      <c r="E91" s="904"/>
      <c r="F91" s="908" t="s">
        <v>365</v>
      </c>
      <c r="G91" s="909"/>
      <c r="H91" s="909"/>
      <c r="I91" s="909"/>
      <c r="J91" s="909"/>
      <c r="K91" s="909"/>
      <c r="L91" s="909"/>
      <c r="M91" s="909"/>
      <c r="N91" s="909"/>
      <c r="O91" s="909"/>
      <c r="P91" s="909"/>
      <c r="Q91" s="909"/>
      <c r="R91" s="909"/>
      <c r="S91" s="909"/>
      <c r="T91" s="909"/>
      <c r="U91" s="909"/>
      <c r="V91" s="909"/>
      <c r="W91" s="909"/>
      <c r="X91" s="909"/>
      <c r="Y91" s="909"/>
      <c r="Z91" s="910"/>
      <c r="AA91" s="914" t="s">
        <v>451</v>
      </c>
      <c r="AB91" s="915"/>
      <c r="AC91" s="915"/>
      <c r="AD91" s="915"/>
      <c r="AE91" s="962"/>
      <c r="AF91" s="963"/>
      <c r="AG91" s="674" t="s">
        <v>448</v>
      </c>
    </row>
    <row r="92" spans="2:33" ht="31.5" customHeight="1" thickBot="1">
      <c r="B92" s="905"/>
      <c r="C92" s="906"/>
      <c r="D92" s="906"/>
      <c r="E92" s="907"/>
      <c r="F92" s="911" t="s">
        <v>450</v>
      </c>
      <c r="G92" s="912"/>
      <c r="H92" s="912"/>
      <c r="I92" s="912"/>
      <c r="J92" s="912"/>
      <c r="K92" s="912"/>
      <c r="L92" s="912"/>
      <c r="M92" s="912"/>
      <c r="N92" s="912"/>
      <c r="O92" s="912"/>
      <c r="P92" s="912"/>
      <c r="Q92" s="912"/>
      <c r="R92" s="912"/>
      <c r="S92" s="912"/>
      <c r="T92" s="912"/>
      <c r="U92" s="912"/>
      <c r="V92" s="912"/>
      <c r="W92" s="912"/>
      <c r="X92" s="912"/>
      <c r="Y92" s="912"/>
      <c r="Z92" s="913"/>
      <c r="AA92" s="916" t="s">
        <v>449</v>
      </c>
      <c r="AB92" s="917"/>
      <c r="AC92" s="917"/>
      <c r="AD92" s="917"/>
      <c r="AE92" s="964"/>
      <c r="AF92" s="965"/>
      <c r="AG92" s="675" t="s">
        <v>448</v>
      </c>
    </row>
    <row r="93" spans="2:33" ht="28.5" customHeight="1" thickBot="1">
      <c r="B93" s="487" t="s">
        <v>447</v>
      </c>
      <c r="C93" s="486"/>
      <c r="D93" s="486"/>
      <c r="E93" s="486"/>
      <c r="F93" s="676"/>
      <c r="G93" s="676"/>
      <c r="H93" s="676"/>
      <c r="I93" s="676"/>
      <c r="J93" s="676"/>
      <c r="K93" s="677"/>
      <c r="L93" s="677"/>
      <c r="M93" s="677"/>
      <c r="N93" s="677"/>
      <c r="O93" s="677"/>
      <c r="P93" s="677"/>
      <c r="Q93" s="677"/>
      <c r="R93" s="677"/>
      <c r="S93" s="678"/>
      <c r="T93" s="678"/>
      <c r="U93" s="678"/>
      <c r="V93" s="677"/>
      <c r="W93" s="677"/>
      <c r="X93" s="677"/>
      <c r="Y93" s="677"/>
      <c r="Z93" s="677"/>
      <c r="AA93" s="957">
        <f>SUM('3_区分3計算表'!$H$37,'3_区分3計算表'!$L$37)</f>
        <v>2</v>
      </c>
      <c r="AB93" s="958"/>
      <c r="AC93" s="958"/>
      <c r="AD93" s="958"/>
      <c r="AE93" s="958"/>
      <c r="AF93" s="958"/>
      <c r="AG93" s="679" t="s">
        <v>443</v>
      </c>
    </row>
    <row r="94" spans="2:33" ht="28.5" customHeight="1">
      <c r="B94" s="902" t="s">
        <v>446</v>
      </c>
      <c r="C94" s="969"/>
      <c r="D94" s="969"/>
      <c r="E94" s="970"/>
      <c r="F94" s="630" t="s">
        <v>445</v>
      </c>
      <c r="G94" s="630"/>
      <c r="H94" s="630"/>
      <c r="I94" s="630"/>
      <c r="J94" s="630"/>
      <c r="K94" s="656"/>
      <c r="L94" s="656"/>
      <c r="M94" s="656"/>
      <c r="N94" s="656"/>
      <c r="O94" s="656"/>
      <c r="P94" s="656"/>
      <c r="Q94" s="656"/>
      <c r="R94" s="656"/>
      <c r="S94" s="657"/>
      <c r="T94" s="657"/>
      <c r="U94" s="657"/>
      <c r="V94" s="656"/>
      <c r="W94" s="656"/>
      <c r="X94" s="656"/>
      <c r="Y94" s="656"/>
      <c r="Z94" s="656"/>
      <c r="AA94" s="993" t="str">
        <f>【参考】計算結果!$D17</f>
        <v>実人数を入力してください。</v>
      </c>
      <c r="AB94" s="994"/>
      <c r="AC94" s="994"/>
      <c r="AD94" s="994"/>
      <c r="AE94" s="994"/>
      <c r="AF94" s="994"/>
      <c r="AG94" s="680" t="s">
        <v>443</v>
      </c>
    </row>
    <row r="95" spans="2:33" ht="28.5" customHeight="1" thickBot="1">
      <c r="B95" s="971"/>
      <c r="C95" s="972"/>
      <c r="D95" s="972"/>
      <c r="E95" s="973"/>
      <c r="F95" s="681" t="s">
        <v>444</v>
      </c>
      <c r="G95" s="682"/>
      <c r="H95" s="682"/>
      <c r="I95" s="682"/>
      <c r="J95" s="683"/>
      <c r="K95" s="683"/>
      <c r="L95" s="683"/>
      <c r="M95" s="683"/>
      <c r="N95" s="683"/>
      <c r="O95" s="683"/>
      <c r="P95" s="683"/>
      <c r="Q95" s="683"/>
      <c r="R95" s="683"/>
      <c r="S95" s="682"/>
      <c r="T95" s="682"/>
      <c r="U95" s="682"/>
      <c r="V95" s="683"/>
      <c r="W95" s="683"/>
      <c r="X95" s="683"/>
      <c r="Y95" s="683"/>
      <c r="Z95" s="683"/>
      <c r="AA95" s="960" t="str">
        <f>【参考】計算結果!$D18</f>
        <v>実人数を入力してください。</v>
      </c>
      <c r="AB95" s="961"/>
      <c r="AC95" s="961"/>
      <c r="AD95" s="961"/>
      <c r="AE95" s="961"/>
      <c r="AF95" s="961"/>
      <c r="AG95" s="684" t="s">
        <v>443</v>
      </c>
    </row>
    <row r="96" spans="2:33" ht="15" customHeight="1">
      <c r="B96" s="462" t="s">
        <v>442</v>
      </c>
      <c r="C96" s="483"/>
      <c r="D96" s="483"/>
      <c r="E96" s="483"/>
      <c r="F96" s="685"/>
      <c r="G96" s="639"/>
      <c r="H96" s="639"/>
      <c r="I96" s="639"/>
      <c r="J96" s="638"/>
      <c r="K96" s="638"/>
      <c r="L96" s="638"/>
      <c r="M96" s="638"/>
      <c r="N96" s="638"/>
      <c r="O96" s="638"/>
      <c r="P96" s="638"/>
      <c r="Q96" s="638"/>
      <c r="R96" s="638"/>
      <c r="S96" s="639"/>
      <c r="T96" s="639"/>
      <c r="U96" s="639"/>
      <c r="V96" s="638"/>
      <c r="W96" s="638"/>
      <c r="X96" s="638"/>
      <c r="Y96" s="638"/>
      <c r="Z96" s="638"/>
      <c r="AA96" s="638"/>
      <c r="AB96" s="638"/>
      <c r="AC96" s="638"/>
      <c r="AD96" s="638"/>
      <c r="AE96" s="639"/>
      <c r="AF96" s="639"/>
      <c r="AG96" s="639"/>
    </row>
    <row r="97" spans="2:36" ht="15" customHeight="1">
      <c r="B97" s="462" t="s">
        <v>441</v>
      </c>
      <c r="C97" s="483"/>
      <c r="D97" s="483"/>
      <c r="E97" s="483"/>
      <c r="F97" s="685"/>
      <c r="G97" s="639"/>
      <c r="H97" s="639"/>
      <c r="I97" s="639"/>
      <c r="J97" s="638"/>
      <c r="K97" s="638"/>
      <c r="L97" s="638"/>
      <c r="M97" s="638"/>
      <c r="N97" s="638"/>
      <c r="O97" s="638"/>
      <c r="P97" s="638"/>
      <c r="Q97" s="638"/>
      <c r="R97" s="638"/>
      <c r="S97" s="639"/>
      <c r="T97" s="639"/>
      <c r="U97" s="639"/>
      <c r="V97" s="638"/>
      <c r="W97" s="638"/>
      <c r="X97" s="638"/>
      <c r="Y97" s="638"/>
      <c r="Z97" s="638"/>
      <c r="AA97" s="638"/>
      <c r="AB97" s="638"/>
      <c r="AC97" s="638"/>
      <c r="AD97" s="638"/>
      <c r="AE97" s="639"/>
      <c r="AF97" s="639"/>
      <c r="AG97" s="639"/>
    </row>
    <row r="98" spans="2:36" ht="15" customHeight="1">
      <c r="B98" s="462" t="s">
        <v>440</v>
      </c>
      <c r="C98" s="483"/>
      <c r="D98" s="483"/>
      <c r="E98" s="483"/>
      <c r="F98" s="685"/>
      <c r="G98" s="639"/>
      <c r="H98" s="639"/>
      <c r="I98" s="639"/>
      <c r="J98" s="638"/>
      <c r="K98" s="638"/>
      <c r="L98" s="638"/>
      <c r="M98" s="638"/>
      <c r="N98" s="638"/>
      <c r="O98" s="638"/>
      <c r="P98" s="638"/>
      <c r="Q98" s="638"/>
      <c r="R98" s="638"/>
      <c r="S98" s="639"/>
      <c r="T98" s="639"/>
      <c r="U98" s="639"/>
      <c r="V98" s="638"/>
      <c r="W98" s="638"/>
      <c r="X98" s="638"/>
      <c r="Y98" s="638"/>
      <c r="Z98" s="638"/>
      <c r="AA98" s="638"/>
      <c r="AB98" s="638"/>
      <c r="AC98" s="638"/>
      <c r="AD98" s="638"/>
      <c r="AE98" s="639"/>
      <c r="AF98" s="639"/>
      <c r="AG98" s="639"/>
    </row>
    <row r="99" spans="2:36" ht="15" customHeight="1">
      <c r="B99" s="459" t="s">
        <v>439</v>
      </c>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row>
    <row r="100" spans="2:36" ht="15" customHeight="1">
      <c r="B100" s="459" t="s">
        <v>438</v>
      </c>
      <c r="F100" s="629"/>
      <c r="G100" s="629"/>
      <c r="H100" s="629"/>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row>
    <row r="101" spans="2:36" ht="15" customHeight="1">
      <c r="B101" s="459" t="s">
        <v>437</v>
      </c>
      <c r="F101" s="629"/>
      <c r="G101" s="629"/>
      <c r="H101" s="629"/>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row>
    <row r="102" spans="2:36" ht="20.25" customHeight="1">
      <c r="F102" s="629"/>
      <c r="G102" s="629"/>
      <c r="H102" s="629"/>
      <c r="I102" s="629"/>
      <c r="J102" s="629"/>
      <c r="K102" s="629"/>
      <c r="L102" s="629"/>
      <c r="M102" s="629"/>
      <c r="N102" s="629"/>
      <c r="O102" s="629"/>
      <c r="P102" s="629"/>
      <c r="Q102" s="629"/>
      <c r="R102" s="629"/>
      <c r="S102" s="629"/>
      <c r="T102" s="629"/>
      <c r="U102" s="629"/>
      <c r="V102" s="686"/>
      <c r="W102" s="686"/>
      <c r="X102" s="686"/>
      <c r="Y102" s="686"/>
      <c r="Z102" s="687"/>
      <c r="AA102" s="687"/>
      <c r="AB102" s="687"/>
      <c r="AC102" s="687"/>
      <c r="AD102" s="687"/>
      <c r="AE102" s="687"/>
      <c r="AF102" s="687"/>
      <c r="AG102" s="687"/>
    </row>
    <row r="103" spans="2:36" ht="20.25" customHeight="1">
      <c r="V103" s="482"/>
      <c r="W103" s="482"/>
      <c r="X103" s="688"/>
      <c r="Y103" s="688"/>
      <c r="Z103" s="689"/>
      <c r="AA103" s="689"/>
      <c r="AB103" s="689"/>
      <c r="AC103" s="689"/>
      <c r="AD103" s="689"/>
      <c r="AE103" s="689"/>
      <c r="AF103" s="689"/>
      <c r="AG103" s="689"/>
      <c r="AH103" s="629"/>
      <c r="AI103" s="629"/>
      <c r="AJ103" s="629"/>
    </row>
  </sheetData>
  <sheetProtection algorithmName="SHA-512" hashValue="3WSslRmUngCRXkCm0MOEokwS19rmZuf51XW/qtVlc+48IEJOMrIrvYrcvjmIxwoa6nzfxKftxo4IQOAGMoze4Q==" saltValue="f8H9Lf6+YEoqhFQWTwKXTg==" spinCount="100000" sheet="1" objects="1" scenarios="1"/>
  <dataConsolidate link="1"/>
  <mergeCells count="121">
    <mergeCell ref="E6:K6"/>
    <mergeCell ref="O11:T11"/>
    <mergeCell ref="U11:AG11"/>
    <mergeCell ref="AA21:AG22"/>
    <mergeCell ref="AA26:AG26"/>
    <mergeCell ref="B25:L25"/>
    <mergeCell ref="B3:AG3"/>
    <mergeCell ref="O8:T8"/>
    <mergeCell ref="U8:AG8"/>
    <mergeCell ref="O9:T9"/>
    <mergeCell ref="U9:AG9"/>
    <mergeCell ref="O10:T10"/>
    <mergeCell ref="U10:AG10"/>
    <mergeCell ref="H15:K15"/>
    <mergeCell ref="Q16:V16"/>
    <mergeCell ref="T26:Z26"/>
    <mergeCell ref="M26:S26"/>
    <mergeCell ref="B30:E43"/>
    <mergeCell ref="B46:E78"/>
    <mergeCell ref="T15:V15"/>
    <mergeCell ref="AE41:AG41"/>
    <mergeCell ref="AE38:AG38"/>
    <mergeCell ref="AE55:AG55"/>
    <mergeCell ref="AE46:AG46"/>
    <mergeCell ref="AE57:AG57"/>
    <mergeCell ref="B20:AG20"/>
    <mergeCell ref="B21:B22"/>
    <mergeCell ref="Q17:V17"/>
    <mergeCell ref="B18:P18"/>
    <mergeCell ref="Q18:V18"/>
    <mergeCell ref="Z27:Z29"/>
    <mergeCell ref="L27:L29"/>
    <mergeCell ref="AA27:AF29"/>
    <mergeCell ref="T27:Y29"/>
    <mergeCell ref="M25:T25"/>
    <mergeCell ref="F26:L26"/>
    <mergeCell ref="C21:Z22"/>
    <mergeCell ref="Y15:AE15"/>
    <mergeCell ref="P15:S15"/>
    <mergeCell ref="L15:N15"/>
    <mergeCell ref="B15:G15"/>
    <mergeCell ref="AG27:AG29"/>
    <mergeCell ref="AE53:AG53"/>
    <mergeCell ref="AE51:AG51"/>
    <mergeCell ref="AE37:AG37"/>
    <mergeCell ref="AE50:AG50"/>
    <mergeCell ref="AE32:AG32"/>
    <mergeCell ref="F27:K29"/>
    <mergeCell ref="N29:R29"/>
    <mergeCell ref="N28:S28"/>
    <mergeCell ref="AE33:AG33"/>
    <mergeCell ref="AE52:AG52"/>
    <mergeCell ref="AE48:AG48"/>
    <mergeCell ref="AE39:AG39"/>
    <mergeCell ref="M27:R27"/>
    <mergeCell ref="AE40:AG40"/>
    <mergeCell ref="AE30:AG30"/>
    <mergeCell ref="AE31:AG31"/>
    <mergeCell ref="AE36:AG36"/>
    <mergeCell ref="AE43:AG43"/>
    <mergeCell ref="AE47:AG47"/>
    <mergeCell ref="F46:G54"/>
    <mergeCell ref="AE49:AG49"/>
    <mergeCell ref="AA93:AF93"/>
    <mergeCell ref="AE72:AG72"/>
    <mergeCell ref="AE65:AG65"/>
    <mergeCell ref="AA95:AF95"/>
    <mergeCell ref="AE91:AF91"/>
    <mergeCell ref="AE92:AF92"/>
    <mergeCell ref="H71:AD71"/>
    <mergeCell ref="B94:E95"/>
    <mergeCell ref="B26:E29"/>
    <mergeCell ref="AE54:AG54"/>
    <mergeCell ref="F30:G43"/>
    <mergeCell ref="AE73:AG73"/>
    <mergeCell ref="AE35:AG35"/>
    <mergeCell ref="AE88:AG88"/>
    <mergeCell ref="H90:AD90"/>
    <mergeCell ref="AE34:AG34"/>
    <mergeCell ref="AE42:AG42"/>
    <mergeCell ref="AA94:AF94"/>
    <mergeCell ref="AE56:AG56"/>
    <mergeCell ref="AE60:AG60"/>
    <mergeCell ref="AE59:AG59"/>
    <mergeCell ref="AE62:AG62"/>
    <mergeCell ref="AE58:AG58"/>
    <mergeCell ref="AE61:AG61"/>
    <mergeCell ref="AE81:AG81"/>
    <mergeCell ref="AE83:AG83"/>
    <mergeCell ref="H84:AD84"/>
    <mergeCell ref="AE84:AG84"/>
    <mergeCell ref="AE75:AG75"/>
    <mergeCell ref="AE77:AG77"/>
    <mergeCell ref="H78:AD78"/>
    <mergeCell ref="AE74:AG74"/>
    <mergeCell ref="AE90:AG90"/>
    <mergeCell ref="AE87:AG87"/>
    <mergeCell ref="F81:G84"/>
    <mergeCell ref="B91:E92"/>
    <mergeCell ref="F91:Z91"/>
    <mergeCell ref="F92:Z92"/>
    <mergeCell ref="AA91:AD91"/>
    <mergeCell ref="AA92:AD92"/>
    <mergeCell ref="B81:E90"/>
    <mergeCell ref="AE63:AG63"/>
    <mergeCell ref="AE64:AG64"/>
    <mergeCell ref="AE66:AG66"/>
    <mergeCell ref="AE85:AG85"/>
    <mergeCell ref="AE71:AG71"/>
    <mergeCell ref="AE70:AG70"/>
    <mergeCell ref="AE86:AG86"/>
    <mergeCell ref="AE78:AG78"/>
    <mergeCell ref="F73:G78"/>
    <mergeCell ref="F85:G90"/>
    <mergeCell ref="AE89:AG89"/>
    <mergeCell ref="AE76:AG76"/>
    <mergeCell ref="AE82:AG82"/>
    <mergeCell ref="AE67:AG67"/>
    <mergeCell ref="AE69:AG69"/>
    <mergeCell ref="AE68:AG68"/>
    <mergeCell ref="F55:G72"/>
  </mergeCells>
  <phoneticPr fontId="4"/>
  <dataValidations count="3">
    <dataValidation type="list" allowBlank="1" showInputMessage="1" showErrorMessage="1" sqref="AA21:AG22" xr:uid="{00000000-0002-0000-0200-000001000000}">
      <formula1>$AK$1</formula1>
    </dataValidation>
    <dataValidation type="list" allowBlank="1" showInputMessage="1" showErrorMessage="1" sqref="AF54:AG54 AE46:AE54 AF46:AG52 AE81:AG90 AE55:AG78 AE30:AG43" xr:uid="{00000000-0002-0000-0200-000000000000}">
      <formula1>$AL$1:$AL$2</formula1>
    </dataValidation>
    <dataValidation type="whole" allowBlank="1" showInputMessage="1" showErrorMessage="1" sqref="Q16:V18" xr:uid="{1AABF7F0-42FE-4228-80A4-0ECCBC2C5D3F}">
      <formula1>0</formula1>
      <formula2>1000</formula2>
    </dataValidation>
  </dataValidations>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rowBreaks count="2" manualBreakCount="2">
    <brk id="44" max="35" man="1"/>
    <brk id="79"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04DB-328B-4744-9E69-D4ADE0E94BE7}">
  <sheetPr>
    <pageSetUpPr fitToPage="1"/>
  </sheetPr>
  <dimension ref="B1:BA45"/>
  <sheetViews>
    <sheetView showGridLines="0" view="pageBreakPreview" zoomScale="85" zoomScaleNormal="100" zoomScaleSheetLayoutView="85" workbookViewId="0"/>
  </sheetViews>
  <sheetFormatPr defaultColWidth="9" defaultRowHeight="18" customHeight="1"/>
  <cols>
    <col min="1" max="1" width="2.5" style="629" customWidth="1"/>
    <col min="2" max="34" width="3.375" style="629" customWidth="1"/>
    <col min="35" max="35" width="2.5" style="629" customWidth="1"/>
    <col min="36" max="36" width="3" style="629" customWidth="1"/>
    <col min="37" max="40" width="3" style="629" hidden="1" customWidth="1"/>
    <col min="41" max="47" width="3" style="629" customWidth="1"/>
    <col min="48" max="51" width="9" style="629"/>
    <col min="52" max="53" width="21.375" style="629" customWidth="1"/>
    <col min="54" max="16384" width="9" style="629"/>
  </cols>
  <sheetData>
    <row r="1" spans="2:40" ht="18" customHeight="1">
      <c r="B1" s="690" t="s">
        <v>519</v>
      </c>
      <c r="AM1" s="629" t="s">
        <v>518</v>
      </c>
      <c r="AN1" s="629" t="s">
        <v>517</v>
      </c>
    </row>
    <row r="2" spans="2:40" ht="42.75" customHeight="1">
      <c r="B2" s="1077" t="str">
        <f>様式1!$AQ$1&amp;様式1!$AQ$2&amp;"年度賃金改善計画書（処遇改善等加算）"</f>
        <v>令和７年度賃金改善計画書（処遇改善等加算）</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row>
    <row r="3" spans="2:40" ht="26.25" customHeight="1" thickBot="1">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row>
    <row r="4" spans="2:40" ht="20.25" customHeight="1">
      <c r="D4" s="692"/>
      <c r="E4" s="692"/>
      <c r="F4" s="692"/>
      <c r="G4" s="692"/>
      <c r="H4" s="692"/>
      <c r="I4" s="692"/>
      <c r="J4" s="692"/>
      <c r="K4" s="692"/>
      <c r="L4" s="692"/>
      <c r="M4" s="692"/>
      <c r="N4" s="692"/>
      <c r="O4" s="692"/>
      <c r="P4" s="692"/>
      <c r="R4" s="1078" t="s">
        <v>406</v>
      </c>
      <c r="S4" s="1079"/>
      <c r="T4" s="1079"/>
      <c r="U4" s="1079"/>
      <c r="V4" s="1079"/>
      <c r="W4" s="1079"/>
      <c r="X4" s="1080" t="str">
        <f>様式1!U7</f>
        <v>京都市</v>
      </c>
      <c r="Y4" s="1081"/>
      <c r="Z4" s="1081"/>
      <c r="AA4" s="1081"/>
      <c r="AB4" s="1081"/>
      <c r="AC4" s="1081"/>
      <c r="AD4" s="1081"/>
      <c r="AE4" s="1081"/>
      <c r="AF4" s="1081"/>
      <c r="AG4" s="1081"/>
      <c r="AH4" s="1081"/>
      <c r="AI4" s="1081"/>
      <c r="AJ4" s="1082"/>
    </row>
    <row r="5" spans="2:40" ht="20.25" customHeight="1">
      <c r="D5" s="692"/>
      <c r="E5" s="692"/>
      <c r="F5" s="692"/>
      <c r="G5" s="692"/>
      <c r="H5" s="692"/>
      <c r="I5" s="692"/>
      <c r="J5" s="692"/>
      <c r="K5" s="692"/>
      <c r="L5" s="692"/>
      <c r="M5" s="692"/>
      <c r="N5" s="692"/>
      <c r="O5" s="692"/>
      <c r="P5" s="692"/>
      <c r="R5" s="1072" t="s">
        <v>404</v>
      </c>
      <c r="S5" s="1073"/>
      <c r="T5" s="1073"/>
      <c r="U5" s="1073"/>
      <c r="V5" s="1073"/>
      <c r="W5" s="1073"/>
      <c r="X5" s="1074">
        <f>様式1!U8</f>
        <v>0</v>
      </c>
      <c r="Y5" s="1075"/>
      <c r="Z5" s="1075"/>
      <c r="AA5" s="1075"/>
      <c r="AB5" s="1075"/>
      <c r="AC5" s="1075"/>
      <c r="AD5" s="1075"/>
      <c r="AE5" s="1075"/>
      <c r="AF5" s="1075"/>
      <c r="AG5" s="1075"/>
      <c r="AH5" s="1075"/>
      <c r="AI5" s="1075"/>
      <c r="AJ5" s="1076"/>
    </row>
    <row r="6" spans="2:40" ht="20.25" customHeight="1">
      <c r="D6" s="692"/>
      <c r="E6" s="692"/>
      <c r="F6" s="692"/>
      <c r="G6" s="692"/>
      <c r="H6" s="692"/>
      <c r="I6" s="692"/>
      <c r="J6" s="692"/>
      <c r="K6" s="692"/>
      <c r="L6" s="692"/>
      <c r="M6" s="692"/>
      <c r="N6" s="692"/>
      <c r="O6" s="692"/>
      <c r="P6" s="692"/>
      <c r="R6" s="1072" t="s">
        <v>403</v>
      </c>
      <c r="S6" s="1073"/>
      <c r="T6" s="1073"/>
      <c r="U6" s="1073"/>
      <c r="V6" s="1073"/>
      <c r="W6" s="1073"/>
      <c r="X6" s="1074">
        <f>様式1!U9</f>
        <v>0</v>
      </c>
      <c r="Y6" s="1075"/>
      <c r="Z6" s="1075"/>
      <c r="AA6" s="1075"/>
      <c r="AB6" s="1075"/>
      <c r="AC6" s="1075"/>
      <c r="AD6" s="1075"/>
      <c r="AE6" s="1075"/>
      <c r="AF6" s="1075"/>
      <c r="AG6" s="1075"/>
      <c r="AH6" s="1075"/>
      <c r="AI6" s="1075"/>
      <c r="AJ6" s="1076"/>
    </row>
    <row r="7" spans="2:40" ht="20.25" customHeight="1" thickBot="1">
      <c r="D7" s="692"/>
      <c r="E7" s="692"/>
      <c r="F7" s="692"/>
      <c r="G7" s="692"/>
      <c r="H7" s="692"/>
      <c r="I7" s="692"/>
      <c r="J7" s="692"/>
      <c r="K7" s="692"/>
      <c r="L7" s="692"/>
      <c r="M7" s="692"/>
      <c r="N7" s="692"/>
      <c r="O7" s="692"/>
      <c r="P7" s="692"/>
      <c r="Q7" s="692"/>
      <c r="R7" s="1083" t="s">
        <v>434</v>
      </c>
      <c r="S7" s="1084"/>
      <c r="T7" s="1084"/>
      <c r="U7" s="1084"/>
      <c r="V7" s="1084"/>
      <c r="W7" s="1084"/>
      <c r="X7" s="1094">
        <f>様式1!U10</f>
        <v>0</v>
      </c>
      <c r="Y7" s="1095"/>
      <c r="Z7" s="1095"/>
      <c r="AA7" s="1095"/>
      <c r="AB7" s="1095"/>
      <c r="AC7" s="1095"/>
      <c r="AD7" s="1095"/>
      <c r="AE7" s="1095"/>
      <c r="AF7" s="1095"/>
      <c r="AG7" s="1095"/>
      <c r="AH7" s="1095"/>
      <c r="AI7" s="1095"/>
      <c r="AJ7" s="1096"/>
    </row>
    <row r="8" spans="2:40" ht="9" customHeight="1">
      <c r="R8" s="639"/>
      <c r="S8" s="639"/>
      <c r="T8" s="639"/>
      <c r="U8" s="639"/>
      <c r="V8" s="639"/>
      <c r="W8" s="639"/>
      <c r="X8" s="639"/>
      <c r="Y8" s="639"/>
    </row>
    <row r="9" spans="2:40" ht="9" customHeight="1">
      <c r="R9" s="639"/>
      <c r="S9" s="639"/>
      <c r="T9" s="639"/>
      <c r="U9" s="639"/>
      <c r="V9" s="639"/>
      <c r="W9" s="639"/>
      <c r="X9" s="639"/>
      <c r="Y9" s="639"/>
    </row>
    <row r="10" spans="2:40" ht="18" customHeight="1" thickBot="1">
      <c r="B10" s="629" t="s">
        <v>516</v>
      </c>
    </row>
    <row r="11" spans="2:40" ht="29.25" customHeight="1" thickBot="1">
      <c r="C11" s="693"/>
      <c r="D11" s="694"/>
      <c r="E11" s="694"/>
      <c r="F11" s="694"/>
      <c r="G11" s="694"/>
      <c r="H11" s="694"/>
      <c r="I11" s="694"/>
      <c r="J11" s="694"/>
      <c r="K11" s="694"/>
      <c r="L11" s="694"/>
      <c r="M11" s="695"/>
      <c r="N11" s="1085" t="s">
        <v>486</v>
      </c>
      <c r="O11" s="1085"/>
      <c r="P11" s="1085"/>
      <c r="Q11" s="1085"/>
      <c r="R11" s="1085"/>
      <c r="S11" s="1085"/>
      <c r="T11" s="1085"/>
      <c r="U11" s="1085"/>
      <c r="V11" s="1086"/>
      <c r="W11" s="1087" t="s">
        <v>515</v>
      </c>
      <c r="X11" s="1088"/>
      <c r="Y11" s="1088"/>
      <c r="Z11" s="1088"/>
      <c r="AA11" s="1088"/>
      <c r="AB11" s="1088"/>
      <c r="AC11" s="1088"/>
      <c r="AD11" s="1088"/>
      <c r="AE11" s="1089"/>
      <c r="AG11" s="1097" t="s">
        <v>514</v>
      </c>
      <c r="AH11" s="1098"/>
      <c r="AI11" s="1099"/>
      <c r="AJ11" s="696" t="str">
        <f>IFERROR(IF(N13&gt;=N12,"○","×"),"")</f>
        <v/>
      </c>
    </row>
    <row r="12" spans="2:40" ht="27.75" customHeight="1" thickBot="1">
      <c r="C12" s="697" t="s">
        <v>431</v>
      </c>
      <c r="D12" s="1100" t="s">
        <v>513</v>
      </c>
      <c r="E12" s="1100"/>
      <c r="F12" s="1100"/>
      <c r="G12" s="1100"/>
      <c r="H12" s="1100"/>
      <c r="I12" s="1100"/>
      <c r="J12" s="1100"/>
      <c r="K12" s="1100"/>
      <c r="L12" s="1100"/>
      <c r="M12" s="1100"/>
      <c r="N12" s="1101" t="e">
        <f>【参考】計算結果!$D$14-N38+N39</f>
        <v>#N/A</v>
      </c>
      <c r="O12" s="1101"/>
      <c r="P12" s="1101"/>
      <c r="Q12" s="1101"/>
      <c r="R12" s="1101"/>
      <c r="S12" s="1101"/>
      <c r="T12" s="1101"/>
      <c r="U12" s="1101"/>
      <c r="V12" s="698" t="s">
        <v>483</v>
      </c>
      <c r="W12" s="1101">
        <f>【参考】計算結果!$D$20</f>
        <v>0</v>
      </c>
      <c r="X12" s="1101"/>
      <c r="Y12" s="1101"/>
      <c r="Z12" s="1101"/>
      <c r="AA12" s="1101"/>
      <c r="AB12" s="1101"/>
      <c r="AC12" s="1101"/>
      <c r="AD12" s="1101"/>
      <c r="AE12" s="699" t="s">
        <v>483</v>
      </c>
      <c r="AF12" s="700"/>
      <c r="AG12" s="1102" t="s">
        <v>512</v>
      </c>
      <c r="AH12" s="1103"/>
      <c r="AI12" s="1104"/>
      <c r="AJ12" s="696" t="str">
        <f>IFERROR(IF(W13&gt;=W12,"○","×"),"")</f>
        <v>○</v>
      </c>
    </row>
    <row r="13" spans="2:40" ht="27.75" customHeight="1">
      <c r="C13" s="701" t="s">
        <v>424</v>
      </c>
      <c r="D13" s="1090" t="s">
        <v>511</v>
      </c>
      <c r="E13" s="1091"/>
      <c r="F13" s="1091"/>
      <c r="G13" s="1091"/>
      <c r="H13" s="1091"/>
      <c r="I13" s="1091"/>
      <c r="J13" s="1091"/>
      <c r="K13" s="1091"/>
      <c r="L13" s="1091"/>
      <c r="M13" s="1092"/>
      <c r="N13" s="1093">
        <f>ROUNDDOWN(N14+N15,-3)</f>
        <v>0</v>
      </c>
      <c r="O13" s="1093"/>
      <c r="P13" s="1093"/>
      <c r="Q13" s="1093"/>
      <c r="R13" s="1093"/>
      <c r="S13" s="1093"/>
      <c r="T13" s="1093"/>
      <c r="U13" s="1093"/>
      <c r="V13" s="730" t="s">
        <v>483</v>
      </c>
      <c r="W13" s="1093">
        <f>ROUNDDOWN(W14+W15,-3)</f>
        <v>0</v>
      </c>
      <c r="X13" s="1093"/>
      <c r="Y13" s="1093"/>
      <c r="Z13" s="1093"/>
      <c r="AA13" s="1093"/>
      <c r="AB13" s="1093"/>
      <c r="AC13" s="1093"/>
      <c r="AD13" s="1093"/>
      <c r="AE13" s="507" t="s">
        <v>483</v>
      </c>
      <c r="AF13" s="700"/>
      <c r="AG13" s="700"/>
    </row>
    <row r="14" spans="2:40" ht="27.75" customHeight="1">
      <c r="C14" s="701"/>
      <c r="D14" s="1090" t="s">
        <v>510</v>
      </c>
      <c r="E14" s="1091"/>
      <c r="F14" s="1091"/>
      <c r="G14" s="1091"/>
      <c r="H14" s="1091"/>
      <c r="I14" s="1091"/>
      <c r="J14" s="1091"/>
      <c r="K14" s="1091"/>
      <c r="L14" s="1091"/>
      <c r="M14" s="1092"/>
      <c r="N14" s="1105">
        <f>様式4別添1!T61</f>
        <v>0</v>
      </c>
      <c r="O14" s="1105"/>
      <c r="P14" s="1105"/>
      <c r="Q14" s="1105"/>
      <c r="R14" s="1105"/>
      <c r="S14" s="1105"/>
      <c r="T14" s="1105"/>
      <c r="U14" s="1105"/>
      <c r="V14" s="702" t="s">
        <v>483</v>
      </c>
      <c r="W14" s="1105">
        <f>様式4別添1!X61</f>
        <v>0</v>
      </c>
      <c r="X14" s="1105"/>
      <c r="Y14" s="1105"/>
      <c r="Z14" s="1105"/>
      <c r="AA14" s="1105"/>
      <c r="AB14" s="1105"/>
      <c r="AC14" s="1105"/>
      <c r="AD14" s="1105"/>
      <c r="AE14" s="702" t="s">
        <v>483</v>
      </c>
      <c r="AF14" s="700"/>
      <c r="AG14" s="700"/>
    </row>
    <row r="15" spans="2:40" ht="27.75" customHeight="1">
      <c r="C15" s="701"/>
      <c r="D15" s="1090" t="s">
        <v>509</v>
      </c>
      <c r="E15" s="1091"/>
      <c r="F15" s="1091"/>
      <c r="G15" s="1091"/>
      <c r="H15" s="1091"/>
      <c r="I15" s="1091"/>
      <c r="J15" s="1091"/>
      <c r="K15" s="1091"/>
      <c r="L15" s="1091"/>
      <c r="M15" s="1092"/>
      <c r="N15" s="1111"/>
      <c r="O15" s="1111"/>
      <c r="P15" s="1111"/>
      <c r="Q15" s="1111"/>
      <c r="R15" s="1111"/>
      <c r="S15" s="1111"/>
      <c r="T15" s="1111"/>
      <c r="U15" s="1111"/>
      <c r="V15" s="702" t="s">
        <v>483</v>
      </c>
      <c r="W15" s="1111"/>
      <c r="X15" s="1111"/>
      <c r="Y15" s="1111"/>
      <c r="Z15" s="1111"/>
      <c r="AA15" s="1111"/>
      <c r="AB15" s="1111"/>
      <c r="AC15" s="1111"/>
      <c r="AD15" s="1111"/>
      <c r="AE15" s="698" t="s">
        <v>483</v>
      </c>
      <c r="AF15" s="700"/>
      <c r="AG15" s="700"/>
    </row>
    <row r="16" spans="2:40" ht="27.75" customHeight="1">
      <c r="C16" s="628"/>
      <c r="D16" s="703"/>
      <c r="E16" s="703"/>
      <c r="F16" s="703"/>
      <c r="G16" s="703"/>
      <c r="H16" s="703"/>
      <c r="I16" s="703"/>
      <c r="J16" s="703"/>
      <c r="K16" s="703"/>
      <c r="L16" s="703"/>
      <c r="M16" s="703"/>
      <c r="O16" s="704"/>
      <c r="P16" s="704"/>
      <c r="Q16" s="704"/>
      <c r="R16" s="704"/>
      <c r="S16" s="704"/>
      <c r="T16" s="704"/>
      <c r="U16" s="704"/>
      <c r="V16" s="704"/>
      <c r="W16" s="704"/>
      <c r="X16" s="705"/>
      <c r="Y16" s="704"/>
      <c r="Z16" s="704"/>
      <c r="AA16" s="704"/>
      <c r="AB16" s="704"/>
      <c r="AC16" s="704"/>
      <c r="AD16" s="704"/>
      <c r="AE16" s="704"/>
      <c r="AF16" s="704"/>
      <c r="AG16" s="704"/>
      <c r="AH16" s="700"/>
    </row>
    <row r="17" spans="2:53" ht="18" customHeight="1" thickBot="1">
      <c r="B17" s="629" t="s">
        <v>508</v>
      </c>
      <c r="AY17" s="692"/>
    </row>
    <row r="18" spans="2:53" ht="30.75" customHeight="1" thickBot="1">
      <c r="C18" s="706" t="s">
        <v>431</v>
      </c>
      <c r="D18" s="1109" t="s">
        <v>743</v>
      </c>
      <c r="E18" s="1109"/>
      <c r="F18" s="1109"/>
      <c r="G18" s="1109"/>
      <c r="H18" s="1109"/>
      <c r="I18" s="1109"/>
      <c r="J18" s="1109"/>
      <c r="K18" s="1109"/>
      <c r="L18" s="1109"/>
      <c r="M18" s="1109"/>
      <c r="N18" s="1109"/>
      <c r="O18" s="1109"/>
      <c r="P18" s="1109"/>
      <c r="Q18" s="1109"/>
      <c r="R18" s="1109"/>
      <c r="S18" s="1109"/>
      <c r="T18" s="1109"/>
      <c r="U18" s="1109"/>
      <c r="V18" s="1109"/>
      <c r="W18" s="1109"/>
      <c r="X18" s="1110"/>
      <c r="Y18" s="1106">
        <f>Y19-Y20-Y21-Y22-Y23</f>
        <v>0</v>
      </c>
      <c r="Z18" s="1107"/>
      <c r="AA18" s="1107"/>
      <c r="AB18" s="1107"/>
      <c r="AC18" s="1107"/>
      <c r="AD18" s="1107"/>
      <c r="AE18" s="1107"/>
      <c r="AF18" s="1107"/>
      <c r="AG18" s="1108"/>
      <c r="AH18" s="699" t="s">
        <v>483</v>
      </c>
      <c r="AJ18" s="707" t="str">
        <f>IFERROR(IF(Y18&gt;=Y24,"○","×"),"")</f>
        <v>○</v>
      </c>
      <c r="AY18" s="692" t="s">
        <v>507</v>
      </c>
      <c r="AZ18" s="508"/>
    </row>
    <row r="19" spans="2:53" ht="27.75" customHeight="1">
      <c r="C19" s="708"/>
      <c r="D19" s="1090" t="s">
        <v>506</v>
      </c>
      <c r="E19" s="1091"/>
      <c r="F19" s="1091"/>
      <c r="G19" s="1091"/>
      <c r="H19" s="1091"/>
      <c r="I19" s="1091"/>
      <c r="J19" s="1091"/>
      <c r="K19" s="1091"/>
      <c r="L19" s="1091"/>
      <c r="M19" s="1091"/>
      <c r="N19" s="1091"/>
      <c r="O19" s="1091"/>
      <c r="P19" s="1091"/>
      <c r="Q19" s="1091"/>
      <c r="R19" s="1091"/>
      <c r="S19" s="1091"/>
      <c r="T19" s="1091"/>
      <c r="U19" s="1091"/>
      <c r="V19" s="1091"/>
      <c r="W19" s="1091"/>
      <c r="X19" s="1092"/>
      <c r="Y19" s="1106">
        <f>様式4別添1!S61</f>
        <v>0</v>
      </c>
      <c r="Z19" s="1107"/>
      <c r="AA19" s="1107"/>
      <c r="AB19" s="1107"/>
      <c r="AC19" s="1107"/>
      <c r="AD19" s="1107"/>
      <c r="AE19" s="1107"/>
      <c r="AF19" s="1107"/>
      <c r="AG19" s="1108"/>
      <c r="AH19" s="699" t="s">
        <v>483</v>
      </c>
      <c r="AY19" s="692" t="s">
        <v>505</v>
      </c>
      <c r="AZ19" s="508"/>
    </row>
    <row r="20" spans="2:53" ht="27.75" customHeight="1">
      <c r="C20" s="708"/>
      <c r="D20" s="1090" t="s">
        <v>504</v>
      </c>
      <c r="E20" s="1091"/>
      <c r="F20" s="1091"/>
      <c r="G20" s="1091"/>
      <c r="H20" s="1091"/>
      <c r="I20" s="1091"/>
      <c r="J20" s="1091"/>
      <c r="K20" s="1091"/>
      <c r="L20" s="1091"/>
      <c r="M20" s="1091"/>
      <c r="N20" s="1091"/>
      <c r="O20" s="1091"/>
      <c r="P20" s="1091"/>
      <c r="Q20" s="1091"/>
      <c r="R20" s="1091"/>
      <c r="S20" s="1091"/>
      <c r="T20" s="1091"/>
      <c r="U20" s="1091"/>
      <c r="V20" s="1091"/>
      <c r="W20" s="1091"/>
      <c r="X20" s="1092"/>
      <c r="Y20" s="1106">
        <f>N14+W14</f>
        <v>0</v>
      </c>
      <c r="Z20" s="1107"/>
      <c r="AA20" s="1107"/>
      <c r="AB20" s="1107"/>
      <c r="AC20" s="1107"/>
      <c r="AD20" s="1107"/>
      <c r="AE20" s="1107"/>
      <c r="AF20" s="1107"/>
      <c r="AG20" s="1108"/>
      <c r="AH20" s="699" t="s">
        <v>483</v>
      </c>
      <c r="AX20" s="709"/>
      <c r="AY20" s="710" t="s">
        <v>503</v>
      </c>
      <c r="AZ20" s="711" t="e">
        <f>$AZ$18/$AZ$19*$N$14</f>
        <v>#DIV/0!</v>
      </c>
      <c r="BA20" s="711" t="e">
        <f>$AZ$18/$AZ$19*$W$14</f>
        <v>#DIV/0!</v>
      </c>
    </row>
    <row r="21" spans="2:53" ht="27.75" customHeight="1">
      <c r="C21" s="708"/>
      <c r="D21" s="1090" t="s">
        <v>502</v>
      </c>
      <c r="E21" s="1091"/>
      <c r="F21" s="1091"/>
      <c r="G21" s="1091"/>
      <c r="H21" s="1091"/>
      <c r="I21" s="1091"/>
      <c r="J21" s="1091"/>
      <c r="K21" s="1091"/>
      <c r="L21" s="1091"/>
      <c r="M21" s="1091"/>
      <c r="N21" s="1091"/>
      <c r="O21" s="1091"/>
      <c r="P21" s="1091"/>
      <c r="Q21" s="1091"/>
      <c r="R21" s="1091"/>
      <c r="S21" s="1091"/>
      <c r="T21" s="1091"/>
      <c r="U21" s="1091"/>
      <c r="V21" s="1091"/>
      <c r="W21" s="1091"/>
      <c r="X21" s="1092"/>
      <c r="Y21" s="1106">
        <f>様式4別添1!AA61</f>
        <v>0</v>
      </c>
      <c r="Z21" s="1107"/>
      <c r="AA21" s="1107"/>
      <c r="AB21" s="1107"/>
      <c r="AC21" s="1107"/>
      <c r="AD21" s="1107"/>
      <c r="AE21" s="1107"/>
      <c r="AF21" s="1107"/>
      <c r="AG21" s="1108"/>
      <c r="AH21" s="698" t="s">
        <v>483</v>
      </c>
      <c r="AZ21" s="712" t="s">
        <v>501</v>
      </c>
      <c r="BA21" s="712" t="s">
        <v>500</v>
      </c>
    </row>
    <row r="22" spans="2:53" ht="27.75" customHeight="1">
      <c r="C22" s="708"/>
      <c r="D22" s="1090" t="s">
        <v>499</v>
      </c>
      <c r="E22" s="1091"/>
      <c r="F22" s="1091"/>
      <c r="G22" s="1091"/>
      <c r="H22" s="1091"/>
      <c r="I22" s="1091"/>
      <c r="J22" s="1091"/>
      <c r="K22" s="1091"/>
      <c r="L22" s="1091"/>
      <c r="M22" s="1091"/>
      <c r="N22" s="1091"/>
      <c r="O22" s="1091"/>
      <c r="P22" s="1091"/>
      <c r="Q22" s="1091"/>
      <c r="R22" s="1091"/>
      <c r="S22" s="1091"/>
      <c r="T22" s="1091"/>
      <c r="U22" s="1091"/>
      <c r="V22" s="1091"/>
      <c r="W22" s="1091"/>
      <c r="X22" s="1092"/>
      <c r="Y22" s="1106">
        <f>様式4別添1!AB61</f>
        <v>0</v>
      </c>
      <c r="Z22" s="1107"/>
      <c r="AA22" s="1107"/>
      <c r="AB22" s="1107"/>
      <c r="AC22" s="1107"/>
      <c r="AD22" s="1107"/>
      <c r="AE22" s="1107"/>
      <c r="AF22" s="1107"/>
      <c r="AG22" s="1108"/>
      <c r="AH22" s="698" t="s">
        <v>483</v>
      </c>
    </row>
    <row r="23" spans="2:53" ht="27.75" customHeight="1">
      <c r="C23" s="708"/>
      <c r="D23" s="1090" t="s">
        <v>498</v>
      </c>
      <c r="E23" s="1091"/>
      <c r="F23" s="1091"/>
      <c r="G23" s="1091"/>
      <c r="H23" s="1091"/>
      <c r="I23" s="1091"/>
      <c r="J23" s="1091"/>
      <c r="K23" s="1091"/>
      <c r="L23" s="1091"/>
      <c r="M23" s="1091"/>
      <c r="N23" s="1091"/>
      <c r="O23" s="1091"/>
      <c r="P23" s="1091"/>
      <c r="Q23" s="1091"/>
      <c r="R23" s="1091"/>
      <c r="S23" s="1091"/>
      <c r="T23" s="1091"/>
      <c r="U23" s="1091"/>
      <c r="V23" s="1091"/>
      <c r="W23" s="1091"/>
      <c r="X23" s="1092"/>
      <c r="Y23" s="1106">
        <f>様式4別添1!AC61</f>
        <v>0</v>
      </c>
      <c r="Z23" s="1107"/>
      <c r="AA23" s="1107"/>
      <c r="AB23" s="1107"/>
      <c r="AC23" s="1107"/>
      <c r="AD23" s="1107"/>
      <c r="AE23" s="1107"/>
      <c r="AF23" s="1107"/>
      <c r="AG23" s="1108"/>
      <c r="AH23" s="698" t="s">
        <v>483</v>
      </c>
    </row>
    <row r="24" spans="2:53" ht="27.75" customHeight="1">
      <c r="C24" s="706" t="s">
        <v>424</v>
      </c>
      <c r="D24" s="1091" t="s">
        <v>497</v>
      </c>
      <c r="E24" s="1091"/>
      <c r="F24" s="1091"/>
      <c r="G24" s="1091"/>
      <c r="H24" s="1091"/>
      <c r="I24" s="1091"/>
      <c r="J24" s="1091"/>
      <c r="K24" s="1091"/>
      <c r="L24" s="1091"/>
      <c r="M24" s="1091"/>
      <c r="N24" s="1091"/>
      <c r="O24" s="1091"/>
      <c r="P24" s="1091"/>
      <c r="Q24" s="1091"/>
      <c r="R24" s="1091"/>
      <c r="S24" s="1091"/>
      <c r="T24" s="1091"/>
      <c r="U24" s="1091"/>
      <c r="V24" s="1091"/>
      <c r="W24" s="1091"/>
      <c r="X24" s="1092"/>
      <c r="Y24" s="1106">
        <f>Y25-(Y26-Y27)-Y28-Y29+Y30</f>
        <v>0</v>
      </c>
      <c r="Z24" s="1107"/>
      <c r="AA24" s="1107"/>
      <c r="AB24" s="1107"/>
      <c r="AC24" s="1107"/>
      <c r="AD24" s="1107"/>
      <c r="AE24" s="1107"/>
      <c r="AF24" s="1107"/>
      <c r="AG24" s="1108"/>
      <c r="AH24" s="699" t="s">
        <v>483</v>
      </c>
    </row>
    <row r="25" spans="2:53" ht="27.75" customHeight="1">
      <c r="C25" s="708"/>
      <c r="D25" s="1090" t="s">
        <v>496</v>
      </c>
      <c r="E25" s="1091"/>
      <c r="F25" s="1091"/>
      <c r="G25" s="1091"/>
      <c r="H25" s="1091"/>
      <c r="I25" s="1091"/>
      <c r="J25" s="1091"/>
      <c r="K25" s="1091"/>
      <c r="L25" s="1091"/>
      <c r="M25" s="1091"/>
      <c r="N25" s="1091"/>
      <c r="O25" s="1091"/>
      <c r="P25" s="1091"/>
      <c r="Q25" s="1091"/>
      <c r="R25" s="1091"/>
      <c r="S25" s="1091"/>
      <c r="T25" s="1091"/>
      <c r="U25" s="1091"/>
      <c r="V25" s="1091"/>
      <c r="W25" s="1091"/>
      <c r="X25" s="1092"/>
      <c r="Y25" s="1106">
        <f>様式4別添1!K61</f>
        <v>0</v>
      </c>
      <c r="Z25" s="1107"/>
      <c r="AA25" s="1107"/>
      <c r="AB25" s="1107"/>
      <c r="AC25" s="1107"/>
      <c r="AD25" s="1107"/>
      <c r="AE25" s="1107"/>
      <c r="AF25" s="1107"/>
      <c r="AG25" s="1108"/>
      <c r="AH25" s="699" t="s">
        <v>483</v>
      </c>
    </row>
    <row r="26" spans="2:53" ht="27.75" customHeight="1">
      <c r="C26" s="708"/>
      <c r="D26" s="1090" t="s">
        <v>495</v>
      </c>
      <c r="E26" s="1091"/>
      <c r="F26" s="1091"/>
      <c r="G26" s="1091"/>
      <c r="H26" s="1091"/>
      <c r="I26" s="1091"/>
      <c r="J26" s="1091"/>
      <c r="K26" s="1091"/>
      <c r="L26" s="1091"/>
      <c r="M26" s="1091"/>
      <c r="N26" s="1091"/>
      <c r="O26" s="1091"/>
      <c r="P26" s="1091"/>
      <c r="Q26" s="1091"/>
      <c r="R26" s="1091"/>
      <c r="S26" s="1091"/>
      <c r="T26" s="1091"/>
      <c r="U26" s="1091"/>
      <c r="V26" s="1091"/>
      <c r="W26" s="1091"/>
      <c r="X26" s="1092"/>
      <c r="Y26" s="1106">
        <f>様式4別添1!L61</f>
        <v>0</v>
      </c>
      <c r="Z26" s="1107"/>
      <c r="AA26" s="1107"/>
      <c r="AB26" s="1107"/>
      <c r="AC26" s="1107"/>
      <c r="AD26" s="1107"/>
      <c r="AE26" s="1107"/>
      <c r="AF26" s="1107"/>
      <c r="AG26" s="1108"/>
      <c r="AH26" s="699" t="s">
        <v>483</v>
      </c>
    </row>
    <row r="27" spans="2:53" ht="27.75" customHeight="1">
      <c r="C27" s="708"/>
      <c r="D27" s="1090" t="s">
        <v>494</v>
      </c>
      <c r="E27" s="1091"/>
      <c r="F27" s="1091"/>
      <c r="G27" s="1091"/>
      <c r="H27" s="1091"/>
      <c r="I27" s="1091"/>
      <c r="J27" s="1091"/>
      <c r="K27" s="1091"/>
      <c r="L27" s="1091"/>
      <c r="M27" s="1091"/>
      <c r="N27" s="1091"/>
      <c r="O27" s="1091"/>
      <c r="P27" s="1091"/>
      <c r="Q27" s="1091"/>
      <c r="R27" s="1091"/>
      <c r="S27" s="1091"/>
      <c r="T27" s="1091"/>
      <c r="U27" s="1091"/>
      <c r="V27" s="1091"/>
      <c r="W27" s="1091"/>
      <c r="X27" s="1092"/>
      <c r="Y27" s="1106">
        <f>様式4別添1!M61</f>
        <v>0</v>
      </c>
      <c r="Z27" s="1107"/>
      <c r="AA27" s="1107"/>
      <c r="AB27" s="1107"/>
      <c r="AC27" s="1107"/>
      <c r="AD27" s="1107"/>
      <c r="AE27" s="1107"/>
      <c r="AF27" s="1107"/>
      <c r="AG27" s="1108"/>
      <c r="AH27" s="699" t="s">
        <v>483</v>
      </c>
    </row>
    <row r="28" spans="2:53" ht="27.75" customHeight="1">
      <c r="C28" s="708"/>
      <c r="D28" s="1090" t="s">
        <v>493</v>
      </c>
      <c r="E28" s="1091"/>
      <c r="F28" s="1091"/>
      <c r="G28" s="1091"/>
      <c r="H28" s="1091"/>
      <c r="I28" s="1091"/>
      <c r="J28" s="1091"/>
      <c r="K28" s="1091"/>
      <c r="L28" s="1091"/>
      <c r="M28" s="1091"/>
      <c r="N28" s="1091"/>
      <c r="O28" s="1091"/>
      <c r="P28" s="1091"/>
      <c r="Q28" s="1091"/>
      <c r="R28" s="1091"/>
      <c r="S28" s="1091"/>
      <c r="T28" s="1091"/>
      <c r="U28" s="1091"/>
      <c r="V28" s="1091"/>
      <c r="W28" s="1091"/>
      <c r="X28" s="1092"/>
      <c r="Y28" s="1106">
        <f>様式4別添1!N61</f>
        <v>0</v>
      </c>
      <c r="Z28" s="1107"/>
      <c r="AA28" s="1107"/>
      <c r="AB28" s="1107"/>
      <c r="AC28" s="1107"/>
      <c r="AD28" s="1107"/>
      <c r="AE28" s="1107"/>
      <c r="AF28" s="1107"/>
      <c r="AG28" s="1108"/>
      <c r="AH28" s="699" t="s">
        <v>483</v>
      </c>
    </row>
    <row r="29" spans="2:53" ht="27.75" customHeight="1">
      <c r="C29" s="713"/>
      <c r="D29" s="1091" t="s">
        <v>492</v>
      </c>
      <c r="E29" s="1091"/>
      <c r="F29" s="1091"/>
      <c r="G29" s="1091"/>
      <c r="H29" s="1091"/>
      <c r="I29" s="1091"/>
      <c r="J29" s="1091"/>
      <c r="K29" s="1091"/>
      <c r="L29" s="1091"/>
      <c r="M29" s="1091"/>
      <c r="N29" s="1091"/>
      <c r="O29" s="1091"/>
      <c r="P29" s="1091"/>
      <c r="Q29" s="1091"/>
      <c r="R29" s="1091"/>
      <c r="S29" s="1091"/>
      <c r="T29" s="1091"/>
      <c r="U29" s="1091"/>
      <c r="V29" s="1091"/>
      <c r="W29" s="1091"/>
      <c r="X29" s="1092"/>
      <c r="Y29" s="1106">
        <f>様式4別添1!O61</f>
        <v>0</v>
      </c>
      <c r="Z29" s="1107"/>
      <c r="AA29" s="1107"/>
      <c r="AB29" s="1107"/>
      <c r="AC29" s="1107"/>
      <c r="AD29" s="1107"/>
      <c r="AE29" s="1107"/>
      <c r="AF29" s="1107"/>
      <c r="AG29" s="1108"/>
      <c r="AH29" s="698" t="s">
        <v>483</v>
      </c>
    </row>
    <row r="30" spans="2:53" ht="27.75" customHeight="1">
      <c r="C30" s="697"/>
      <c r="D30" s="1090" t="s">
        <v>491</v>
      </c>
      <c r="E30" s="1091"/>
      <c r="F30" s="1091"/>
      <c r="G30" s="1091"/>
      <c r="H30" s="1091"/>
      <c r="I30" s="1091"/>
      <c r="J30" s="1091"/>
      <c r="K30" s="1091"/>
      <c r="L30" s="1091"/>
      <c r="M30" s="1091"/>
      <c r="N30" s="1091"/>
      <c r="O30" s="1091"/>
      <c r="P30" s="1091"/>
      <c r="Q30" s="1091"/>
      <c r="R30" s="1091"/>
      <c r="S30" s="1091"/>
      <c r="T30" s="1091"/>
      <c r="U30" s="1091"/>
      <c r="V30" s="1091"/>
      <c r="W30" s="1091"/>
      <c r="X30" s="1092"/>
      <c r="Y30" s="1106">
        <f>様式4別添1!P61</f>
        <v>0</v>
      </c>
      <c r="Z30" s="1107"/>
      <c r="AA30" s="1107"/>
      <c r="AB30" s="1107"/>
      <c r="AC30" s="1107"/>
      <c r="AD30" s="1107"/>
      <c r="AE30" s="1107"/>
      <c r="AF30" s="1107"/>
      <c r="AG30" s="1108"/>
      <c r="AH30" s="698" t="s">
        <v>483</v>
      </c>
    </row>
    <row r="31" spans="2:53" ht="9" customHeight="1">
      <c r="C31" s="628"/>
      <c r="D31" s="703"/>
      <c r="E31" s="703"/>
      <c r="F31" s="703"/>
      <c r="G31" s="703"/>
      <c r="H31" s="703"/>
      <c r="I31" s="703"/>
      <c r="J31" s="703"/>
      <c r="K31" s="703"/>
      <c r="L31" s="703"/>
      <c r="M31" s="703"/>
      <c r="N31" s="703"/>
      <c r="O31" s="703"/>
      <c r="P31" s="703"/>
      <c r="Q31" s="703"/>
      <c r="R31" s="703"/>
      <c r="S31" s="703"/>
      <c r="T31" s="703"/>
      <c r="U31" s="703"/>
      <c r="V31" s="703"/>
      <c r="W31" s="703"/>
      <c r="X31" s="703"/>
      <c r="Y31" s="714"/>
      <c r="Z31" s="714"/>
      <c r="AA31" s="714"/>
      <c r="AB31" s="714"/>
      <c r="AC31" s="714"/>
      <c r="AD31" s="714"/>
      <c r="AE31" s="714"/>
      <c r="AF31" s="714"/>
      <c r="AG31" s="714"/>
      <c r="AH31" s="700"/>
    </row>
    <row r="32" spans="2:53" ht="21" customHeight="1">
      <c r="B32" s="629" t="s">
        <v>490</v>
      </c>
    </row>
    <row r="33" spans="2:34" ht="29.25" customHeight="1">
      <c r="C33" s="1090" t="s">
        <v>489</v>
      </c>
      <c r="D33" s="1091"/>
      <c r="E33" s="1091"/>
      <c r="F33" s="1091"/>
      <c r="G33" s="1091"/>
      <c r="H33" s="1091"/>
      <c r="I33" s="1092"/>
      <c r="J33" s="1112"/>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4"/>
    </row>
    <row r="34" spans="2:34" ht="29.25" customHeight="1">
      <c r="C34" s="1090" t="s">
        <v>488</v>
      </c>
      <c r="D34" s="1091"/>
      <c r="E34" s="1091"/>
      <c r="F34" s="1091"/>
      <c r="G34" s="1091"/>
      <c r="H34" s="1091"/>
      <c r="I34" s="1092"/>
      <c r="J34" s="1112"/>
      <c r="K34" s="1113"/>
      <c r="L34" s="1113"/>
      <c r="M34" s="1113"/>
      <c r="N34" s="1113"/>
      <c r="O34" s="1113"/>
      <c r="P34" s="1113"/>
      <c r="Q34" s="1113"/>
      <c r="R34" s="1113"/>
      <c r="S34" s="1113"/>
      <c r="T34" s="1113"/>
      <c r="U34" s="1113"/>
      <c r="V34" s="1113"/>
      <c r="W34" s="1113"/>
      <c r="X34" s="1113"/>
      <c r="Y34" s="1113"/>
      <c r="Z34" s="1113"/>
      <c r="AA34" s="1113"/>
      <c r="AB34" s="1113"/>
      <c r="AC34" s="1113"/>
      <c r="AD34" s="1113"/>
      <c r="AE34" s="1113"/>
      <c r="AF34" s="1113"/>
      <c r="AG34" s="1113"/>
      <c r="AH34" s="1114"/>
    </row>
    <row r="36" spans="2:34" ht="27" customHeight="1">
      <c r="B36" s="629" t="s">
        <v>487</v>
      </c>
    </row>
    <row r="37" spans="2:34" ht="29.25" customHeight="1">
      <c r="C37" s="1115"/>
      <c r="D37" s="1085"/>
      <c r="E37" s="1085"/>
      <c r="F37" s="1085"/>
      <c r="G37" s="1085"/>
      <c r="H37" s="1085"/>
      <c r="I37" s="1085"/>
      <c r="J37" s="1085"/>
      <c r="K37" s="1085"/>
      <c r="L37" s="1085"/>
      <c r="M37" s="1086"/>
      <c r="N37" s="1085" t="s">
        <v>486</v>
      </c>
      <c r="O37" s="1085"/>
      <c r="P37" s="1085"/>
      <c r="Q37" s="1085"/>
      <c r="R37" s="1085"/>
      <c r="S37" s="1085"/>
      <c r="T37" s="1085"/>
      <c r="U37" s="1085"/>
      <c r="V37" s="1086"/>
      <c r="W37" s="1116"/>
      <c r="X37" s="1116"/>
      <c r="Y37" s="1116"/>
    </row>
    <row r="38" spans="2:34" ht="24" customHeight="1">
      <c r="C38" s="715" t="s">
        <v>431</v>
      </c>
      <c r="D38" s="1117" t="s">
        <v>485</v>
      </c>
      <c r="E38" s="1118"/>
      <c r="F38" s="1118"/>
      <c r="G38" s="1118"/>
      <c r="H38" s="1118"/>
      <c r="I38" s="1118"/>
      <c r="J38" s="1118"/>
      <c r="K38" s="1118"/>
      <c r="L38" s="1118"/>
      <c r="M38" s="1119"/>
      <c r="N38" s="1126">
        <f>様式4別添2!E18</f>
        <v>0</v>
      </c>
      <c r="O38" s="1126"/>
      <c r="P38" s="1126"/>
      <c r="Q38" s="1126"/>
      <c r="R38" s="1126"/>
      <c r="S38" s="1126"/>
      <c r="T38" s="1126"/>
      <c r="U38" s="1126"/>
      <c r="V38" s="698" t="s">
        <v>483</v>
      </c>
      <c r="W38" s="1116"/>
      <c r="X38" s="1116"/>
      <c r="Y38" s="1116"/>
    </row>
    <row r="39" spans="2:34" ht="24" customHeight="1">
      <c r="C39" s="716" t="s">
        <v>424</v>
      </c>
      <c r="D39" s="1090" t="s">
        <v>484</v>
      </c>
      <c r="E39" s="1091"/>
      <c r="F39" s="1091"/>
      <c r="G39" s="1091"/>
      <c r="H39" s="1091"/>
      <c r="I39" s="1091"/>
      <c r="J39" s="1091"/>
      <c r="K39" s="1091"/>
      <c r="L39" s="1091"/>
      <c r="M39" s="1092"/>
      <c r="N39" s="1126">
        <f>様式4別添2!F18</f>
        <v>0</v>
      </c>
      <c r="O39" s="1126"/>
      <c r="P39" s="1126"/>
      <c r="Q39" s="1126"/>
      <c r="R39" s="1126"/>
      <c r="S39" s="1126"/>
      <c r="T39" s="1126"/>
      <c r="U39" s="1126"/>
      <c r="V39" s="698" t="s">
        <v>483</v>
      </c>
      <c r="W39" s="1116"/>
      <c r="X39" s="1116"/>
      <c r="Y39" s="1116"/>
    </row>
    <row r="40" spans="2:34" ht="17.100000000000001" customHeight="1">
      <c r="C40" s="717" t="s">
        <v>391</v>
      </c>
      <c r="D40" s="1121" t="s">
        <v>482</v>
      </c>
      <c r="E40" s="1122"/>
      <c r="F40" s="1122"/>
      <c r="G40" s="1122"/>
      <c r="H40" s="1122"/>
      <c r="I40" s="1122"/>
      <c r="J40" s="1122"/>
      <c r="K40" s="1122"/>
      <c r="L40" s="1122"/>
      <c r="M40" s="1122"/>
      <c r="N40" s="1122"/>
      <c r="O40" s="1122"/>
      <c r="P40" s="1122"/>
      <c r="Q40" s="1122"/>
      <c r="R40" s="1122"/>
      <c r="S40" s="1122"/>
      <c r="T40" s="1122"/>
      <c r="U40" s="1122"/>
      <c r="V40" s="1122"/>
      <c r="W40" s="1122"/>
      <c r="X40" s="1122"/>
      <c r="Y40" s="1122"/>
      <c r="Z40" s="1122"/>
      <c r="AA40" s="1122"/>
      <c r="AB40" s="1122"/>
      <c r="AC40" s="1122"/>
      <c r="AD40" s="1122"/>
      <c r="AE40" s="1122"/>
      <c r="AF40" s="1122"/>
      <c r="AG40" s="1122"/>
      <c r="AH40" s="1122"/>
    </row>
    <row r="41" spans="2:34" ht="9" customHeight="1">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row>
    <row r="42" spans="2:34" ht="16.149999999999999" customHeight="1">
      <c r="C42" s="629" t="s">
        <v>481</v>
      </c>
    </row>
    <row r="43" spans="2:34" ht="16.149999999999999" customHeight="1">
      <c r="Q43" s="1123" t="s">
        <v>413</v>
      </c>
      <c r="R43" s="1123"/>
      <c r="S43" s="1123"/>
      <c r="T43" s="1123"/>
      <c r="U43" s="1123"/>
      <c r="V43" s="1123"/>
      <c r="W43" s="1123"/>
      <c r="X43" s="1123"/>
      <c r="Y43" s="1124"/>
      <c r="Z43" s="1124"/>
      <c r="AA43" s="1124"/>
      <c r="AB43" s="1124"/>
      <c r="AC43" s="1124"/>
      <c r="AD43" s="1124"/>
      <c r="AE43" s="1124"/>
      <c r="AF43" s="1124"/>
      <c r="AG43" s="1124"/>
      <c r="AH43" s="1124"/>
    </row>
    <row r="44" spans="2:34" ht="17.25" customHeight="1">
      <c r="S44" s="1125" t="s">
        <v>412</v>
      </c>
      <c r="T44" s="1125"/>
      <c r="U44" s="1125"/>
      <c r="V44" s="1125"/>
      <c r="W44" s="1125"/>
      <c r="X44" s="1125"/>
      <c r="Y44" s="881"/>
      <c r="Z44" s="881"/>
      <c r="AA44" s="881"/>
      <c r="AB44" s="881"/>
      <c r="AC44" s="881"/>
      <c r="AD44" s="881"/>
      <c r="AE44" s="881"/>
      <c r="AF44" s="881"/>
      <c r="AG44" s="881"/>
      <c r="AH44" s="881"/>
    </row>
    <row r="45" spans="2:34" ht="17.25" customHeight="1">
      <c r="S45" s="1120" t="s">
        <v>411</v>
      </c>
      <c r="T45" s="1120"/>
      <c r="U45" s="1120"/>
      <c r="V45" s="1120"/>
      <c r="W45" s="1120"/>
      <c r="X45" s="1120"/>
      <c r="Y45" s="874"/>
      <c r="Z45" s="874"/>
      <c r="AA45" s="874"/>
      <c r="AB45" s="874"/>
      <c r="AC45" s="874"/>
      <c r="AD45" s="874"/>
      <c r="AE45" s="874"/>
      <c r="AF45" s="874"/>
      <c r="AG45" s="874"/>
      <c r="AH45" s="874"/>
    </row>
  </sheetData>
  <sheetProtection algorithmName="SHA-512" hashValue="Wy91xKS5WfvhQ79IzXKVdkDt4ZhmqwnGgEChIR4PPdKlG09gg07gLyh/0ax+E6hQLddyGfQoSwEi2OMhonCuBg==" saltValue="H0cFsAuBkfp5XCQ+Kkp0rw==" spinCount="100000" sheet="1" insertRows="0"/>
  <mergeCells count="69">
    <mergeCell ref="C37:M37"/>
    <mergeCell ref="N37:V37"/>
    <mergeCell ref="W37:Y39"/>
    <mergeCell ref="D38:M38"/>
    <mergeCell ref="S45:X45"/>
    <mergeCell ref="Y45:AH45"/>
    <mergeCell ref="D40:AH40"/>
    <mergeCell ref="Q43:X43"/>
    <mergeCell ref="Y43:AH43"/>
    <mergeCell ref="S44:X44"/>
    <mergeCell ref="Y44:AH44"/>
    <mergeCell ref="N38:U38"/>
    <mergeCell ref="D39:M39"/>
    <mergeCell ref="N39:U39"/>
    <mergeCell ref="D29:X29"/>
    <mergeCell ref="Y29:AG29"/>
    <mergeCell ref="D23:X23"/>
    <mergeCell ref="Y23:AG23"/>
    <mergeCell ref="D24:X24"/>
    <mergeCell ref="Y24:AG24"/>
    <mergeCell ref="D27:X27"/>
    <mergeCell ref="Y27:AG27"/>
    <mergeCell ref="D21:X21"/>
    <mergeCell ref="Y21:AG21"/>
    <mergeCell ref="D22:X22"/>
    <mergeCell ref="Y22:AG22"/>
    <mergeCell ref="C34:I34"/>
    <mergeCell ref="J34:AH34"/>
    <mergeCell ref="D25:X25"/>
    <mergeCell ref="Y25:AG25"/>
    <mergeCell ref="D26:X26"/>
    <mergeCell ref="Y26:AG26"/>
    <mergeCell ref="D28:X28"/>
    <mergeCell ref="Y28:AG28"/>
    <mergeCell ref="D30:X30"/>
    <mergeCell ref="Y30:AG30"/>
    <mergeCell ref="C33:I33"/>
    <mergeCell ref="J33:AH33"/>
    <mergeCell ref="D14:M14"/>
    <mergeCell ref="N14:U14"/>
    <mergeCell ref="W14:AD14"/>
    <mergeCell ref="D20:X20"/>
    <mergeCell ref="Y20:AG20"/>
    <mergeCell ref="D18:X18"/>
    <mergeCell ref="Y18:AG18"/>
    <mergeCell ref="D19:X19"/>
    <mergeCell ref="Y19:AG19"/>
    <mergeCell ref="D15:M15"/>
    <mergeCell ref="N15:U15"/>
    <mergeCell ref="W15:AD15"/>
    <mergeCell ref="R7:W7"/>
    <mergeCell ref="N11:V11"/>
    <mergeCell ref="W11:AE11"/>
    <mergeCell ref="D13:M13"/>
    <mergeCell ref="N13:U13"/>
    <mergeCell ref="W13:AD13"/>
    <mergeCell ref="X7:AJ7"/>
    <mergeCell ref="AG11:AI11"/>
    <mergeCell ref="D12:M12"/>
    <mergeCell ref="N12:U12"/>
    <mergeCell ref="W12:AD12"/>
    <mergeCell ref="AG12:AI12"/>
    <mergeCell ref="R6:W6"/>
    <mergeCell ref="X6:AJ6"/>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1" manualBreakCount="1">
    <brk id="45"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72A3-2A5D-4178-BAD6-8EFA45CF1942}">
  <sheetPr>
    <pageSetUpPr fitToPage="1"/>
  </sheetPr>
  <dimension ref="A1:AX95"/>
  <sheetViews>
    <sheetView showGridLines="0" view="pageBreakPreview" zoomScaleNormal="100" zoomScaleSheetLayoutView="100" workbookViewId="0">
      <selection activeCell="AE11" sqref="AE11:AG11"/>
    </sheetView>
  </sheetViews>
  <sheetFormatPr defaultColWidth="9.125" defaultRowHeight="12"/>
  <cols>
    <col min="1" max="3" width="4.625" style="509" customWidth="1"/>
    <col min="4" max="4" width="15" style="509" customWidth="1"/>
    <col min="5" max="5" width="7.125" style="509" customWidth="1"/>
    <col min="6" max="6" width="16" style="509" customWidth="1"/>
    <col min="7" max="7" width="12.125" style="509" customWidth="1"/>
    <col min="8" max="8" width="7.625" style="509" customWidth="1"/>
    <col min="9" max="9" width="10.125" style="509" customWidth="1"/>
    <col min="10" max="10" width="8.5" style="509" customWidth="1"/>
    <col min="11" max="16" width="21.375" style="509" customWidth="1"/>
    <col min="17" max="17" width="26.125" style="509" customWidth="1"/>
    <col min="18" max="20" width="21.375" style="509" customWidth="1"/>
    <col min="21" max="21" width="16.375" style="509" customWidth="1"/>
    <col min="22" max="23" width="16.875" style="509" customWidth="1"/>
    <col min="24" max="24" width="21.375" style="509" customWidth="1"/>
    <col min="25" max="25" width="38.875" style="509" customWidth="1"/>
    <col min="26" max="29" width="21.375" style="509" customWidth="1"/>
    <col min="30" max="30" width="26.125" style="509" customWidth="1"/>
    <col min="31" max="33" width="19.375" style="509" customWidth="1"/>
    <col min="34" max="36" width="18.5" style="509" customWidth="1"/>
    <col min="37" max="37" width="18.125" style="509" customWidth="1"/>
    <col min="38" max="38" width="15.375" style="509" customWidth="1"/>
    <col min="39" max="40" width="19.5" style="509" customWidth="1"/>
    <col min="41" max="41" width="22.375" style="509" customWidth="1"/>
    <col min="42" max="42" width="2.5" style="509" customWidth="1"/>
    <col min="43" max="43" width="5.75" style="509" bestFit="1" customWidth="1"/>
    <col min="44" max="44" width="9.5" style="509" bestFit="1" customWidth="1"/>
    <col min="45" max="45" width="7.375" style="509" bestFit="1" customWidth="1"/>
    <col min="46" max="47" width="34.5" style="509" bestFit="1" customWidth="1"/>
    <col min="48" max="49" width="22" style="509" bestFit="1" customWidth="1"/>
    <col min="50" max="50" width="67" style="509" customWidth="1"/>
    <col min="51" max="16384" width="9.125" style="509"/>
  </cols>
  <sheetData>
    <row r="1" spans="1:50" ht="33.6" customHeight="1">
      <c r="A1" s="581" t="s">
        <v>585</v>
      </c>
      <c r="P1" s="535"/>
      <c r="AE1" s="1161" t="s">
        <v>584</v>
      </c>
      <c r="AF1" s="1127">
        <f>様式4!$X$5</f>
        <v>0</v>
      </c>
      <c r="AG1" s="1128"/>
      <c r="AQ1" s="735" t="s">
        <v>658</v>
      </c>
      <c r="AR1" s="735" t="s">
        <v>659</v>
      </c>
      <c r="AS1" s="735" t="s">
        <v>660</v>
      </c>
      <c r="AT1" s="735" t="s">
        <v>661</v>
      </c>
      <c r="AU1" s="735" t="s">
        <v>662</v>
      </c>
      <c r="AV1" s="735" t="s">
        <v>663</v>
      </c>
      <c r="AW1" s="735" t="s">
        <v>664</v>
      </c>
      <c r="AX1" s="735" t="s">
        <v>665</v>
      </c>
    </row>
    <row r="2" spans="1:50" ht="33.6" customHeight="1">
      <c r="A2" s="580"/>
      <c r="P2" s="535"/>
      <c r="AE2" s="1162"/>
      <c r="AF2" s="1129"/>
      <c r="AG2" s="1130"/>
      <c r="AQ2" s="736">
        <f>A11</f>
        <v>1</v>
      </c>
      <c r="AR2" s="736" t="str">
        <f>IF(B11="","",B11)</f>
        <v/>
      </c>
      <c r="AS2" s="736" t="str">
        <f>IF(F11="","",F11)</f>
        <v/>
      </c>
      <c r="AT2" s="736" t="str">
        <f>IF(K11="","",K11)</f>
        <v/>
      </c>
      <c r="AU2" s="736" t="str">
        <f>IF(S11="","",S11)</f>
        <v/>
      </c>
      <c r="AV2" s="736">
        <f>IF(T11="","",T11)</f>
        <v>0</v>
      </c>
      <c r="AW2" s="736" t="str">
        <f>IF(X11="","",X11)</f>
        <v/>
      </c>
      <c r="AX2" s="737" t="str">
        <f>IF(AE11="","",AE11)</f>
        <v/>
      </c>
    </row>
    <row r="3" spans="1:50" ht="24.75" customHeight="1" thickBot="1">
      <c r="A3" s="574" t="s">
        <v>583</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1163"/>
      <c r="AF3" s="1131"/>
      <c r="AG3" s="1132"/>
      <c r="AJ3" s="565"/>
      <c r="AQ3" s="736">
        <f>A12</f>
        <v>2</v>
      </c>
      <c r="AR3" s="736" t="str">
        <f t="shared" ref="AR3:AR51" si="0">IF(B12="","",B12)</f>
        <v/>
      </c>
      <c r="AS3" s="736" t="str">
        <f t="shared" ref="AS3:AS51" si="1">IF(F12="","",F12)</f>
        <v/>
      </c>
      <c r="AT3" s="736" t="str">
        <f t="shared" ref="AT3:AT51" si="2">IF(K12="","",K12)</f>
        <v/>
      </c>
      <c r="AU3" s="736" t="str">
        <f t="shared" ref="AU3:AV18" si="3">IF(S12="","",S12)</f>
        <v/>
      </c>
      <c r="AV3" s="736">
        <f t="shared" si="3"/>
        <v>0</v>
      </c>
      <c r="AW3" s="736" t="str">
        <f t="shared" ref="AW3:AW51" si="4">IF(X12="","",X12)</f>
        <v/>
      </c>
      <c r="AX3" s="737" t="str">
        <f t="shared" ref="AX3:AX51" si="5">IF(AE12="","",AE12)</f>
        <v/>
      </c>
    </row>
    <row r="4" spans="1:50" ht="24.75"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9"/>
      <c r="AH4" s="574"/>
      <c r="AI4" s="574"/>
      <c r="AJ4" s="574"/>
      <c r="AK4" s="579"/>
      <c r="AL4" s="579"/>
      <c r="AM4" s="578"/>
      <c r="AN4" s="578"/>
      <c r="AO4" s="577"/>
      <c r="AP4" s="565"/>
      <c r="AQ4" s="736">
        <f t="shared" ref="AQ4:AQ51" si="6">A13</f>
        <v>3</v>
      </c>
      <c r="AR4" s="736" t="str">
        <f t="shared" si="0"/>
        <v/>
      </c>
      <c r="AS4" s="736" t="str">
        <f t="shared" si="1"/>
        <v/>
      </c>
      <c r="AT4" s="736" t="str">
        <f t="shared" si="2"/>
        <v/>
      </c>
      <c r="AU4" s="736" t="str">
        <f t="shared" si="3"/>
        <v/>
      </c>
      <c r="AV4" s="736">
        <f t="shared" si="3"/>
        <v>0</v>
      </c>
      <c r="AW4" s="736" t="str">
        <f t="shared" si="4"/>
        <v/>
      </c>
      <c r="AX4" s="737" t="str">
        <f t="shared" si="5"/>
        <v/>
      </c>
    </row>
    <row r="5" spans="1:50" s="573" customFormat="1" ht="39.75" customHeight="1" thickBot="1">
      <c r="A5" s="1133" t="s">
        <v>582</v>
      </c>
      <c r="B5" s="1133"/>
      <c r="C5" s="1133"/>
      <c r="D5" s="1133"/>
      <c r="E5" s="1133"/>
      <c r="F5" s="1133"/>
      <c r="G5" s="1133"/>
      <c r="H5" s="1133"/>
      <c r="I5" s="1133"/>
      <c r="J5" s="1133"/>
      <c r="K5" s="1133"/>
      <c r="L5" s="1133"/>
      <c r="M5" s="1133"/>
      <c r="N5" s="1133"/>
      <c r="O5" s="574"/>
      <c r="P5" s="574"/>
      <c r="Q5" s="574"/>
      <c r="R5" s="574"/>
      <c r="S5" s="576"/>
      <c r="T5" s="576"/>
      <c r="U5" s="576"/>
      <c r="V5" s="576"/>
      <c r="W5" s="576"/>
      <c r="X5" s="574"/>
      <c r="Y5" s="574"/>
      <c r="Z5" s="574"/>
      <c r="AA5" s="574"/>
      <c r="AB5" s="574"/>
      <c r="AC5" s="574"/>
      <c r="AD5" s="576"/>
      <c r="AE5" s="576"/>
      <c r="AF5" s="576"/>
      <c r="AG5" s="576"/>
      <c r="AH5" s="574"/>
      <c r="AI5" s="576"/>
      <c r="AJ5" s="576"/>
      <c r="AK5" s="576"/>
      <c r="AL5" s="576"/>
      <c r="AM5" s="576"/>
      <c r="AN5" s="576"/>
      <c r="AO5" s="575"/>
      <c r="AP5" s="574"/>
      <c r="AQ5" s="736">
        <f t="shared" si="6"/>
        <v>4</v>
      </c>
      <c r="AR5" s="736" t="str">
        <f t="shared" si="0"/>
        <v/>
      </c>
      <c r="AS5" s="736" t="str">
        <f t="shared" si="1"/>
        <v/>
      </c>
      <c r="AT5" s="736" t="str">
        <f t="shared" si="2"/>
        <v/>
      </c>
      <c r="AU5" s="736" t="str">
        <f t="shared" si="3"/>
        <v/>
      </c>
      <c r="AV5" s="736">
        <f t="shared" si="3"/>
        <v>0</v>
      </c>
      <c r="AW5" s="736" t="str">
        <f t="shared" si="4"/>
        <v/>
      </c>
      <c r="AX5" s="737" t="str">
        <f t="shared" si="5"/>
        <v/>
      </c>
    </row>
    <row r="6" spans="1:50" ht="33" customHeight="1">
      <c r="A6" s="1134" t="s">
        <v>581</v>
      </c>
      <c r="B6" s="1135" t="s">
        <v>580</v>
      </c>
      <c r="C6" s="1135"/>
      <c r="D6" s="1135"/>
      <c r="E6" s="1135" t="s">
        <v>579</v>
      </c>
      <c r="F6" s="1135" t="s">
        <v>578</v>
      </c>
      <c r="G6" s="1135" t="s">
        <v>577</v>
      </c>
      <c r="H6" s="1135" t="s">
        <v>576</v>
      </c>
      <c r="I6" s="1135" t="s">
        <v>575</v>
      </c>
      <c r="J6" s="1135" t="s">
        <v>574</v>
      </c>
      <c r="K6" s="1149" t="s">
        <v>573</v>
      </c>
      <c r="L6" s="1150"/>
      <c r="M6" s="1150"/>
      <c r="N6" s="1150"/>
      <c r="O6" s="1151"/>
      <c r="P6" s="1151"/>
      <c r="Q6" s="1151"/>
      <c r="R6" s="1152"/>
      <c r="S6" s="1153" t="s">
        <v>572</v>
      </c>
      <c r="T6" s="1154"/>
      <c r="U6" s="1154"/>
      <c r="V6" s="1154"/>
      <c r="W6" s="1154"/>
      <c r="X6" s="1154"/>
      <c r="Y6" s="1154"/>
      <c r="Z6" s="1154"/>
      <c r="AA6" s="1155"/>
      <c r="AB6" s="1155"/>
      <c r="AC6" s="1155"/>
      <c r="AD6" s="1156"/>
      <c r="AE6" s="1136" t="s">
        <v>571</v>
      </c>
      <c r="AF6" s="1137"/>
      <c r="AG6" s="1137"/>
      <c r="AH6" s="565"/>
      <c r="AQ6" s="736">
        <f t="shared" si="6"/>
        <v>5</v>
      </c>
      <c r="AR6" s="736" t="str">
        <f t="shared" si="0"/>
        <v/>
      </c>
      <c r="AS6" s="736" t="str">
        <f t="shared" si="1"/>
        <v/>
      </c>
      <c r="AT6" s="736" t="str">
        <f t="shared" si="2"/>
        <v/>
      </c>
      <c r="AU6" s="736" t="str">
        <f t="shared" si="3"/>
        <v/>
      </c>
      <c r="AV6" s="736">
        <f t="shared" si="3"/>
        <v>0</v>
      </c>
      <c r="AW6" s="736" t="str">
        <f t="shared" si="4"/>
        <v/>
      </c>
      <c r="AX6" s="737" t="str">
        <f t="shared" si="5"/>
        <v/>
      </c>
    </row>
    <row r="7" spans="1:50" ht="44.25" customHeight="1">
      <c r="A7" s="1134"/>
      <c r="B7" s="1135"/>
      <c r="C7" s="1135"/>
      <c r="D7" s="1135"/>
      <c r="E7" s="1135"/>
      <c r="F7" s="1135"/>
      <c r="G7" s="1135"/>
      <c r="H7" s="1135"/>
      <c r="I7" s="1135"/>
      <c r="J7" s="1135"/>
      <c r="K7" s="572" t="s">
        <v>431</v>
      </c>
      <c r="L7" s="570" t="s">
        <v>424</v>
      </c>
      <c r="M7" s="570" t="s">
        <v>570</v>
      </c>
      <c r="N7" s="570" t="s">
        <v>569</v>
      </c>
      <c r="O7" s="571" t="s">
        <v>568</v>
      </c>
      <c r="P7" s="571" t="s">
        <v>567</v>
      </c>
      <c r="Q7" s="570" t="s">
        <v>566</v>
      </c>
      <c r="R7" s="1138" t="s">
        <v>565</v>
      </c>
      <c r="S7" s="569" t="s">
        <v>564</v>
      </c>
      <c r="T7" s="568" t="s">
        <v>563</v>
      </c>
      <c r="U7" s="1140" t="s">
        <v>562</v>
      </c>
      <c r="V7" s="1141"/>
      <c r="W7" s="1142"/>
      <c r="X7" s="568" t="s">
        <v>561</v>
      </c>
      <c r="Y7" s="1140" t="s">
        <v>560</v>
      </c>
      <c r="Z7" s="1142"/>
      <c r="AA7" s="568" t="s">
        <v>559</v>
      </c>
      <c r="AB7" s="568" t="s">
        <v>558</v>
      </c>
      <c r="AC7" s="567" t="s">
        <v>557</v>
      </c>
      <c r="AD7" s="566" t="s">
        <v>556</v>
      </c>
      <c r="AE7" s="1136"/>
      <c r="AF7" s="1137"/>
      <c r="AG7" s="1137"/>
      <c r="AH7" s="565"/>
      <c r="AQ7" s="736">
        <f t="shared" si="6"/>
        <v>6</v>
      </c>
      <c r="AR7" s="736" t="str">
        <f t="shared" si="0"/>
        <v/>
      </c>
      <c r="AS7" s="736" t="str">
        <f t="shared" si="1"/>
        <v/>
      </c>
      <c r="AT7" s="736" t="str">
        <f t="shared" si="2"/>
        <v/>
      </c>
      <c r="AU7" s="736" t="str">
        <f t="shared" si="3"/>
        <v/>
      </c>
      <c r="AV7" s="736">
        <f t="shared" si="3"/>
        <v>0</v>
      </c>
      <c r="AW7" s="736" t="str">
        <f t="shared" si="4"/>
        <v/>
      </c>
      <c r="AX7" s="737" t="str">
        <f t="shared" si="5"/>
        <v/>
      </c>
    </row>
    <row r="8" spans="1:50" ht="44.25" customHeight="1">
      <c r="A8" s="1134"/>
      <c r="B8" s="1135"/>
      <c r="C8" s="1135"/>
      <c r="D8" s="1135"/>
      <c r="E8" s="1135"/>
      <c r="F8" s="1135"/>
      <c r="G8" s="1135"/>
      <c r="H8" s="1135"/>
      <c r="I8" s="1135"/>
      <c r="J8" s="1135"/>
      <c r="K8" s="1143" t="s">
        <v>555</v>
      </c>
      <c r="L8" s="1144" t="s">
        <v>554</v>
      </c>
      <c r="M8" s="1144" t="s">
        <v>553</v>
      </c>
      <c r="N8" s="1144" t="s">
        <v>552</v>
      </c>
      <c r="O8" s="1145" t="s">
        <v>551</v>
      </c>
      <c r="P8" s="1145" t="s">
        <v>550</v>
      </c>
      <c r="Q8" s="1148" t="s">
        <v>549</v>
      </c>
      <c r="R8" s="1139"/>
      <c r="S8" s="1176" t="s">
        <v>548</v>
      </c>
      <c r="T8" s="1177" t="s">
        <v>486</v>
      </c>
      <c r="U8" s="1157"/>
      <c r="V8" s="1157"/>
      <c r="W8" s="1158"/>
      <c r="X8" s="1157" t="s">
        <v>547</v>
      </c>
      <c r="Y8" s="1157"/>
      <c r="Z8" s="1158"/>
      <c r="AA8" s="1159" t="s">
        <v>546</v>
      </c>
      <c r="AB8" s="1144" t="s">
        <v>545</v>
      </c>
      <c r="AC8" s="1145" t="s">
        <v>544</v>
      </c>
      <c r="AD8" s="1160" t="s">
        <v>543</v>
      </c>
      <c r="AE8" s="1136"/>
      <c r="AF8" s="1137"/>
      <c r="AG8" s="1137"/>
      <c r="AH8" s="565"/>
      <c r="AQ8" s="736">
        <f t="shared" si="6"/>
        <v>7</v>
      </c>
      <c r="AR8" s="736" t="str">
        <f t="shared" si="0"/>
        <v/>
      </c>
      <c r="AS8" s="736" t="str">
        <f t="shared" si="1"/>
        <v/>
      </c>
      <c r="AT8" s="736" t="str">
        <f t="shared" si="2"/>
        <v/>
      </c>
      <c r="AU8" s="736" t="str">
        <f t="shared" si="3"/>
        <v/>
      </c>
      <c r="AV8" s="736">
        <f t="shared" si="3"/>
        <v>0</v>
      </c>
      <c r="AW8" s="736" t="str">
        <f t="shared" si="4"/>
        <v/>
      </c>
      <c r="AX8" s="737" t="str">
        <f t="shared" si="5"/>
        <v/>
      </c>
    </row>
    <row r="9" spans="1:50" ht="64.5" customHeight="1">
      <c r="A9" s="1134"/>
      <c r="B9" s="1135"/>
      <c r="C9" s="1135"/>
      <c r="D9" s="1135"/>
      <c r="E9" s="1135"/>
      <c r="F9" s="1135"/>
      <c r="G9" s="1135"/>
      <c r="H9" s="1135"/>
      <c r="I9" s="1135"/>
      <c r="J9" s="1135"/>
      <c r="K9" s="1143"/>
      <c r="L9" s="1144"/>
      <c r="M9" s="1144"/>
      <c r="N9" s="1144"/>
      <c r="O9" s="1146"/>
      <c r="P9" s="1146"/>
      <c r="Q9" s="1148"/>
      <c r="R9" s="1164" t="s">
        <v>542</v>
      </c>
      <c r="S9" s="1176"/>
      <c r="T9" s="1166" t="s">
        <v>541</v>
      </c>
      <c r="U9" s="1167"/>
      <c r="V9" s="1167"/>
      <c r="W9" s="1167"/>
      <c r="X9" s="1168" t="s">
        <v>540</v>
      </c>
      <c r="Y9" s="1168" t="s">
        <v>639</v>
      </c>
      <c r="Z9" s="1168" t="s">
        <v>539</v>
      </c>
      <c r="AA9" s="1159"/>
      <c r="AB9" s="1144"/>
      <c r="AC9" s="1146"/>
      <c r="AD9" s="1160"/>
      <c r="AE9" s="1136"/>
      <c r="AF9" s="1137"/>
      <c r="AG9" s="1137"/>
      <c r="AH9" s="564"/>
      <c r="AQ9" s="736">
        <f t="shared" si="6"/>
        <v>8</v>
      </c>
      <c r="AR9" s="736" t="str">
        <f t="shared" si="0"/>
        <v/>
      </c>
      <c r="AS9" s="736" t="str">
        <f t="shared" si="1"/>
        <v/>
      </c>
      <c r="AT9" s="736" t="str">
        <f t="shared" si="2"/>
        <v/>
      </c>
      <c r="AU9" s="736" t="str">
        <f t="shared" si="3"/>
        <v/>
      </c>
      <c r="AV9" s="736">
        <f t="shared" si="3"/>
        <v>0</v>
      </c>
      <c r="AW9" s="736" t="str">
        <f t="shared" si="4"/>
        <v/>
      </c>
      <c r="AX9" s="737" t="str">
        <f t="shared" si="5"/>
        <v/>
      </c>
    </row>
    <row r="10" spans="1:50" ht="88.5" customHeight="1">
      <c r="A10" s="1134"/>
      <c r="B10" s="1135"/>
      <c r="C10" s="1135"/>
      <c r="D10" s="1135"/>
      <c r="E10" s="1135"/>
      <c r="F10" s="1135"/>
      <c r="G10" s="1135"/>
      <c r="H10" s="1135"/>
      <c r="I10" s="1135"/>
      <c r="J10" s="1135"/>
      <c r="K10" s="1143"/>
      <c r="L10" s="1144"/>
      <c r="M10" s="1144"/>
      <c r="N10" s="1144"/>
      <c r="O10" s="1147"/>
      <c r="P10" s="1147"/>
      <c r="Q10" s="1148"/>
      <c r="R10" s="1165"/>
      <c r="S10" s="1176"/>
      <c r="T10" s="563" t="s">
        <v>538</v>
      </c>
      <c r="U10" s="562" t="s">
        <v>537</v>
      </c>
      <c r="V10" s="562" t="s">
        <v>536</v>
      </c>
      <c r="W10" s="562" t="s">
        <v>535</v>
      </c>
      <c r="X10" s="1169"/>
      <c r="Y10" s="1169"/>
      <c r="Z10" s="1169"/>
      <c r="AA10" s="1159"/>
      <c r="AB10" s="1144"/>
      <c r="AC10" s="1147"/>
      <c r="AD10" s="1160"/>
      <c r="AE10" s="1136"/>
      <c r="AF10" s="1137"/>
      <c r="AG10" s="1137"/>
      <c r="AH10" s="561"/>
      <c r="AI10" s="733" t="s">
        <v>657</v>
      </c>
      <c r="AQ10" s="736">
        <f t="shared" si="6"/>
        <v>9</v>
      </c>
      <c r="AR10" s="736" t="str">
        <f t="shared" si="0"/>
        <v/>
      </c>
      <c r="AS10" s="736" t="str">
        <f t="shared" si="1"/>
        <v/>
      </c>
      <c r="AT10" s="736" t="str">
        <f t="shared" si="2"/>
        <v/>
      </c>
      <c r="AU10" s="736" t="str">
        <f t="shared" si="3"/>
        <v/>
      </c>
      <c r="AV10" s="736">
        <f t="shared" si="3"/>
        <v>0</v>
      </c>
      <c r="AW10" s="736" t="str">
        <f t="shared" si="4"/>
        <v/>
      </c>
      <c r="AX10" s="737" t="str">
        <f t="shared" si="5"/>
        <v/>
      </c>
    </row>
    <row r="11" spans="1:50" s="514" customFormat="1" ht="30" customHeight="1">
      <c r="A11" s="560">
        <f>ROWS(A$11:A11)</f>
        <v>1</v>
      </c>
      <c r="B11" s="1184"/>
      <c r="C11" s="1184"/>
      <c r="D11" s="1184"/>
      <c r="E11" s="559"/>
      <c r="F11" s="559"/>
      <c r="G11" s="719"/>
      <c r="H11" s="719"/>
      <c r="I11" s="719"/>
      <c r="J11" s="720"/>
      <c r="K11" s="549"/>
      <c r="L11" s="1185" t="s">
        <v>621</v>
      </c>
      <c r="M11" s="1185" t="s">
        <v>621</v>
      </c>
      <c r="N11" s="1187" t="s">
        <v>621</v>
      </c>
      <c r="O11" s="546"/>
      <c r="P11" s="546"/>
      <c r="Q11" s="1190" t="s">
        <v>621</v>
      </c>
      <c r="R11" s="1173" t="s">
        <v>621</v>
      </c>
      <c r="S11" s="558"/>
      <c r="T11" s="547">
        <f t="shared" ref="T11:T61" si="7">SUM(U11:W11)</f>
        <v>0</v>
      </c>
      <c r="U11" s="546"/>
      <c r="V11" s="546"/>
      <c r="W11" s="546"/>
      <c r="X11" s="732"/>
      <c r="Y11" s="546"/>
      <c r="Z11" s="546"/>
      <c r="AA11" s="557"/>
      <c r="AB11" s="1193" t="s">
        <v>621</v>
      </c>
      <c r="AC11" s="556"/>
      <c r="AD11" s="1193" t="s">
        <v>621</v>
      </c>
      <c r="AE11" s="1171"/>
      <c r="AF11" s="1172"/>
      <c r="AG11" s="1172"/>
      <c r="AH11" s="536"/>
      <c r="AI11" s="734" t="str">
        <f>IF(OR($Y11=$Y$80,$Y11=$Y$81,$Y11=$Y$82,$Y11=$Y$84),1,IF(OR($Y11=$Y$83,$Y11=$Y$85),2,"-"))</f>
        <v>-</v>
      </c>
      <c r="AQ11" s="736">
        <f t="shared" si="6"/>
        <v>10</v>
      </c>
      <c r="AR11" s="736" t="str">
        <f t="shared" si="0"/>
        <v/>
      </c>
      <c r="AS11" s="736" t="str">
        <f t="shared" si="1"/>
        <v/>
      </c>
      <c r="AT11" s="736" t="str">
        <f t="shared" si="2"/>
        <v/>
      </c>
      <c r="AU11" s="736" t="str">
        <f t="shared" si="3"/>
        <v/>
      </c>
      <c r="AV11" s="736">
        <f t="shared" si="3"/>
        <v>0</v>
      </c>
      <c r="AW11" s="736" t="str">
        <f t="shared" si="4"/>
        <v/>
      </c>
      <c r="AX11" s="737" t="str">
        <f t="shared" si="5"/>
        <v/>
      </c>
    </row>
    <row r="12" spans="1:50" s="514" customFormat="1" ht="30" customHeight="1">
      <c r="A12" s="560">
        <f>ROWS(A$11:A12)</f>
        <v>2</v>
      </c>
      <c r="B12" s="1178"/>
      <c r="C12" s="1179"/>
      <c r="D12" s="1180"/>
      <c r="E12" s="559"/>
      <c r="F12" s="555"/>
      <c r="G12" s="719"/>
      <c r="H12" s="721"/>
      <c r="I12" s="721"/>
      <c r="J12" s="720"/>
      <c r="K12" s="549"/>
      <c r="L12" s="1186"/>
      <c r="M12" s="1186"/>
      <c r="N12" s="1188"/>
      <c r="O12" s="546"/>
      <c r="P12" s="546"/>
      <c r="Q12" s="1191"/>
      <c r="R12" s="1173"/>
      <c r="S12" s="558"/>
      <c r="T12" s="547">
        <f t="shared" si="7"/>
        <v>0</v>
      </c>
      <c r="U12" s="546"/>
      <c r="V12" s="546"/>
      <c r="W12" s="546"/>
      <c r="X12" s="732"/>
      <c r="Y12" s="546"/>
      <c r="Z12" s="546"/>
      <c r="AA12" s="557"/>
      <c r="AB12" s="1194"/>
      <c r="AC12" s="556"/>
      <c r="AD12" s="1194"/>
      <c r="AE12" s="1171"/>
      <c r="AF12" s="1172"/>
      <c r="AG12" s="1172"/>
      <c r="AH12" s="536"/>
      <c r="AI12" s="734" t="str">
        <f t="shared" ref="AI12:AI60" si="8">IF(OR($Y12=$Y$80,$Y12=$Y$81,$Y12=$Y$82,$Y12=$Y$84),1,IF(OR($Y12=$Y$83,$Y12=$Y$85),2,"-"))</f>
        <v>-</v>
      </c>
      <c r="AQ12" s="736">
        <f t="shared" si="6"/>
        <v>11</v>
      </c>
      <c r="AR12" s="736" t="str">
        <f t="shared" si="0"/>
        <v/>
      </c>
      <c r="AS12" s="736" t="str">
        <f t="shared" si="1"/>
        <v/>
      </c>
      <c r="AT12" s="736" t="str">
        <f t="shared" si="2"/>
        <v/>
      </c>
      <c r="AU12" s="736" t="str">
        <f t="shared" si="3"/>
        <v/>
      </c>
      <c r="AV12" s="736">
        <f t="shared" si="3"/>
        <v>0</v>
      </c>
      <c r="AW12" s="736" t="str">
        <f t="shared" si="4"/>
        <v/>
      </c>
      <c r="AX12" s="737" t="str">
        <f t="shared" si="5"/>
        <v/>
      </c>
    </row>
    <row r="13" spans="1:50" s="514" customFormat="1" ht="30" customHeight="1">
      <c r="A13" s="554">
        <f>ROWS(A$11:A13)</f>
        <v>3</v>
      </c>
      <c r="B13" s="1178"/>
      <c r="C13" s="1179"/>
      <c r="D13" s="1180"/>
      <c r="E13" s="555"/>
      <c r="F13" s="555"/>
      <c r="G13" s="719"/>
      <c r="H13" s="719"/>
      <c r="I13" s="719"/>
      <c r="J13" s="720"/>
      <c r="K13" s="549"/>
      <c r="L13" s="1186"/>
      <c r="M13" s="1186"/>
      <c r="N13" s="1188"/>
      <c r="O13" s="546"/>
      <c r="P13" s="546"/>
      <c r="Q13" s="1191"/>
      <c r="R13" s="1173"/>
      <c r="S13" s="553"/>
      <c r="T13" s="547">
        <f t="shared" si="7"/>
        <v>0</v>
      </c>
      <c r="U13" s="546"/>
      <c r="V13" s="546"/>
      <c r="W13" s="546"/>
      <c r="X13" s="546"/>
      <c r="Y13" s="546"/>
      <c r="Z13" s="546"/>
      <c r="AA13" s="552"/>
      <c r="AB13" s="1194"/>
      <c r="AC13" s="551"/>
      <c r="AD13" s="1194"/>
      <c r="AE13" s="1181"/>
      <c r="AF13" s="1175"/>
      <c r="AG13" s="1175"/>
      <c r="AH13" s="536"/>
      <c r="AI13" s="734" t="str">
        <f t="shared" si="8"/>
        <v>-</v>
      </c>
      <c r="AQ13" s="736">
        <f t="shared" si="6"/>
        <v>12</v>
      </c>
      <c r="AR13" s="736" t="str">
        <f t="shared" si="0"/>
        <v/>
      </c>
      <c r="AS13" s="736" t="str">
        <f t="shared" si="1"/>
        <v/>
      </c>
      <c r="AT13" s="736" t="str">
        <f t="shared" si="2"/>
        <v/>
      </c>
      <c r="AU13" s="736" t="str">
        <f t="shared" si="3"/>
        <v/>
      </c>
      <c r="AV13" s="736">
        <f t="shared" si="3"/>
        <v>0</v>
      </c>
      <c r="AW13" s="736" t="str">
        <f t="shared" si="4"/>
        <v/>
      </c>
      <c r="AX13" s="737" t="str">
        <f t="shared" si="5"/>
        <v/>
      </c>
    </row>
    <row r="14" spans="1:50" s="514" customFormat="1" ht="30" customHeight="1">
      <c r="A14" s="554">
        <f>ROWS(A$11:A14)</f>
        <v>4</v>
      </c>
      <c r="B14" s="1178"/>
      <c r="C14" s="1179"/>
      <c r="D14" s="1180"/>
      <c r="E14" s="555"/>
      <c r="F14" s="555"/>
      <c r="G14" s="719"/>
      <c r="H14" s="719"/>
      <c r="I14" s="719"/>
      <c r="J14" s="720"/>
      <c r="K14" s="549"/>
      <c r="L14" s="1186"/>
      <c r="M14" s="1186"/>
      <c r="N14" s="1188"/>
      <c r="O14" s="546"/>
      <c r="P14" s="546"/>
      <c r="Q14" s="1191"/>
      <c r="R14" s="1173"/>
      <c r="S14" s="553"/>
      <c r="T14" s="547">
        <f t="shared" si="7"/>
        <v>0</v>
      </c>
      <c r="U14" s="546"/>
      <c r="V14" s="546"/>
      <c r="W14" s="546"/>
      <c r="X14" s="546"/>
      <c r="Y14" s="546"/>
      <c r="Z14" s="546"/>
      <c r="AA14" s="552"/>
      <c r="AB14" s="1194"/>
      <c r="AC14" s="551"/>
      <c r="AD14" s="1194"/>
      <c r="AE14" s="1182"/>
      <c r="AF14" s="1183"/>
      <c r="AG14" s="1183"/>
      <c r="AH14" s="536"/>
      <c r="AI14" s="734" t="str">
        <f t="shared" si="8"/>
        <v>-</v>
      </c>
      <c r="AQ14" s="736">
        <f t="shared" si="6"/>
        <v>13</v>
      </c>
      <c r="AR14" s="736" t="str">
        <f t="shared" si="0"/>
        <v/>
      </c>
      <c r="AS14" s="736" t="str">
        <f t="shared" si="1"/>
        <v/>
      </c>
      <c r="AT14" s="736" t="str">
        <f t="shared" si="2"/>
        <v/>
      </c>
      <c r="AU14" s="736" t="str">
        <f t="shared" si="3"/>
        <v/>
      </c>
      <c r="AV14" s="736">
        <f t="shared" si="3"/>
        <v>0</v>
      </c>
      <c r="AW14" s="736" t="str">
        <f t="shared" si="4"/>
        <v/>
      </c>
      <c r="AX14" s="737" t="str">
        <f t="shared" si="5"/>
        <v/>
      </c>
    </row>
    <row r="15" spans="1:50" s="514" customFormat="1" ht="30" customHeight="1">
      <c r="A15" s="554">
        <f>ROWS(A$11:A15)</f>
        <v>5</v>
      </c>
      <c r="B15" s="1178"/>
      <c r="C15" s="1179"/>
      <c r="D15" s="1180"/>
      <c r="E15" s="555"/>
      <c r="F15" s="555"/>
      <c r="G15" s="719"/>
      <c r="H15" s="719"/>
      <c r="I15" s="719"/>
      <c r="J15" s="720"/>
      <c r="K15" s="549"/>
      <c r="L15" s="1186"/>
      <c r="M15" s="1186"/>
      <c r="N15" s="1188"/>
      <c r="O15" s="546"/>
      <c r="P15" s="546"/>
      <c r="Q15" s="1191"/>
      <c r="R15" s="1173"/>
      <c r="S15" s="553"/>
      <c r="T15" s="547">
        <f t="shared" si="7"/>
        <v>0</v>
      </c>
      <c r="U15" s="546"/>
      <c r="V15" s="546"/>
      <c r="W15" s="546"/>
      <c r="X15" s="546"/>
      <c r="Y15" s="546"/>
      <c r="Z15" s="546"/>
      <c r="AA15" s="552"/>
      <c r="AB15" s="1194"/>
      <c r="AC15" s="551"/>
      <c r="AD15" s="1194"/>
      <c r="AE15" s="1171"/>
      <c r="AF15" s="1172"/>
      <c r="AG15" s="1172"/>
      <c r="AH15" s="536"/>
      <c r="AI15" s="734" t="str">
        <f t="shared" si="8"/>
        <v>-</v>
      </c>
      <c r="AQ15" s="736">
        <f t="shared" si="6"/>
        <v>14</v>
      </c>
      <c r="AR15" s="736" t="str">
        <f t="shared" si="0"/>
        <v/>
      </c>
      <c r="AS15" s="736" t="str">
        <f t="shared" si="1"/>
        <v/>
      </c>
      <c r="AT15" s="736" t="str">
        <f t="shared" si="2"/>
        <v/>
      </c>
      <c r="AU15" s="736" t="str">
        <f t="shared" si="3"/>
        <v/>
      </c>
      <c r="AV15" s="736">
        <f t="shared" si="3"/>
        <v>0</v>
      </c>
      <c r="AW15" s="736" t="str">
        <f t="shared" si="4"/>
        <v/>
      </c>
      <c r="AX15" s="737" t="str">
        <f t="shared" si="5"/>
        <v/>
      </c>
    </row>
    <row r="16" spans="1:50" s="514" customFormat="1" ht="30" customHeight="1">
      <c r="A16" s="554">
        <f>ROWS(A$11:A16)</f>
        <v>6</v>
      </c>
      <c r="B16" s="1178"/>
      <c r="C16" s="1179"/>
      <c r="D16" s="1180"/>
      <c r="E16" s="555"/>
      <c r="F16" s="555"/>
      <c r="G16" s="719"/>
      <c r="H16" s="722"/>
      <c r="I16" s="722"/>
      <c r="J16" s="723"/>
      <c r="K16" s="549"/>
      <c r="L16" s="1186"/>
      <c r="M16" s="1186"/>
      <c r="N16" s="1188"/>
      <c r="O16" s="546"/>
      <c r="P16" s="546"/>
      <c r="Q16" s="1191"/>
      <c r="R16" s="1173"/>
      <c r="S16" s="553"/>
      <c r="T16" s="547">
        <f t="shared" ref="T16:T35" si="9">SUM(U16:W16)</f>
        <v>0</v>
      </c>
      <c r="U16" s="546"/>
      <c r="V16" s="546"/>
      <c r="W16" s="546"/>
      <c r="X16" s="546"/>
      <c r="Y16" s="546"/>
      <c r="Z16" s="546"/>
      <c r="AA16" s="552"/>
      <c r="AB16" s="1194"/>
      <c r="AC16" s="551"/>
      <c r="AD16" s="1194"/>
      <c r="AE16" s="1174"/>
      <c r="AF16" s="1175"/>
      <c r="AG16" s="1175"/>
      <c r="AH16" s="536"/>
      <c r="AI16" s="734" t="str">
        <f t="shared" si="8"/>
        <v>-</v>
      </c>
      <c r="AQ16" s="736">
        <f t="shared" si="6"/>
        <v>15</v>
      </c>
      <c r="AR16" s="736" t="str">
        <f t="shared" si="0"/>
        <v/>
      </c>
      <c r="AS16" s="736" t="str">
        <f t="shared" si="1"/>
        <v/>
      </c>
      <c r="AT16" s="736" t="str">
        <f t="shared" si="2"/>
        <v/>
      </c>
      <c r="AU16" s="736" t="str">
        <f t="shared" si="3"/>
        <v/>
      </c>
      <c r="AV16" s="736">
        <f t="shared" si="3"/>
        <v>0</v>
      </c>
      <c r="AW16" s="736" t="str">
        <f t="shared" si="4"/>
        <v/>
      </c>
      <c r="AX16" s="737" t="str">
        <f t="shared" si="5"/>
        <v/>
      </c>
    </row>
    <row r="17" spans="1:50" s="514" customFormat="1" ht="30" customHeight="1">
      <c r="A17" s="554">
        <f>ROWS(A$11:A17)</f>
        <v>7</v>
      </c>
      <c r="B17" s="1178"/>
      <c r="C17" s="1179"/>
      <c r="D17" s="1180"/>
      <c r="E17" s="555"/>
      <c r="F17" s="555"/>
      <c r="G17" s="719"/>
      <c r="H17" s="719"/>
      <c r="I17" s="719"/>
      <c r="J17" s="720"/>
      <c r="K17" s="549"/>
      <c r="L17" s="1186"/>
      <c r="M17" s="1186"/>
      <c r="N17" s="1188"/>
      <c r="O17" s="546"/>
      <c r="P17" s="546"/>
      <c r="Q17" s="1191"/>
      <c r="R17" s="1173"/>
      <c r="S17" s="553"/>
      <c r="T17" s="547">
        <f t="shared" si="9"/>
        <v>0</v>
      </c>
      <c r="U17" s="546"/>
      <c r="V17" s="546"/>
      <c r="W17" s="546"/>
      <c r="X17" s="546"/>
      <c r="Y17" s="546"/>
      <c r="Z17" s="546"/>
      <c r="AA17" s="552"/>
      <c r="AB17" s="1194"/>
      <c r="AC17" s="551"/>
      <c r="AD17" s="1194"/>
      <c r="AE17" s="1174"/>
      <c r="AF17" s="1175"/>
      <c r="AG17" s="1175"/>
      <c r="AH17" s="536"/>
      <c r="AI17" s="734" t="str">
        <f t="shared" si="8"/>
        <v>-</v>
      </c>
      <c r="AQ17" s="736">
        <f t="shared" si="6"/>
        <v>16</v>
      </c>
      <c r="AR17" s="736" t="str">
        <f t="shared" si="0"/>
        <v/>
      </c>
      <c r="AS17" s="736" t="str">
        <f t="shared" si="1"/>
        <v/>
      </c>
      <c r="AT17" s="736" t="str">
        <f t="shared" si="2"/>
        <v/>
      </c>
      <c r="AU17" s="736" t="str">
        <f t="shared" si="3"/>
        <v/>
      </c>
      <c r="AV17" s="736">
        <f t="shared" si="3"/>
        <v>0</v>
      </c>
      <c r="AW17" s="736" t="str">
        <f t="shared" si="4"/>
        <v/>
      </c>
      <c r="AX17" s="737" t="str">
        <f t="shared" si="5"/>
        <v/>
      </c>
    </row>
    <row r="18" spans="1:50" s="514" customFormat="1" ht="30" customHeight="1">
      <c r="A18" s="554">
        <f>ROWS(A$11:A18)</f>
        <v>8</v>
      </c>
      <c r="B18" s="1170"/>
      <c r="C18" s="1170"/>
      <c r="D18" s="1170"/>
      <c r="E18" s="555"/>
      <c r="F18" s="555"/>
      <c r="G18" s="724"/>
      <c r="H18" s="724"/>
      <c r="I18" s="719"/>
      <c r="J18" s="720"/>
      <c r="K18" s="549"/>
      <c r="L18" s="1186"/>
      <c r="M18" s="1186"/>
      <c r="N18" s="1188"/>
      <c r="O18" s="546"/>
      <c r="P18" s="546"/>
      <c r="Q18" s="1191"/>
      <c r="R18" s="1173"/>
      <c r="S18" s="553"/>
      <c r="T18" s="547">
        <f t="shared" si="9"/>
        <v>0</v>
      </c>
      <c r="U18" s="546"/>
      <c r="V18" s="546"/>
      <c r="W18" s="546"/>
      <c r="X18" s="546"/>
      <c r="Y18" s="546"/>
      <c r="Z18" s="546"/>
      <c r="AA18" s="552"/>
      <c r="AB18" s="1194"/>
      <c r="AC18" s="551"/>
      <c r="AD18" s="1194"/>
      <c r="AE18" s="1174"/>
      <c r="AF18" s="1175"/>
      <c r="AG18" s="1175"/>
      <c r="AH18" s="536"/>
      <c r="AI18" s="734" t="str">
        <f t="shared" si="8"/>
        <v>-</v>
      </c>
      <c r="AQ18" s="736">
        <f t="shared" si="6"/>
        <v>17</v>
      </c>
      <c r="AR18" s="736" t="str">
        <f t="shared" si="0"/>
        <v/>
      </c>
      <c r="AS18" s="736" t="str">
        <f t="shared" si="1"/>
        <v/>
      </c>
      <c r="AT18" s="736" t="str">
        <f t="shared" si="2"/>
        <v/>
      </c>
      <c r="AU18" s="736" t="str">
        <f t="shared" si="3"/>
        <v/>
      </c>
      <c r="AV18" s="736">
        <f t="shared" si="3"/>
        <v>0</v>
      </c>
      <c r="AW18" s="736" t="str">
        <f t="shared" si="4"/>
        <v/>
      </c>
      <c r="AX18" s="737" t="str">
        <f t="shared" si="5"/>
        <v/>
      </c>
    </row>
    <row r="19" spans="1:50" s="514" customFormat="1" ht="30" customHeight="1">
      <c r="A19" s="554">
        <f>ROWS(A$11:A19)</f>
        <v>9</v>
      </c>
      <c r="B19" s="1170"/>
      <c r="C19" s="1170"/>
      <c r="D19" s="1170"/>
      <c r="E19" s="555"/>
      <c r="F19" s="555"/>
      <c r="G19" s="724"/>
      <c r="H19" s="724"/>
      <c r="I19" s="719"/>
      <c r="J19" s="720"/>
      <c r="K19" s="549"/>
      <c r="L19" s="1186"/>
      <c r="M19" s="1186"/>
      <c r="N19" s="1188"/>
      <c r="O19" s="546"/>
      <c r="P19" s="546"/>
      <c r="Q19" s="1191"/>
      <c r="R19" s="1173"/>
      <c r="S19" s="553"/>
      <c r="T19" s="547">
        <f t="shared" si="9"/>
        <v>0</v>
      </c>
      <c r="U19" s="546"/>
      <c r="V19" s="546"/>
      <c r="W19" s="546"/>
      <c r="X19" s="546"/>
      <c r="Y19" s="546"/>
      <c r="Z19" s="546"/>
      <c r="AA19" s="552"/>
      <c r="AB19" s="1194"/>
      <c r="AC19" s="551"/>
      <c r="AD19" s="1194"/>
      <c r="AE19" s="1174"/>
      <c r="AF19" s="1175"/>
      <c r="AG19" s="1175"/>
      <c r="AH19" s="536"/>
      <c r="AI19" s="734" t="str">
        <f t="shared" si="8"/>
        <v>-</v>
      </c>
      <c r="AQ19" s="736">
        <f t="shared" si="6"/>
        <v>18</v>
      </c>
      <c r="AR19" s="736" t="str">
        <f t="shared" si="0"/>
        <v/>
      </c>
      <c r="AS19" s="736" t="str">
        <f t="shared" si="1"/>
        <v/>
      </c>
      <c r="AT19" s="736" t="str">
        <f t="shared" si="2"/>
        <v/>
      </c>
      <c r="AU19" s="736" t="str">
        <f t="shared" ref="AU19:AV34" si="10">IF(S28="","",S28)</f>
        <v/>
      </c>
      <c r="AV19" s="736">
        <f t="shared" si="10"/>
        <v>0</v>
      </c>
      <c r="AW19" s="736" t="str">
        <f t="shared" si="4"/>
        <v/>
      </c>
      <c r="AX19" s="737" t="str">
        <f t="shared" si="5"/>
        <v/>
      </c>
    </row>
    <row r="20" spans="1:50" s="514" customFormat="1" ht="30" customHeight="1">
      <c r="A20" s="554">
        <f>ROWS(A$11:A20)</f>
        <v>10</v>
      </c>
      <c r="B20" s="1170"/>
      <c r="C20" s="1170"/>
      <c r="D20" s="1170"/>
      <c r="E20" s="555"/>
      <c r="F20" s="555"/>
      <c r="G20" s="724"/>
      <c r="H20" s="724"/>
      <c r="I20" s="719"/>
      <c r="J20" s="720"/>
      <c r="K20" s="549"/>
      <c r="L20" s="1186"/>
      <c r="M20" s="1186"/>
      <c r="N20" s="1188"/>
      <c r="O20" s="546"/>
      <c r="P20" s="546"/>
      <c r="Q20" s="1191"/>
      <c r="R20" s="1173"/>
      <c r="S20" s="553"/>
      <c r="T20" s="547">
        <f t="shared" si="9"/>
        <v>0</v>
      </c>
      <c r="U20" s="546"/>
      <c r="V20" s="546"/>
      <c r="W20" s="546"/>
      <c r="X20" s="546"/>
      <c r="Y20" s="546"/>
      <c r="Z20" s="546"/>
      <c r="AA20" s="552"/>
      <c r="AB20" s="1194"/>
      <c r="AC20" s="551"/>
      <c r="AD20" s="1194"/>
      <c r="AE20" s="1174"/>
      <c r="AF20" s="1175"/>
      <c r="AG20" s="1175"/>
      <c r="AH20" s="536"/>
      <c r="AI20" s="734" t="str">
        <f t="shared" si="8"/>
        <v>-</v>
      </c>
      <c r="AQ20" s="736">
        <f t="shared" si="6"/>
        <v>19</v>
      </c>
      <c r="AR20" s="736" t="str">
        <f t="shared" si="0"/>
        <v/>
      </c>
      <c r="AS20" s="736" t="str">
        <f t="shared" si="1"/>
        <v/>
      </c>
      <c r="AT20" s="736" t="str">
        <f t="shared" si="2"/>
        <v/>
      </c>
      <c r="AU20" s="736" t="str">
        <f t="shared" si="10"/>
        <v/>
      </c>
      <c r="AV20" s="736">
        <f t="shared" si="10"/>
        <v>0</v>
      </c>
      <c r="AW20" s="736" t="str">
        <f t="shared" si="4"/>
        <v/>
      </c>
      <c r="AX20" s="737" t="str">
        <f t="shared" si="5"/>
        <v/>
      </c>
    </row>
    <row r="21" spans="1:50" s="514" customFormat="1" ht="30" customHeight="1">
      <c r="A21" s="554">
        <f>ROWS(A$11:A21)</f>
        <v>11</v>
      </c>
      <c r="B21" s="1170"/>
      <c r="C21" s="1170"/>
      <c r="D21" s="1170"/>
      <c r="E21" s="555"/>
      <c r="F21" s="555"/>
      <c r="G21" s="724"/>
      <c r="H21" s="724"/>
      <c r="I21" s="719"/>
      <c r="J21" s="720"/>
      <c r="K21" s="549"/>
      <c r="L21" s="1186"/>
      <c r="M21" s="1186"/>
      <c r="N21" s="1188"/>
      <c r="O21" s="546"/>
      <c r="P21" s="546"/>
      <c r="Q21" s="1191"/>
      <c r="R21" s="1173"/>
      <c r="S21" s="553"/>
      <c r="T21" s="547">
        <f t="shared" si="9"/>
        <v>0</v>
      </c>
      <c r="U21" s="546"/>
      <c r="V21" s="546"/>
      <c r="W21" s="546"/>
      <c r="X21" s="546"/>
      <c r="Y21" s="546"/>
      <c r="Z21" s="546"/>
      <c r="AA21" s="552"/>
      <c r="AB21" s="1194"/>
      <c r="AC21" s="551"/>
      <c r="AD21" s="1194"/>
      <c r="AE21" s="1174"/>
      <c r="AF21" s="1175"/>
      <c r="AG21" s="1175"/>
      <c r="AH21" s="536"/>
      <c r="AI21" s="734" t="str">
        <f t="shared" si="8"/>
        <v>-</v>
      </c>
      <c r="AQ21" s="736">
        <f t="shared" si="6"/>
        <v>20</v>
      </c>
      <c r="AR21" s="736" t="str">
        <f t="shared" si="0"/>
        <v/>
      </c>
      <c r="AS21" s="736" t="str">
        <f t="shared" si="1"/>
        <v/>
      </c>
      <c r="AT21" s="736" t="str">
        <f t="shared" si="2"/>
        <v/>
      </c>
      <c r="AU21" s="736" t="str">
        <f t="shared" si="10"/>
        <v/>
      </c>
      <c r="AV21" s="736">
        <f t="shared" si="10"/>
        <v>0</v>
      </c>
      <c r="AW21" s="736" t="str">
        <f t="shared" si="4"/>
        <v/>
      </c>
      <c r="AX21" s="737" t="str">
        <f t="shared" si="5"/>
        <v/>
      </c>
    </row>
    <row r="22" spans="1:50" s="514" customFormat="1" ht="30" customHeight="1">
      <c r="A22" s="554">
        <f>ROWS(A$11:A22)</f>
        <v>12</v>
      </c>
      <c r="B22" s="1170"/>
      <c r="C22" s="1170"/>
      <c r="D22" s="1170"/>
      <c r="E22" s="555"/>
      <c r="F22" s="555"/>
      <c r="G22" s="724"/>
      <c r="H22" s="724"/>
      <c r="I22" s="719"/>
      <c r="J22" s="720"/>
      <c r="K22" s="549"/>
      <c r="L22" s="1186"/>
      <c r="M22" s="1186"/>
      <c r="N22" s="1188"/>
      <c r="O22" s="546"/>
      <c r="P22" s="546"/>
      <c r="Q22" s="1191"/>
      <c r="R22" s="1173"/>
      <c r="S22" s="553"/>
      <c r="T22" s="547">
        <f t="shared" si="9"/>
        <v>0</v>
      </c>
      <c r="U22" s="546"/>
      <c r="V22" s="546"/>
      <c r="W22" s="546"/>
      <c r="X22" s="546"/>
      <c r="Y22" s="546"/>
      <c r="Z22" s="546"/>
      <c r="AA22" s="552"/>
      <c r="AB22" s="1194"/>
      <c r="AC22" s="551"/>
      <c r="AD22" s="1194"/>
      <c r="AE22" s="1174"/>
      <c r="AF22" s="1175"/>
      <c r="AG22" s="1175"/>
      <c r="AH22" s="536"/>
      <c r="AI22" s="734" t="str">
        <f t="shared" si="8"/>
        <v>-</v>
      </c>
      <c r="AQ22" s="736">
        <f t="shared" si="6"/>
        <v>21</v>
      </c>
      <c r="AR22" s="736" t="str">
        <f t="shared" si="0"/>
        <v/>
      </c>
      <c r="AS22" s="736" t="str">
        <f t="shared" si="1"/>
        <v/>
      </c>
      <c r="AT22" s="736" t="str">
        <f t="shared" si="2"/>
        <v/>
      </c>
      <c r="AU22" s="736" t="str">
        <f t="shared" si="10"/>
        <v/>
      </c>
      <c r="AV22" s="736">
        <f t="shared" si="10"/>
        <v>0</v>
      </c>
      <c r="AW22" s="736" t="str">
        <f t="shared" si="4"/>
        <v/>
      </c>
      <c r="AX22" s="737" t="str">
        <f t="shared" si="5"/>
        <v/>
      </c>
    </row>
    <row r="23" spans="1:50" s="514" customFormat="1" ht="30" customHeight="1">
      <c r="A23" s="554">
        <f>ROWS(A$11:A23)</f>
        <v>13</v>
      </c>
      <c r="B23" s="1170"/>
      <c r="C23" s="1170"/>
      <c r="D23" s="1170"/>
      <c r="E23" s="555"/>
      <c r="F23" s="555"/>
      <c r="G23" s="724"/>
      <c r="H23" s="724"/>
      <c r="I23" s="719"/>
      <c r="J23" s="720"/>
      <c r="K23" s="549"/>
      <c r="L23" s="1186"/>
      <c r="M23" s="1186"/>
      <c r="N23" s="1188"/>
      <c r="O23" s="546"/>
      <c r="P23" s="546"/>
      <c r="Q23" s="1191"/>
      <c r="R23" s="1173"/>
      <c r="S23" s="553"/>
      <c r="T23" s="547">
        <f t="shared" si="9"/>
        <v>0</v>
      </c>
      <c r="U23" s="546"/>
      <c r="V23" s="546"/>
      <c r="W23" s="546"/>
      <c r="X23" s="546"/>
      <c r="Y23" s="546"/>
      <c r="Z23" s="546"/>
      <c r="AA23" s="552"/>
      <c r="AB23" s="1194"/>
      <c r="AC23" s="551"/>
      <c r="AD23" s="1194"/>
      <c r="AE23" s="1174"/>
      <c r="AF23" s="1175"/>
      <c r="AG23" s="1175"/>
      <c r="AH23" s="536"/>
      <c r="AI23" s="734" t="str">
        <f t="shared" si="8"/>
        <v>-</v>
      </c>
      <c r="AQ23" s="736">
        <f t="shared" si="6"/>
        <v>22</v>
      </c>
      <c r="AR23" s="736" t="str">
        <f t="shared" si="0"/>
        <v/>
      </c>
      <c r="AS23" s="736" t="str">
        <f t="shared" si="1"/>
        <v/>
      </c>
      <c r="AT23" s="736" t="str">
        <f t="shared" si="2"/>
        <v/>
      </c>
      <c r="AU23" s="736" t="str">
        <f t="shared" si="10"/>
        <v/>
      </c>
      <c r="AV23" s="736">
        <f t="shared" si="10"/>
        <v>0</v>
      </c>
      <c r="AW23" s="736" t="str">
        <f t="shared" si="4"/>
        <v/>
      </c>
      <c r="AX23" s="737" t="str">
        <f t="shared" si="5"/>
        <v/>
      </c>
    </row>
    <row r="24" spans="1:50" s="514" customFormat="1" ht="30" customHeight="1">
      <c r="A24" s="554">
        <f>ROWS(A$11:A24)</f>
        <v>14</v>
      </c>
      <c r="B24" s="1170"/>
      <c r="C24" s="1170"/>
      <c r="D24" s="1170"/>
      <c r="E24" s="555"/>
      <c r="F24" s="555"/>
      <c r="G24" s="724"/>
      <c r="H24" s="724"/>
      <c r="I24" s="719"/>
      <c r="J24" s="720"/>
      <c r="K24" s="549"/>
      <c r="L24" s="1186"/>
      <c r="M24" s="1186"/>
      <c r="N24" s="1188"/>
      <c r="O24" s="546"/>
      <c r="P24" s="546"/>
      <c r="Q24" s="1191"/>
      <c r="R24" s="1173"/>
      <c r="S24" s="553"/>
      <c r="T24" s="547">
        <f t="shared" si="9"/>
        <v>0</v>
      </c>
      <c r="U24" s="546"/>
      <c r="V24" s="546"/>
      <c r="W24" s="546"/>
      <c r="X24" s="546"/>
      <c r="Y24" s="546"/>
      <c r="Z24" s="546"/>
      <c r="AA24" s="552"/>
      <c r="AB24" s="1194"/>
      <c r="AC24" s="551"/>
      <c r="AD24" s="1194"/>
      <c r="AE24" s="1174"/>
      <c r="AF24" s="1175"/>
      <c r="AG24" s="1175"/>
      <c r="AH24" s="536"/>
      <c r="AI24" s="734" t="str">
        <f t="shared" si="8"/>
        <v>-</v>
      </c>
      <c r="AQ24" s="736">
        <f t="shared" si="6"/>
        <v>23</v>
      </c>
      <c r="AR24" s="736" t="str">
        <f t="shared" si="0"/>
        <v/>
      </c>
      <c r="AS24" s="736" t="str">
        <f t="shared" si="1"/>
        <v/>
      </c>
      <c r="AT24" s="736" t="str">
        <f t="shared" si="2"/>
        <v/>
      </c>
      <c r="AU24" s="736" t="str">
        <f t="shared" si="10"/>
        <v/>
      </c>
      <c r="AV24" s="736">
        <f t="shared" si="10"/>
        <v>0</v>
      </c>
      <c r="AW24" s="736" t="str">
        <f t="shared" si="4"/>
        <v/>
      </c>
      <c r="AX24" s="737" t="str">
        <f t="shared" si="5"/>
        <v/>
      </c>
    </row>
    <row r="25" spans="1:50" s="514" customFormat="1" ht="30" customHeight="1">
      <c r="A25" s="554">
        <f>ROWS(A$11:A25)</f>
        <v>15</v>
      </c>
      <c r="B25" s="1170"/>
      <c r="C25" s="1170"/>
      <c r="D25" s="1170"/>
      <c r="E25" s="555"/>
      <c r="F25" s="555"/>
      <c r="G25" s="724"/>
      <c r="H25" s="724"/>
      <c r="I25" s="719"/>
      <c r="J25" s="720"/>
      <c r="K25" s="549"/>
      <c r="L25" s="1186"/>
      <c r="M25" s="1186"/>
      <c r="N25" s="1188"/>
      <c r="O25" s="546"/>
      <c r="P25" s="546"/>
      <c r="Q25" s="1191"/>
      <c r="R25" s="1173"/>
      <c r="S25" s="553"/>
      <c r="T25" s="547">
        <f t="shared" si="9"/>
        <v>0</v>
      </c>
      <c r="U25" s="546"/>
      <c r="V25" s="546"/>
      <c r="W25" s="546"/>
      <c r="X25" s="546"/>
      <c r="Y25" s="546"/>
      <c r="Z25" s="546"/>
      <c r="AA25" s="552"/>
      <c r="AB25" s="1194"/>
      <c r="AC25" s="551"/>
      <c r="AD25" s="1194"/>
      <c r="AE25" s="1174"/>
      <c r="AF25" s="1175"/>
      <c r="AG25" s="1175"/>
      <c r="AH25" s="536"/>
      <c r="AI25" s="734" t="str">
        <f t="shared" si="8"/>
        <v>-</v>
      </c>
      <c r="AQ25" s="736">
        <f t="shared" si="6"/>
        <v>24</v>
      </c>
      <c r="AR25" s="736" t="str">
        <f t="shared" si="0"/>
        <v/>
      </c>
      <c r="AS25" s="736" t="str">
        <f t="shared" si="1"/>
        <v/>
      </c>
      <c r="AT25" s="736" t="str">
        <f t="shared" si="2"/>
        <v/>
      </c>
      <c r="AU25" s="736" t="str">
        <f t="shared" si="10"/>
        <v/>
      </c>
      <c r="AV25" s="736">
        <f t="shared" si="10"/>
        <v>0</v>
      </c>
      <c r="AW25" s="736" t="str">
        <f t="shared" si="4"/>
        <v/>
      </c>
      <c r="AX25" s="737" t="str">
        <f t="shared" si="5"/>
        <v/>
      </c>
    </row>
    <row r="26" spans="1:50" s="514" customFormat="1" ht="30" customHeight="1">
      <c r="A26" s="554">
        <f>ROWS(A$11:A26)</f>
        <v>16</v>
      </c>
      <c r="B26" s="1170"/>
      <c r="C26" s="1170"/>
      <c r="D26" s="1170"/>
      <c r="E26" s="555"/>
      <c r="F26" s="555"/>
      <c r="G26" s="724"/>
      <c r="H26" s="724"/>
      <c r="I26" s="719"/>
      <c r="J26" s="720"/>
      <c r="K26" s="549"/>
      <c r="L26" s="1186"/>
      <c r="M26" s="1186"/>
      <c r="N26" s="1188"/>
      <c r="O26" s="546"/>
      <c r="P26" s="546"/>
      <c r="Q26" s="1191"/>
      <c r="R26" s="1173"/>
      <c r="S26" s="553"/>
      <c r="T26" s="547">
        <f t="shared" si="9"/>
        <v>0</v>
      </c>
      <c r="U26" s="546"/>
      <c r="V26" s="546"/>
      <c r="W26" s="546"/>
      <c r="X26" s="546"/>
      <c r="Y26" s="546"/>
      <c r="Z26" s="546"/>
      <c r="AA26" s="552"/>
      <c r="AB26" s="1194"/>
      <c r="AC26" s="551"/>
      <c r="AD26" s="1194"/>
      <c r="AE26" s="1174"/>
      <c r="AF26" s="1175"/>
      <c r="AG26" s="1175"/>
      <c r="AH26" s="536"/>
      <c r="AI26" s="734" t="str">
        <f t="shared" si="8"/>
        <v>-</v>
      </c>
      <c r="AQ26" s="736">
        <f t="shared" si="6"/>
        <v>25</v>
      </c>
      <c r="AR26" s="736" t="str">
        <f t="shared" si="0"/>
        <v/>
      </c>
      <c r="AS26" s="736" t="str">
        <f t="shared" si="1"/>
        <v/>
      </c>
      <c r="AT26" s="736" t="str">
        <f t="shared" si="2"/>
        <v/>
      </c>
      <c r="AU26" s="736" t="str">
        <f t="shared" si="10"/>
        <v/>
      </c>
      <c r="AV26" s="736">
        <f t="shared" si="10"/>
        <v>0</v>
      </c>
      <c r="AW26" s="736" t="str">
        <f t="shared" si="4"/>
        <v/>
      </c>
      <c r="AX26" s="737" t="str">
        <f t="shared" si="5"/>
        <v/>
      </c>
    </row>
    <row r="27" spans="1:50" s="514" customFormat="1" ht="30" customHeight="1">
      <c r="A27" s="554">
        <f>ROWS(A$11:A27)</f>
        <v>17</v>
      </c>
      <c r="B27" s="1170"/>
      <c r="C27" s="1170"/>
      <c r="D27" s="1170"/>
      <c r="E27" s="555"/>
      <c r="F27" s="555"/>
      <c r="G27" s="724"/>
      <c r="H27" s="724"/>
      <c r="I27" s="719"/>
      <c r="J27" s="720"/>
      <c r="K27" s="549"/>
      <c r="L27" s="1186"/>
      <c r="M27" s="1186"/>
      <c r="N27" s="1188"/>
      <c r="O27" s="546"/>
      <c r="P27" s="546"/>
      <c r="Q27" s="1191"/>
      <c r="R27" s="1173"/>
      <c r="S27" s="553"/>
      <c r="T27" s="547">
        <f t="shared" si="9"/>
        <v>0</v>
      </c>
      <c r="U27" s="546"/>
      <c r="V27" s="546"/>
      <c r="W27" s="546"/>
      <c r="X27" s="546"/>
      <c r="Y27" s="546"/>
      <c r="Z27" s="546"/>
      <c r="AA27" s="552"/>
      <c r="AB27" s="1194"/>
      <c r="AC27" s="551"/>
      <c r="AD27" s="1194"/>
      <c r="AE27" s="1174"/>
      <c r="AF27" s="1175"/>
      <c r="AG27" s="1175"/>
      <c r="AH27" s="536"/>
      <c r="AI27" s="734" t="str">
        <f t="shared" si="8"/>
        <v>-</v>
      </c>
      <c r="AQ27" s="736">
        <f t="shared" si="6"/>
        <v>26</v>
      </c>
      <c r="AR27" s="736" t="str">
        <f t="shared" si="0"/>
        <v/>
      </c>
      <c r="AS27" s="736" t="str">
        <f t="shared" si="1"/>
        <v/>
      </c>
      <c r="AT27" s="736" t="str">
        <f t="shared" si="2"/>
        <v/>
      </c>
      <c r="AU27" s="736" t="str">
        <f t="shared" si="10"/>
        <v/>
      </c>
      <c r="AV27" s="736">
        <f t="shared" si="10"/>
        <v>0</v>
      </c>
      <c r="AW27" s="736" t="str">
        <f t="shared" si="4"/>
        <v/>
      </c>
      <c r="AX27" s="737" t="str">
        <f t="shared" si="5"/>
        <v/>
      </c>
    </row>
    <row r="28" spans="1:50" s="514" customFormat="1" ht="30" customHeight="1">
      <c r="A28" s="554">
        <f>ROWS(A$11:A28)</f>
        <v>18</v>
      </c>
      <c r="B28" s="1170"/>
      <c r="C28" s="1170"/>
      <c r="D28" s="1170"/>
      <c r="E28" s="555"/>
      <c r="F28" s="555"/>
      <c r="G28" s="724"/>
      <c r="H28" s="724"/>
      <c r="I28" s="719"/>
      <c r="J28" s="720"/>
      <c r="K28" s="549"/>
      <c r="L28" s="1186"/>
      <c r="M28" s="1186"/>
      <c r="N28" s="1188"/>
      <c r="O28" s="546"/>
      <c r="P28" s="546"/>
      <c r="Q28" s="1191"/>
      <c r="R28" s="1173"/>
      <c r="S28" s="553"/>
      <c r="T28" s="547">
        <f t="shared" si="9"/>
        <v>0</v>
      </c>
      <c r="U28" s="546"/>
      <c r="V28" s="546"/>
      <c r="W28" s="546"/>
      <c r="X28" s="546"/>
      <c r="Y28" s="546"/>
      <c r="Z28" s="546"/>
      <c r="AA28" s="552"/>
      <c r="AB28" s="1194"/>
      <c r="AC28" s="551"/>
      <c r="AD28" s="1194"/>
      <c r="AE28" s="1174"/>
      <c r="AF28" s="1175"/>
      <c r="AG28" s="1175"/>
      <c r="AH28" s="536"/>
      <c r="AI28" s="734" t="str">
        <f t="shared" si="8"/>
        <v>-</v>
      </c>
      <c r="AQ28" s="736">
        <f t="shared" si="6"/>
        <v>27</v>
      </c>
      <c r="AR28" s="736" t="str">
        <f t="shared" si="0"/>
        <v/>
      </c>
      <c r="AS28" s="736" t="str">
        <f t="shared" si="1"/>
        <v/>
      </c>
      <c r="AT28" s="736" t="str">
        <f t="shared" si="2"/>
        <v/>
      </c>
      <c r="AU28" s="736" t="str">
        <f t="shared" si="10"/>
        <v/>
      </c>
      <c r="AV28" s="736">
        <f t="shared" si="10"/>
        <v>0</v>
      </c>
      <c r="AW28" s="736" t="str">
        <f t="shared" si="4"/>
        <v/>
      </c>
      <c r="AX28" s="737" t="str">
        <f t="shared" si="5"/>
        <v/>
      </c>
    </row>
    <row r="29" spans="1:50" s="514" customFormat="1" ht="30" customHeight="1">
      <c r="A29" s="554">
        <f>ROWS(A$11:A29)</f>
        <v>19</v>
      </c>
      <c r="B29" s="1170"/>
      <c r="C29" s="1170"/>
      <c r="D29" s="1170"/>
      <c r="E29" s="555"/>
      <c r="F29" s="555"/>
      <c r="G29" s="724"/>
      <c r="H29" s="724"/>
      <c r="I29" s="719"/>
      <c r="J29" s="720"/>
      <c r="K29" s="549"/>
      <c r="L29" s="1186"/>
      <c r="M29" s="1186"/>
      <c r="N29" s="1188"/>
      <c r="O29" s="546"/>
      <c r="P29" s="546"/>
      <c r="Q29" s="1191"/>
      <c r="R29" s="1173"/>
      <c r="S29" s="553"/>
      <c r="T29" s="547">
        <f t="shared" si="9"/>
        <v>0</v>
      </c>
      <c r="U29" s="546"/>
      <c r="V29" s="546"/>
      <c r="W29" s="546"/>
      <c r="X29" s="546"/>
      <c r="Y29" s="546"/>
      <c r="Z29" s="546"/>
      <c r="AA29" s="552"/>
      <c r="AB29" s="1194"/>
      <c r="AC29" s="551"/>
      <c r="AD29" s="1194"/>
      <c r="AE29" s="1174"/>
      <c r="AF29" s="1175"/>
      <c r="AG29" s="1175"/>
      <c r="AH29" s="536"/>
      <c r="AI29" s="734" t="str">
        <f t="shared" si="8"/>
        <v>-</v>
      </c>
      <c r="AQ29" s="736">
        <f t="shared" si="6"/>
        <v>28</v>
      </c>
      <c r="AR29" s="736" t="str">
        <f t="shared" si="0"/>
        <v/>
      </c>
      <c r="AS29" s="736" t="str">
        <f t="shared" si="1"/>
        <v/>
      </c>
      <c r="AT29" s="736" t="str">
        <f t="shared" si="2"/>
        <v/>
      </c>
      <c r="AU29" s="736" t="str">
        <f t="shared" si="10"/>
        <v/>
      </c>
      <c r="AV29" s="736">
        <f t="shared" si="10"/>
        <v>0</v>
      </c>
      <c r="AW29" s="736" t="str">
        <f t="shared" si="4"/>
        <v/>
      </c>
      <c r="AX29" s="737" t="str">
        <f t="shared" si="5"/>
        <v/>
      </c>
    </row>
    <row r="30" spans="1:50" s="514" customFormat="1" ht="30" customHeight="1">
      <c r="A30" s="554">
        <f>ROWS(A$11:A30)</f>
        <v>20</v>
      </c>
      <c r="B30" s="1170"/>
      <c r="C30" s="1170"/>
      <c r="D30" s="1170"/>
      <c r="E30" s="555"/>
      <c r="F30" s="555"/>
      <c r="G30" s="724"/>
      <c r="H30" s="724"/>
      <c r="I30" s="719"/>
      <c r="J30" s="720"/>
      <c r="K30" s="549"/>
      <c r="L30" s="1186"/>
      <c r="M30" s="1186"/>
      <c r="N30" s="1188"/>
      <c r="O30" s="546"/>
      <c r="P30" s="546"/>
      <c r="Q30" s="1191"/>
      <c r="R30" s="1173"/>
      <c r="S30" s="553"/>
      <c r="T30" s="547">
        <f t="shared" si="9"/>
        <v>0</v>
      </c>
      <c r="U30" s="546"/>
      <c r="V30" s="546"/>
      <c r="W30" s="546"/>
      <c r="X30" s="546"/>
      <c r="Y30" s="546"/>
      <c r="Z30" s="546"/>
      <c r="AA30" s="552"/>
      <c r="AB30" s="1194"/>
      <c r="AC30" s="551"/>
      <c r="AD30" s="1194"/>
      <c r="AE30" s="1174"/>
      <c r="AF30" s="1175"/>
      <c r="AG30" s="1175"/>
      <c r="AH30" s="536"/>
      <c r="AI30" s="734" t="str">
        <f t="shared" si="8"/>
        <v>-</v>
      </c>
      <c r="AQ30" s="736">
        <f t="shared" si="6"/>
        <v>29</v>
      </c>
      <c r="AR30" s="736" t="str">
        <f t="shared" si="0"/>
        <v/>
      </c>
      <c r="AS30" s="736" t="str">
        <f t="shared" si="1"/>
        <v/>
      </c>
      <c r="AT30" s="736" t="str">
        <f t="shared" si="2"/>
        <v/>
      </c>
      <c r="AU30" s="736" t="str">
        <f t="shared" si="10"/>
        <v/>
      </c>
      <c r="AV30" s="736">
        <f t="shared" si="10"/>
        <v>0</v>
      </c>
      <c r="AW30" s="736" t="str">
        <f t="shared" si="4"/>
        <v/>
      </c>
      <c r="AX30" s="737" t="str">
        <f t="shared" si="5"/>
        <v/>
      </c>
    </row>
    <row r="31" spans="1:50" s="514" customFormat="1" ht="30" customHeight="1">
      <c r="A31" s="554">
        <f>ROWS(A$11:A31)</f>
        <v>21</v>
      </c>
      <c r="B31" s="1170"/>
      <c r="C31" s="1170"/>
      <c r="D31" s="1170"/>
      <c r="E31" s="555"/>
      <c r="F31" s="555"/>
      <c r="G31" s="724"/>
      <c r="H31" s="724"/>
      <c r="I31" s="719"/>
      <c r="J31" s="720"/>
      <c r="K31" s="549"/>
      <c r="L31" s="1186"/>
      <c r="M31" s="1186"/>
      <c r="N31" s="1188"/>
      <c r="O31" s="546"/>
      <c r="P31" s="546"/>
      <c r="Q31" s="1191"/>
      <c r="R31" s="1173"/>
      <c r="S31" s="553"/>
      <c r="T31" s="547">
        <f t="shared" si="9"/>
        <v>0</v>
      </c>
      <c r="U31" s="546"/>
      <c r="V31" s="546"/>
      <c r="W31" s="546"/>
      <c r="X31" s="546"/>
      <c r="Y31" s="546"/>
      <c r="Z31" s="546"/>
      <c r="AA31" s="552"/>
      <c r="AB31" s="1194"/>
      <c r="AC31" s="551"/>
      <c r="AD31" s="1194"/>
      <c r="AE31" s="1174"/>
      <c r="AF31" s="1175"/>
      <c r="AG31" s="1175"/>
      <c r="AH31" s="536"/>
      <c r="AI31" s="734" t="str">
        <f t="shared" si="8"/>
        <v>-</v>
      </c>
      <c r="AQ31" s="736">
        <f t="shared" si="6"/>
        <v>30</v>
      </c>
      <c r="AR31" s="736" t="str">
        <f t="shared" si="0"/>
        <v/>
      </c>
      <c r="AS31" s="736" t="str">
        <f t="shared" si="1"/>
        <v/>
      </c>
      <c r="AT31" s="736" t="str">
        <f t="shared" si="2"/>
        <v/>
      </c>
      <c r="AU31" s="736" t="str">
        <f t="shared" si="10"/>
        <v/>
      </c>
      <c r="AV31" s="736">
        <f t="shared" si="10"/>
        <v>0</v>
      </c>
      <c r="AW31" s="736" t="str">
        <f t="shared" si="4"/>
        <v/>
      </c>
      <c r="AX31" s="737" t="str">
        <f t="shared" si="5"/>
        <v/>
      </c>
    </row>
    <row r="32" spans="1:50" s="514" customFormat="1" ht="30" customHeight="1">
      <c r="A32" s="554">
        <f>ROWS(A$11:A32)</f>
        <v>22</v>
      </c>
      <c r="B32" s="1170"/>
      <c r="C32" s="1170"/>
      <c r="D32" s="1170"/>
      <c r="E32" s="555"/>
      <c r="F32" s="555"/>
      <c r="G32" s="724"/>
      <c r="H32" s="724"/>
      <c r="I32" s="719"/>
      <c r="J32" s="720"/>
      <c r="K32" s="549"/>
      <c r="L32" s="1186"/>
      <c r="M32" s="1186"/>
      <c r="N32" s="1188"/>
      <c r="O32" s="546"/>
      <c r="P32" s="546"/>
      <c r="Q32" s="1191"/>
      <c r="R32" s="1173"/>
      <c r="S32" s="553"/>
      <c r="T32" s="547">
        <f t="shared" si="9"/>
        <v>0</v>
      </c>
      <c r="U32" s="546"/>
      <c r="V32" s="546"/>
      <c r="W32" s="546"/>
      <c r="X32" s="546"/>
      <c r="Y32" s="546"/>
      <c r="Z32" s="546"/>
      <c r="AA32" s="552"/>
      <c r="AB32" s="1194"/>
      <c r="AC32" s="551"/>
      <c r="AD32" s="1194"/>
      <c r="AE32" s="1174"/>
      <c r="AF32" s="1175"/>
      <c r="AG32" s="1175"/>
      <c r="AH32" s="536"/>
      <c r="AI32" s="734" t="str">
        <f t="shared" si="8"/>
        <v>-</v>
      </c>
      <c r="AQ32" s="736">
        <f t="shared" si="6"/>
        <v>31</v>
      </c>
      <c r="AR32" s="736" t="str">
        <f t="shared" si="0"/>
        <v/>
      </c>
      <c r="AS32" s="736" t="str">
        <f t="shared" si="1"/>
        <v/>
      </c>
      <c r="AT32" s="736" t="str">
        <f t="shared" si="2"/>
        <v/>
      </c>
      <c r="AU32" s="736" t="str">
        <f t="shared" si="10"/>
        <v/>
      </c>
      <c r="AV32" s="736">
        <f t="shared" si="10"/>
        <v>0</v>
      </c>
      <c r="AW32" s="736" t="str">
        <f t="shared" si="4"/>
        <v/>
      </c>
      <c r="AX32" s="737" t="str">
        <f t="shared" si="5"/>
        <v/>
      </c>
    </row>
    <row r="33" spans="1:50" s="514" customFormat="1" ht="30" customHeight="1">
      <c r="A33" s="554">
        <f>ROWS(A$11:A33)</f>
        <v>23</v>
      </c>
      <c r="B33" s="1170"/>
      <c r="C33" s="1170"/>
      <c r="D33" s="1170"/>
      <c r="E33" s="555"/>
      <c r="F33" s="555"/>
      <c r="G33" s="724"/>
      <c r="H33" s="724"/>
      <c r="I33" s="719"/>
      <c r="J33" s="720"/>
      <c r="K33" s="549"/>
      <c r="L33" s="1186"/>
      <c r="M33" s="1186"/>
      <c r="N33" s="1188"/>
      <c r="O33" s="546"/>
      <c r="P33" s="546"/>
      <c r="Q33" s="1191"/>
      <c r="R33" s="1173"/>
      <c r="S33" s="553"/>
      <c r="T33" s="547">
        <f t="shared" si="9"/>
        <v>0</v>
      </c>
      <c r="U33" s="546"/>
      <c r="V33" s="546"/>
      <c r="W33" s="546"/>
      <c r="X33" s="546"/>
      <c r="Y33" s="546"/>
      <c r="Z33" s="546"/>
      <c r="AA33" s="552"/>
      <c r="AB33" s="1194"/>
      <c r="AC33" s="551"/>
      <c r="AD33" s="1194"/>
      <c r="AE33" s="1174"/>
      <c r="AF33" s="1175"/>
      <c r="AG33" s="1175"/>
      <c r="AH33" s="536"/>
      <c r="AI33" s="734" t="str">
        <f t="shared" si="8"/>
        <v>-</v>
      </c>
      <c r="AQ33" s="736">
        <f t="shared" si="6"/>
        <v>32</v>
      </c>
      <c r="AR33" s="736" t="str">
        <f t="shared" si="0"/>
        <v/>
      </c>
      <c r="AS33" s="736" t="str">
        <f t="shared" si="1"/>
        <v/>
      </c>
      <c r="AT33" s="736" t="str">
        <f t="shared" si="2"/>
        <v/>
      </c>
      <c r="AU33" s="736" t="str">
        <f t="shared" si="10"/>
        <v/>
      </c>
      <c r="AV33" s="736">
        <f t="shared" si="10"/>
        <v>0</v>
      </c>
      <c r="AW33" s="736" t="str">
        <f t="shared" si="4"/>
        <v/>
      </c>
      <c r="AX33" s="737" t="str">
        <f t="shared" si="5"/>
        <v/>
      </c>
    </row>
    <row r="34" spans="1:50" s="514" customFormat="1" ht="30" customHeight="1">
      <c r="A34" s="554">
        <f>ROWS(A$11:A34)</f>
        <v>24</v>
      </c>
      <c r="B34" s="1170"/>
      <c r="C34" s="1170"/>
      <c r="D34" s="1170"/>
      <c r="E34" s="555"/>
      <c r="F34" s="555"/>
      <c r="G34" s="724"/>
      <c r="H34" s="724"/>
      <c r="I34" s="719"/>
      <c r="J34" s="720"/>
      <c r="K34" s="549"/>
      <c r="L34" s="1186"/>
      <c r="M34" s="1186"/>
      <c r="N34" s="1188"/>
      <c r="O34" s="546"/>
      <c r="P34" s="546"/>
      <c r="Q34" s="1191"/>
      <c r="R34" s="1173"/>
      <c r="S34" s="553"/>
      <c r="T34" s="547">
        <f t="shared" si="9"/>
        <v>0</v>
      </c>
      <c r="U34" s="546"/>
      <c r="V34" s="546"/>
      <c r="W34" s="546"/>
      <c r="X34" s="546"/>
      <c r="Y34" s="546"/>
      <c r="Z34" s="546"/>
      <c r="AA34" s="552"/>
      <c r="AB34" s="1194"/>
      <c r="AC34" s="551"/>
      <c r="AD34" s="1194"/>
      <c r="AE34" s="1174"/>
      <c r="AF34" s="1175"/>
      <c r="AG34" s="1175"/>
      <c r="AH34" s="536"/>
      <c r="AI34" s="734" t="str">
        <f t="shared" si="8"/>
        <v>-</v>
      </c>
      <c r="AQ34" s="736">
        <f t="shared" si="6"/>
        <v>33</v>
      </c>
      <c r="AR34" s="736" t="str">
        <f t="shared" si="0"/>
        <v/>
      </c>
      <c r="AS34" s="736" t="str">
        <f t="shared" si="1"/>
        <v/>
      </c>
      <c r="AT34" s="736" t="str">
        <f t="shared" si="2"/>
        <v/>
      </c>
      <c r="AU34" s="736" t="str">
        <f t="shared" si="10"/>
        <v/>
      </c>
      <c r="AV34" s="736">
        <f t="shared" si="10"/>
        <v>0</v>
      </c>
      <c r="AW34" s="736" t="str">
        <f t="shared" si="4"/>
        <v/>
      </c>
      <c r="AX34" s="737" t="str">
        <f t="shared" si="5"/>
        <v/>
      </c>
    </row>
    <row r="35" spans="1:50" s="514" customFormat="1" ht="30" customHeight="1">
      <c r="A35" s="554">
        <f>ROWS(A$11:A35)</f>
        <v>25</v>
      </c>
      <c r="B35" s="1170"/>
      <c r="C35" s="1170"/>
      <c r="D35" s="1170"/>
      <c r="E35" s="555"/>
      <c r="F35" s="555"/>
      <c r="G35" s="724"/>
      <c r="H35" s="724"/>
      <c r="I35" s="719"/>
      <c r="J35" s="720"/>
      <c r="K35" s="549"/>
      <c r="L35" s="1186"/>
      <c r="M35" s="1186"/>
      <c r="N35" s="1188"/>
      <c r="O35" s="546"/>
      <c r="P35" s="546"/>
      <c r="Q35" s="1191"/>
      <c r="R35" s="1173"/>
      <c r="S35" s="553"/>
      <c r="T35" s="547">
        <f t="shared" si="9"/>
        <v>0</v>
      </c>
      <c r="U35" s="546"/>
      <c r="V35" s="546"/>
      <c r="W35" s="546"/>
      <c r="X35" s="546"/>
      <c r="Y35" s="546"/>
      <c r="Z35" s="546"/>
      <c r="AA35" s="552"/>
      <c r="AB35" s="1194"/>
      <c r="AC35" s="551"/>
      <c r="AD35" s="1194"/>
      <c r="AE35" s="1174"/>
      <c r="AF35" s="1175"/>
      <c r="AG35" s="1175"/>
      <c r="AH35" s="536"/>
      <c r="AI35" s="734" t="str">
        <f t="shared" si="8"/>
        <v>-</v>
      </c>
      <c r="AQ35" s="736">
        <f t="shared" si="6"/>
        <v>34</v>
      </c>
      <c r="AR35" s="736" t="str">
        <f t="shared" si="0"/>
        <v/>
      </c>
      <c r="AS35" s="736" t="str">
        <f t="shared" si="1"/>
        <v/>
      </c>
      <c r="AT35" s="736" t="str">
        <f t="shared" si="2"/>
        <v/>
      </c>
      <c r="AU35" s="736" t="str">
        <f t="shared" ref="AU35:AV50" si="11">IF(S44="","",S44)</f>
        <v/>
      </c>
      <c r="AV35" s="736">
        <f t="shared" si="11"/>
        <v>0</v>
      </c>
      <c r="AW35" s="736" t="str">
        <f t="shared" si="4"/>
        <v/>
      </c>
      <c r="AX35" s="737" t="str">
        <f t="shared" si="5"/>
        <v/>
      </c>
    </row>
    <row r="36" spans="1:50" s="514" customFormat="1" ht="30" customHeight="1">
      <c r="A36" s="554">
        <f>ROWS(A$11:A36)</f>
        <v>26</v>
      </c>
      <c r="B36" s="1178"/>
      <c r="C36" s="1179"/>
      <c r="D36" s="1180"/>
      <c r="E36" s="555"/>
      <c r="F36" s="555"/>
      <c r="G36" s="719"/>
      <c r="H36" s="722"/>
      <c r="I36" s="722"/>
      <c r="J36" s="723"/>
      <c r="K36" s="549"/>
      <c r="L36" s="1186"/>
      <c r="M36" s="1186"/>
      <c r="N36" s="1188"/>
      <c r="O36" s="546"/>
      <c r="P36" s="546"/>
      <c r="Q36" s="1191"/>
      <c r="R36" s="1173"/>
      <c r="S36" s="553"/>
      <c r="T36" s="547">
        <f t="shared" si="7"/>
        <v>0</v>
      </c>
      <c r="U36" s="546"/>
      <c r="V36" s="546"/>
      <c r="W36" s="546"/>
      <c r="X36" s="546"/>
      <c r="Y36" s="546"/>
      <c r="Z36" s="546"/>
      <c r="AA36" s="552"/>
      <c r="AB36" s="1194"/>
      <c r="AC36" s="551"/>
      <c r="AD36" s="1194"/>
      <c r="AE36" s="1174"/>
      <c r="AF36" s="1175"/>
      <c r="AG36" s="1175"/>
      <c r="AH36" s="536"/>
      <c r="AI36" s="734" t="str">
        <f t="shared" si="8"/>
        <v>-</v>
      </c>
      <c r="AQ36" s="736">
        <f t="shared" si="6"/>
        <v>35</v>
      </c>
      <c r="AR36" s="736" t="str">
        <f t="shared" si="0"/>
        <v/>
      </c>
      <c r="AS36" s="736" t="str">
        <f t="shared" si="1"/>
        <v/>
      </c>
      <c r="AT36" s="736" t="str">
        <f t="shared" si="2"/>
        <v/>
      </c>
      <c r="AU36" s="736" t="str">
        <f t="shared" si="11"/>
        <v/>
      </c>
      <c r="AV36" s="736">
        <f t="shared" si="11"/>
        <v>0</v>
      </c>
      <c r="AW36" s="736" t="str">
        <f t="shared" si="4"/>
        <v/>
      </c>
      <c r="AX36" s="737" t="str">
        <f t="shared" si="5"/>
        <v/>
      </c>
    </row>
    <row r="37" spans="1:50" s="514" customFormat="1" ht="30" customHeight="1">
      <c r="A37" s="554">
        <f>ROWS(A$11:A37)</f>
        <v>27</v>
      </c>
      <c r="B37" s="1178"/>
      <c r="C37" s="1179"/>
      <c r="D37" s="1180"/>
      <c r="E37" s="555"/>
      <c r="F37" s="555"/>
      <c r="G37" s="719"/>
      <c r="H37" s="719"/>
      <c r="I37" s="719"/>
      <c r="J37" s="720"/>
      <c r="K37" s="549"/>
      <c r="L37" s="1186"/>
      <c r="M37" s="1186"/>
      <c r="N37" s="1188"/>
      <c r="O37" s="546"/>
      <c r="P37" s="546"/>
      <c r="Q37" s="1191"/>
      <c r="R37" s="1173"/>
      <c r="S37" s="553"/>
      <c r="T37" s="547">
        <f t="shared" si="7"/>
        <v>0</v>
      </c>
      <c r="U37" s="546"/>
      <c r="V37" s="546"/>
      <c r="W37" s="546"/>
      <c r="X37" s="546"/>
      <c r="Y37" s="546"/>
      <c r="Z37" s="546"/>
      <c r="AA37" s="552"/>
      <c r="AB37" s="1194"/>
      <c r="AC37" s="551"/>
      <c r="AD37" s="1194"/>
      <c r="AE37" s="1174"/>
      <c r="AF37" s="1175"/>
      <c r="AG37" s="1175"/>
      <c r="AH37" s="536"/>
      <c r="AI37" s="734" t="str">
        <f t="shared" si="8"/>
        <v>-</v>
      </c>
      <c r="AQ37" s="736">
        <f t="shared" si="6"/>
        <v>36</v>
      </c>
      <c r="AR37" s="736" t="str">
        <f t="shared" si="0"/>
        <v/>
      </c>
      <c r="AS37" s="736" t="str">
        <f t="shared" si="1"/>
        <v/>
      </c>
      <c r="AT37" s="736" t="str">
        <f t="shared" si="2"/>
        <v/>
      </c>
      <c r="AU37" s="736" t="str">
        <f t="shared" si="11"/>
        <v/>
      </c>
      <c r="AV37" s="736">
        <f t="shared" si="11"/>
        <v>0</v>
      </c>
      <c r="AW37" s="736" t="str">
        <f t="shared" si="4"/>
        <v/>
      </c>
      <c r="AX37" s="737" t="str">
        <f t="shared" si="5"/>
        <v/>
      </c>
    </row>
    <row r="38" spans="1:50" s="514" customFormat="1" ht="30" customHeight="1">
      <c r="A38" s="554">
        <f>ROWS(A$11:A38)</f>
        <v>28</v>
      </c>
      <c r="B38" s="1170"/>
      <c r="C38" s="1170"/>
      <c r="D38" s="1170"/>
      <c r="E38" s="555"/>
      <c r="F38" s="555"/>
      <c r="G38" s="724"/>
      <c r="H38" s="724"/>
      <c r="I38" s="719"/>
      <c r="J38" s="720"/>
      <c r="K38" s="549"/>
      <c r="L38" s="1186"/>
      <c r="M38" s="1186"/>
      <c r="N38" s="1188"/>
      <c r="O38" s="546"/>
      <c r="P38" s="546"/>
      <c r="Q38" s="1191"/>
      <c r="R38" s="1173"/>
      <c r="S38" s="553"/>
      <c r="T38" s="547">
        <f t="shared" si="7"/>
        <v>0</v>
      </c>
      <c r="U38" s="546"/>
      <c r="V38" s="546"/>
      <c r="W38" s="546"/>
      <c r="X38" s="546"/>
      <c r="Y38" s="546"/>
      <c r="Z38" s="546"/>
      <c r="AA38" s="552"/>
      <c r="AB38" s="1194"/>
      <c r="AC38" s="551"/>
      <c r="AD38" s="1194"/>
      <c r="AE38" s="1174"/>
      <c r="AF38" s="1175"/>
      <c r="AG38" s="1175"/>
      <c r="AH38" s="536"/>
      <c r="AI38" s="734" t="str">
        <f t="shared" si="8"/>
        <v>-</v>
      </c>
      <c r="AQ38" s="736">
        <f t="shared" si="6"/>
        <v>37</v>
      </c>
      <c r="AR38" s="736" t="str">
        <f t="shared" si="0"/>
        <v/>
      </c>
      <c r="AS38" s="736" t="str">
        <f t="shared" si="1"/>
        <v/>
      </c>
      <c r="AT38" s="736" t="str">
        <f t="shared" si="2"/>
        <v/>
      </c>
      <c r="AU38" s="736" t="str">
        <f t="shared" si="11"/>
        <v/>
      </c>
      <c r="AV38" s="736">
        <f t="shared" si="11"/>
        <v>0</v>
      </c>
      <c r="AW38" s="736" t="str">
        <f t="shared" si="4"/>
        <v/>
      </c>
      <c r="AX38" s="737" t="str">
        <f t="shared" si="5"/>
        <v/>
      </c>
    </row>
    <row r="39" spans="1:50" s="514" customFormat="1" ht="30" customHeight="1">
      <c r="A39" s="554">
        <f>ROWS(A$11:A39)</f>
        <v>29</v>
      </c>
      <c r="B39" s="1170"/>
      <c r="C39" s="1170"/>
      <c r="D39" s="1170"/>
      <c r="E39" s="555"/>
      <c r="F39" s="555"/>
      <c r="G39" s="724"/>
      <c r="H39" s="724"/>
      <c r="I39" s="719"/>
      <c r="J39" s="720"/>
      <c r="K39" s="549"/>
      <c r="L39" s="1186"/>
      <c r="M39" s="1186"/>
      <c r="N39" s="1188"/>
      <c r="O39" s="546"/>
      <c r="P39" s="546"/>
      <c r="Q39" s="1191"/>
      <c r="R39" s="1173"/>
      <c r="S39" s="553"/>
      <c r="T39" s="547">
        <f t="shared" si="7"/>
        <v>0</v>
      </c>
      <c r="U39" s="546"/>
      <c r="V39" s="546"/>
      <c r="W39" s="546"/>
      <c r="X39" s="546"/>
      <c r="Y39" s="546"/>
      <c r="Z39" s="546"/>
      <c r="AA39" s="552"/>
      <c r="AB39" s="1194"/>
      <c r="AC39" s="551"/>
      <c r="AD39" s="1194"/>
      <c r="AE39" s="1174"/>
      <c r="AF39" s="1175"/>
      <c r="AG39" s="1175"/>
      <c r="AH39" s="536"/>
      <c r="AI39" s="734" t="str">
        <f t="shared" si="8"/>
        <v>-</v>
      </c>
      <c r="AQ39" s="736">
        <f t="shared" si="6"/>
        <v>38</v>
      </c>
      <c r="AR39" s="736" t="str">
        <f t="shared" si="0"/>
        <v/>
      </c>
      <c r="AS39" s="736" t="str">
        <f t="shared" si="1"/>
        <v/>
      </c>
      <c r="AT39" s="736" t="str">
        <f t="shared" si="2"/>
        <v/>
      </c>
      <c r="AU39" s="736" t="str">
        <f t="shared" si="11"/>
        <v/>
      </c>
      <c r="AV39" s="736">
        <f t="shared" si="11"/>
        <v>0</v>
      </c>
      <c r="AW39" s="736" t="str">
        <f t="shared" si="4"/>
        <v/>
      </c>
      <c r="AX39" s="737" t="str">
        <f t="shared" si="5"/>
        <v/>
      </c>
    </row>
    <row r="40" spans="1:50" s="514" customFormat="1" ht="30" customHeight="1">
      <c r="A40" s="554">
        <f>ROWS(A$11:A40)</f>
        <v>30</v>
      </c>
      <c r="B40" s="1170"/>
      <c r="C40" s="1170"/>
      <c r="D40" s="1170"/>
      <c r="E40" s="555"/>
      <c r="F40" s="555"/>
      <c r="G40" s="724"/>
      <c r="H40" s="724"/>
      <c r="I40" s="719"/>
      <c r="J40" s="720"/>
      <c r="K40" s="549"/>
      <c r="L40" s="1186"/>
      <c r="M40" s="1186"/>
      <c r="N40" s="1188"/>
      <c r="O40" s="546"/>
      <c r="P40" s="546"/>
      <c r="Q40" s="1191"/>
      <c r="R40" s="1173"/>
      <c r="S40" s="553"/>
      <c r="T40" s="547">
        <f t="shared" si="7"/>
        <v>0</v>
      </c>
      <c r="U40" s="546"/>
      <c r="V40" s="546"/>
      <c r="W40" s="546"/>
      <c r="X40" s="546"/>
      <c r="Y40" s="546"/>
      <c r="Z40" s="546"/>
      <c r="AA40" s="552"/>
      <c r="AB40" s="1194"/>
      <c r="AC40" s="551"/>
      <c r="AD40" s="1194"/>
      <c r="AE40" s="1174"/>
      <c r="AF40" s="1175"/>
      <c r="AG40" s="1175"/>
      <c r="AH40" s="536"/>
      <c r="AI40" s="734" t="str">
        <f t="shared" si="8"/>
        <v>-</v>
      </c>
      <c r="AQ40" s="736">
        <f t="shared" si="6"/>
        <v>39</v>
      </c>
      <c r="AR40" s="736" t="str">
        <f t="shared" si="0"/>
        <v/>
      </c>
      <c r="AS40" s="736" t="str">
        <f t="shared" si="1"/>
        <v/>
      </c>
      <c r="AT40" s="736" t="str">
        <f t="shared" si="2"/>
        <v/>
      </c>
      <c r="AU40" s="736" t="str">
        <f t="shared" si="11"/>
        <v/>
      </c>
      <c r="AV40" s="736">
        <f t="shared" si="11"/>
        <v>0</v>
      </c>
      <c r="AW40" s="736" t="str">
        <f t="shared" si="4"/>
        <v/>
      </c>
      <c r="AX40" s="737" t="str">
        <f t="shared" si="5"/>
        <v/>
      </c>
    </row>
    <row r="41" spans="1:50" s="514" customFormat="1" ht="30" customHeight="1">
      <c r="A41" s="554">
        <f>ROWS(A$11:A41)</f>
        <v>31</v>
      </c>
      <c r="B41" s="1170"/>
      <c r="C41" s="1170"/>
      <c r="D41" s="1170"/>
      <c r="E41" s="555"/>
      <c r="F41" s="555"/>
      <c r="G41" s="724"/>
      <c r="H41" s="724"/>
      <c r="I41" s="719"/>
      <c r="J41" s="720"/>
      <c r="K41" s="549"/>
      <c r="L41" s="1186"/>
      <c r="M41" s="1186"/>
      <c r="N41" s="1188"/>
      <c r="O41" s="546"/>
      <c r="P41" s="546"/>
      <c r="Q41" s="1191"/>
      <c r="R41" s="1173"/>
      <c r="S41" s="553"/>
      <c r="T41" s="547">
        <f t="shared" si="7"/>
        <v>0</v>
      </c>
      <c r="U41" s="546"/>
      <c r="V41" s="546"/>
      <c r="W41" s="546"/>
      <c r="X41" s="546"/>
      <c r="Y41" s="546"/>
      <c r="Z41" s="546"/>
      <c r="AA41" s="552"/>
      <c r="AB41" s="1194"/>
      <c r="AC41" s="551"/>
      <c r="AD41" s="1194"/>
      <c r="AE41" s="1174"/>
      <c r="AF41" s="1175"/>
      <c r="AG41" s="1175"/>
      <c r="AH41" s="536"/>
      <c r="AI41" s="734" t="str">
        <f t="shared" si="8"/>
        <v>-</v>
      </c>
      <c r="AQ41" s="736">
        <f t="shared" si="6"/>
        <v>40</v>
      </c>
      <c r="AR41" s="736" t="str">
        <f t="shared" si="0"/>
        <v/>
      </c>
      <c r="AS41" s="736" t="str">
        <f t="shared" si="1"/>
        <v/>
      </c>
      <c r="AT41" s="736" t="str">
        <f t="shared" si="2"/>
        <v/>
      </c>
      <c r="AU41" s="736" t="str">
        <f t="shared" si="11"/>
        <v/>
      </c>
      <c r="AV41" s="736">
        <f t="shared" si="11"/>
        <v>0</v>
      </c>
      <c r="AW41" s="736" t="str">
        <f t="shared" si="4"/>
        <v/>
      </c>
      <c r="AX41" s="737" t="str">
        <f t="shared" si="5"/>
        <v/>
      </c>
    </row>
    <row r="42" spans="1:50" s="514" customFormat="1" ht="30" customHeight="1">
      <c r="A42" s="554">
        <f>ROWS(A$11:A42)</f>
        <v>32</v>
      </c>
      <c r="B42" s="1170"/>
      <c r="C42" s="1170"/>
      <c r="D42" s="1170"/>
      <c r="E42" s="555"/>
      <c r="F42" s="555"/>
      <c r="G42" s="724"/>
      <c r="H42" s="724"/>
      <c r="I42" s="719"/>
      <c r="J42" s="720"/>
      <c r="K42" s="549"/>
      <c r="L42" s="1186"/>
      <c r="M42" s="1186"/>
      <c r="N42" s="1188"/>
      <c r="O42" s="546"/>
      <c r="P42" s="546"/>
      <c r="Q42" s="1191"/>
      <c r="R42" s="1173"/>
      <c r="S42" s="553"/>
      <c r="T42" s="547">
        <f t="shared" si="7"/>
        <v>0</v>
      </c>
      <c r="U42" s="546"/>
      <c r="V42" s="546"/>
      <c r="W42" s="546"/>
      <c r="X42" s="546"/>
      <c r="Y42" s="546"/>
      <c r="Z42" s="546"/>
      <c r="AA42" s="552"/>
      <c r="AB42" s="1194"/>
      <c r="AC42" s="551"/>
      <c r="AD42" s="1194"/>
      <c r="AE42" s="1174"/>
      <c r="AF42" s="1175"/>
      <c r="AG42" s="1175"/>
      <c r="AH42" s="536"/>
      <c r="AI42" s="734" t="str">
        <f t="shared" si="8"/>
        <v>-</v>
      </c>
      <c r="AQ42" s="736">
        <f t="shared" si="6"/>
        <v>41</v>
      </c>
      <c r="AR42" s="736" t="str">
        <f t="shared" si="0"/>
        <v/>
      </c>
      <c r="AS42" s="736" t="str">
        <f t="shared" si="1"/>
        <v/>
      </c>
      <c r="AT42" s="736" t="str">
        <f t="shared" si="2"/>
        <v/>
      </c>
      <c r="AU42" s="736" t="str">
        <f t="shared" si="11"/>
        <v/>
      </c>
      <c r="AV42" s="736">
        <f t="shared" si="11"/>
        <v>0</v>
      </c>
      <c r="AW42" s="736" t="str">
        <f t="shared" si="4"/>
        <v/>
      </c>
      <c r="AX42" s="737" t="str">
        <f t="shared" si="5"/>
        <v/>
      </c>
    </row>
    <row r="43" spans="1:50" s="514" customFormat="1" ht="30" customHeight="1">
      <c r="A43" s="554">
        <f>ROWS(A$11:A43)</f>
        <v>33</v>
      </c>
      <c r="B43" s="1170"/>
      <c r="C43" s="1170"/>
      <c r="D43" s="1170"/>
      <c r="E43" s="555"/>
      <c r="F43" s="555"/>
      <c r="G43" s="724"/>
      <c r="H43" s="724"/>
      <c r="I43" s="719"/>
      <c r="J43" s="720"/>
      <c r="K43" s="549"/>
      <c r="L43" s="1186"/>
      <c r="M43" s="1186"/>
      <c r="N43" s="1188"/>
      <c r="O43" s="546"/>
      <c r="P43" s="546"/>
      <c r="Q43" s="1191"/>
      <c r="R43" s="1173"/>
      <c r="S43" s="553"/>
      <c r="T43" s="547">
        <f t="shared" si="7"/>
        <v>0</v>
      </c>
      <c r="U43" s="546"/>
      <c r="V43" s="546"/>
      <c r="W43" s="546"/>
      <c r="X43" s="546"/>
      <c r="Y43" s="546"/>
      <c r="Z43" s="546"/>
      <c r="AA43" s="552"/>
      <c r="AB43" s="1194"/>
      <c r="AC43" s="551"/>
      <c r="AD43" s="1194"/>
      <c r="AE43" s="1174"/>
      <c r="AF43" s="1175"/>
      <c r="AG43" s="1175"/>
      <c r="AH43" s="536"/>
      <c r="AI43" s="734" t="str">
        <f t="shared" si="8"/>
        <v>-</v>
      </c>
      <c r="AQ43" s="736">
        <f t="shared" si="6"/>
        <v>42</v>
      </c>
      <c r="AR43" s="736" t="str">
        <f t="shared" si="0"/>
        <v/>
      </c>
      <c r="AS43" s="736" t="str">
        <f t="shared" si="1"/>
        <v/>
      </c>
      <c r="AT43" s="736" t="str">
        <f t="shared" si="2"/>
        <v/>
      </c>
      <c r="AU43" s="736" t="str">
        <f t="shared" si="11"/>
        <v/>
      </c>
      <c r="AV43" s="736">
        <f t="shared" si="11"/>
        <v>0</v>
      </c>
      <c r="AW43" s="736" t="str">
        <f t="shared" si="4"/>
        <v/>
      </c>
      <c r="AX43" s="737" t="str">
        <f t="shared" si="5"/>
        <v/>
      </c>
    </row>
    <row r="44" spans="1:50" s="514" customFormat="1" ht="30" customHeight="1">
      <c r="A44" s="554">
        <f>ROWS(A$11:A44)</f>
        <v>34</v>
      </c>
      <c r="B44" s="1170"/>
      <c r="C44" s="1170"/>
      <c r="D44" s="1170"/>
      <c r="E44" s="555"/>
      <c r="F44" s="555"/>
      <c r="G44" s="724"/>
      <c r="H44" s="724"/>
      <c r="I44" s="719"/>
      <c r="J44" s="720"/>
      <c r="K44" s="549"/>
      <c r="L44" s="1186"/>
      <c r="M44" s="1186"/>
      <c r="N44" s="1188"/>
      <c r="O44" s="546"/>
      <c r="P44" s="546"/>
      <c r="Q44" s="1191"/>
      <c r="R44" s="1173"/>
      <c r="S44" s="553"/>
      <c r="T44" s="547">
        <f t="shared" si="7"/>
        <v>0</v>
      </c>
      <c r="U44" s="546"/>
      <c r="V44" s="546"/>
      <c r="W44" s="546"/>
      <c r="X44" s="546"/>
      <c r="Y44" s="546"/>
      <c r="Z44" s="546"/>
      <c r="AA44" s="552"/>
      <c r="AB44" s="1194"/>
      <c r="AC44" s="551"/>
      <c r="AD44" s="1194"/>
      <c r="AE44" s="1174"/>
      <c r="AF44" s="1175"/>
      <c r="AG44" s="1175"/>
      <c r="AH44" s="536"/>
      <c r="AI44" s="734" t="str">
        <f t="shared" si="8"/>
        <v>-</v>
      </c>
      <c r="AQ44" s="736">
        <f t="shared" si="6"/>
        <v>43</v>
      </c>
      <c r="AR44" s="736" t="str">
        <f t="shared" si="0"/>
        <v/>
      </c>
      <c r="AS44" s="736" t="str">
        <f t="shared" si="1"/>
        <v/>
      </c>
      <c r="AT44" s="736" t="str">
        <f t="shared" si="2"/>
        <v/>
      </c>
      <c r="AU44" s="736" t="str">
        <f t="shared" si="11"/>
        <v/>
      </c>
      <c r="AV44" s="736">
        <f t="shared" si="11"/>
        <v>0</v>
      </c>
      <c r="AW44" s="736" t="str">
        <f t="shared" si="4"/>
        <v/>
      </c>
      <c r="AX44" s="737" t="str">
        <f t="shared" si="5"/>
        <v/>
      </c>
    </row>
    <row r="45" spans="1:50" s="514" customFormat="1" ht="30" customHeight="1">
      <c r="A45" s="554">
        <f>ROWS(A$11:A45)</f>
        <v>35</v>
      </c>
      <c r="B45" s="1170"/>
      <c r="C45" s="1170"/>
      <c r="D45" s="1170"/>
      <c r="E45" s="555"/>
      <c r="F45" s="555"/>
      <c r="G45" s="724"/>
      <c r="H45" s="724"/>
      <c r="I45" s="719"/>
      <c r="J45" s="720"/>
      <c r="K45" s="549"/>
      <c r="L45" s="1186"/>
      <c r="M45" s="1186"/>
      <c r="N45" s="1188"/>
      <c r="O45" s="546"/>
      <c r="P45" s="546"/>
      <c r="Q45" s="1191"/>
      <c r="R45" s="1173"/>
      <c r="S45" s="553"/>
      <c r="T45" s="547">
        <f t="shared" si="7"/>
        <v>0</v>
      </c>
      <c r="U45" s="546"/>
      <c r="V45" s="546"/>
      <c r="W45" s="546"/>
      <c r="X45" s="546"/>
      <c r="Y45" s="546"/>
      <c r="Z45" s="546"/>
      <c r="AA45" s="552"/>
      <c r="AB45" s="1194"/>
      <c r="AC45" s="551"/>
      <c r="AD45" s="1194"/>
      <c r="AE45" s="1174"/>
      <c r="AF45" s="1175"/>
      <c r="AG45" s="1175"/>
      <c r="AH45" s="536"/>
      <c r="AI45" s="734" t="str">
        <f t="shared" si="8"/>
        <v>-</v>
      </c>
      <c r="AQ45" s="736">
        <f t="shared" si="6"/>
        <v>44</v>
      </c>
      <c r="AR45" s="736" t="str">
        <f t="shared" si="0"/>
        <v/>
      </c>
      <c r="AS45" s="736" t="str">
        <f t="shared" si="1"/>
        <v/>
      </c>
      <c r="AT45" s="736" t="str">
        <f t="shared" si="2"/>
        <v/>
      </c>
      <c r="AU45" s="736" t="str">
        <f t="shared" si="11"/>
        <v/>
      </c>
      <c r="AV45" s="736">
        <f t="shared" si="11"/>
        <v>0</v>
      </c>
      <c r="AW45" s="736" t="str">
        <f t="shared" si="4"/>
        <v/>
      </c>
      <c r="AX45" s="737" t="str">
        <f t="shared" si="5"/>
        <v/>
      </c>
    </row>
    <row r="46" spans="1:50" s="514" customFormat="1" ht="30" customHeight="1">
      <c r="A46" s="554">
        <f>ROWS(A$11:A46)</f>
        <v>36</v>
      </c>
      <c r="B46" s="1170"/>
      <c r="C46" s="1170"/>
      <c r="D46" s="1170"/>
      <c r="E46" s="555"/>
      <c r="F46" s="555"/>
      <c r="G46" s="724"/>
      <c r="H46" s="724"/>
      <c r="I46" s="719"/>
      <c r="J46" s="720"/>
      <c r="K46" s="549"/>
      <c r="L46" s="1186"/>
      <c r="M46" s="1186"/>
      <c r="N46" s="1188"/>
      <c r="O46" s="546"/>
      <c r="P46" s="546"/>
      <c r="Q46" s="1191"/>
      <c r="R46" s="1173"/>
      <c r="S46" s="553"/>
      <c r="T46" s="547">
        <f t="shared" si="7"/>
        <v>0</v>
      </c>
      <c r="U46" s="546"/>
      <c r="V46" s="546"/>
      <c r="W46" s="546"/>
      <c r="X46" s="546"/>
      <c r="Y46" s="546"/>
      <c r="Z46" s="546"/>
      <c r="AA46" s="552"/>
      <c r="AB46" s="1194"/>
      <c r="AC46" s="551"/>
      <c r="AD46" s="1194"/>
      <c r="AE46" s="1174"/>
      <c r="AF46" s="1175"/>
      <c r="AG46" s="1175"/>
      <c r="AH46" s="536"/>
      <c r="AI46" s="734" t="str">
        <f t="shared" si="8"/>
        <v>-</v>
      </c>
      <c r="AQ46" s="736">
        <f t="shared" si="6"/>
        <v>45</v>
      </c>
      <c r="AR46" s="736" t="str">
        <f t="shared" si="0"/>
        <v/>
      </c>
      <c r="AS46" s="736" t="str">
        <f t="shared" si="1"/>
        <v/>
      </c>
      <c r="AT46" s="736" t="str">
        <f t="shared" si="2"/>
        <v/>
      </c>
      <c r="AU46" s="736" t="str">
        <f t="shared" si="11"/>
        <v/>
      </c>
      <c r="AV46" s="736">
        <f t="shared" si="11"/>
        <v>0</v>
      </c>
      <c r="AW46" s="736" t="str">
        <f t="shared" si="4"/>
        <v/>
      </c>
      <c r="AX46" s="737" t="str">
        <f t="shared" si="5"/>
        <v/>
      </c>
    </row>
    <row r="47" spans="1:50" s="514" customFormat="1" ht="30" customHeight="1">
      <c r="A47" s="554">
        <f>ROWS(A$11:A47)</f>
        <v>37</v>
      </c>
      <c r="B47" s="1170"/>
      <c r="C47" s="1170"/>
      <c r="D47" s="1170"/>
      <c r="E47" s="555"/>
      <c r="F47" s="555"/>
      <c r="G47" s="724"/>
      <c r="H47" s="724"/>
      <c r="I47" s="719"/>
      <c r="J47" s="720"/>
      <c r="K47" s="549"/>
      <c r="L47" s="1186"/>
      <c r="M47" s="1186"/>
      <c r="N47" s="1188"/>
      <c r="O47" s="546"/>
      <c r="P47" s="546"/>
      <c r="Q47" s="1191"/>
      <c r="R47" s="1173"/>
      <c r="S47" s="553"/>
      <c r="T47" s="547">
        <f t="shared" si="7"/>
        <v>0</v>
      </c>
      <c r="U47" s="546"/>
      <c r="V47" s="546"/>
      <c r="W47" s="546"/>
      <c r="X47" s="546"/>
      <c r="Y47" s="546"/>
      <c r="Z47" s="546"/>
      <c r="AA47" s="552"/>
      <c r="AB47" s="1194"/>
      <c r="AC47" s="551"/>
      <c r="AD47" s="1194"/>
      <c r="AE47" s="1174"/>
      <c r="AF47" s="1175"/>
      <c r="AG47" s="1175"/>
      <c r="AH47" s="536"/>
      <c r="AI47" s="734" t="str">
        <f t="shared" si="8"/>
        <v>-</v>
      </c>
      <c r="AQ47" s="736">
        <f t="shared" si="6"/>
        <v>46</v>
      </c>
      <c r="AR47" s="736" t="str">
        <f t="shared" si="0"/>
        <v/>
      </c>
      <c r="AS47" s="736" t="str">
        <f t="shared" si="1"/>
        <v/>
      </c>
      <c r="AT47" s="736" t="str">
        <f t="shared" si="2"/>
        <v/>
      </c>
      <c r="AU47" s="736" t="str">
        <f t="shared" si="11"/>
        <v/>
      </c>
      <c r="AV47" s="736">
        <f t="shared" si="11"/>
        <v>0</v>
      </c>
      <c r="AW47" s="736" t="str">
        <f t="shared" si="4"/>
        <v/>
      </c>
      <c r="AX47" s="737" t="str">
        <f t="shared" si="5"/>
        <v/>
      </c>
    </row>
    <row r="48" spans="1:50" s="514" customFormat="1" ht="30" customHeight="1">
      <c r="A48" s="554">
        <f>ROWS(A$11:A48)</f>
        <v>38</v>
      </c>
      <c r="B48" s="1170"/>
      <c r="C48" s="1170"/>
      <c r="D48" s="1170"/>
      <c r="E48" s="555"/>
      <c r="F48" s="555"/>
      <c r="G48" s="724"/>
      <c r="H48" s="724"/>
      <c r="I48" s="719"/>
      <c r="J48" s="720"/>
      <c r="K48" s="549"/>
      <c r="L48" s="1186"/>
      <c r="M48" s="1186"/>
      <c r="N48" s="1188"/>
      <c r="O48" s="546"/>
      <c r="P48" s="546"/>
      <c r="Q48" s="1191"/>
      <c r="R48" s="1173"/>
      <c r="S48" s="553"/>
      <c r="T48" s="547">
        <f t="shared" si="7"/>
        <v>0</v>
      </c>
      <c r="U48" s="546"/>
      <c r="V48" s="546"/>
      <c r="W48" s="546"/>
      <c r="X48" s="546"/>
      <c r="Y48" s="546"/>
      <c r="Z48" s="546"/>
      <c r="AA48" s="552"/>
      <c r="AB48" s="1194"/>
      <c r="AC48" s="551"/>
      <c r="AD48" s="1194"/>
      <c r="AE48" s="1174"/>
      <c r="AF48" s="1175"/>
      <c r="AG48" s="1175"/>
      <c r="AH48" s="536"/>
      <c r="AI48" s="734" t="str">
        <f t="shared" si="8"/>
        <v>-</v>
      </c>
      <c r="AQ48" s="736">
        <f t="shared" si="6"/>
        <v>47</v>
      </c>
      <c r="AR48" s="736" t="str">
        <f t="shared" si="0"/>
        <v/>
      </c>
      <c r="AS48" s="736" t="str">
        <f t="shared" si="1"/>
        <v/>
      </c>
      <c r="AT48" s="736" t="str">
        <f t="shared" si="2"/>
        <v/>
      </c>
      <c r="AU48" s="736" t="str">
        <f t="shared" si="11"/>
        <v/>
      </c>
      <c r="AV48" s="736">
        <f t="shared" si="11"/>
        <v>0</v>
      </c>
      <c r="AW48" s="736" t="str">
        <f t="shared" si="4"/>
        <v/>
      </c>
      <c r="AX48" s="737" t="str">
        <f t="shared" si="5"/>
        <v/>
      </c>
    </row>
    <row r="49" spans="1:50" s="514" customFormat="1" ht="30" customHeight="1">
      <c r="A49" s="554">
        <f>ROWS(A$11:A49)</f>
        <v>39</v>
      </c>
      <c r="B49" s="1170"/>
      <c r="C49" s="1170"/>
      <c r="D49" s="1170"/>
      <c r="E49" s="555"/>
      <c r="F49" s="555"/>
      <c r="G49" s="724"/>
      <c r="H49" s="724"/>
      <c r="I49" s="719"/>
      <c r="J49" s="720"/>
      <c r="K49" s="549"/>
      <c r="L49" s="1186"/>
      <c r="M49" s="1186"/>
      <c r="N49" s="1188"/>
      <c r="O49" s="546"/>
      <c r="P49" s="546"/>
      <c r="Q49" s="1191"/>
      <c r="R49" s="1173"/>
      <c r="S49" s="553"/>
      <c r="T49" s="547">
        <f t="shared" si="7"/>
        <v>0</v>
      </c>
      <c r="U49" s="546"/>
      <c r="V49" s="546"/>
      <c r="W49" s="546"/>
      <c r="X49" s="546"/>
      <c r="Y49" s="546"/>
      <c r="Z49" s="546"/>
      <c r="AA49" s="552"/>
      <c r="AB49" s="1194"/>
      <c r="AC49" s="551"/>
      <c r="AD49" s="1194"/>
      <c r="AE49" s="1174"/>
      <c r="AF49" s="1175"/>
      <c r="AG49" s="1175"/>
      <c r="AH49" s="536"/>
      <c r="AI49" s="734" t="str">
        <f t="shared" si="8"/>
        <v>-</v>
      </c>
      <c r="AQ49" s="736">
        <f t="shared" si="6"/>
        <v>48</v>
      </c>
      <c r="AR49" s="736" t="str">
        <f t="shared" si="0"/>
        <v/>
      </c>
      <c r="AS49" s="736" t="str">
        <f t="shared" si="1"/>
        <v/>
      </c>
      <c r="AT49" s="736" t="str">
        <f t="shared" si="2"/>
        <v/>
      </c>
      <c r="AU49" s="736" t="str">
        <f t="shared" si="11"/>
        <v/>
      </c>
      <c r="AV49" s="736">
        <f t="shared" si="11"/>
        <v>0</v>
      </c>
      <c r="AW49" s="736" t="str">
        <f t="shared" si="4"/>
        <v/>
      </c>
      <c r="AX49" s="737" t="str">
        <f t="shared" si="5"/>
        <v/>
      </c>
    </row>
    <row r="50" spans="1:50" s="514" customFormat="1" ht="30" customHeight="1">
      <c r="A50" s="554">
        <f>ROWS(A$11:A50)</f>
        <v>40</v>
      </c>
      <c r="B50" s="1170"/>
      <c r="C50" s="1170"/>
      <c r="D50" s="1170"/>
      <c r="E50" s="555"/>
      <c r="F50" s="555"/>
      <c r="G50" s="724"/>
      <c r="H50" s="724"/>
      <c r="I50" s="719"/>
      <c r="J50" s="720"/>
      <c r="K50" s="549"/>
      <c r="L50" s="1186"/>
      <c r="M50" s="1186"/>
      <c r="N50" s="1188"/>
      <c r="O50" s="546"/>
      <c r="P50" s="546"/>
      <c r="Q50" s="1191"/>
      <c r="R50" s="1173"/>
      <c r="S50" s="553"/>
      <c r="T50" s="547">
        <f t="shared" si="7"/>
        <v>0</v>
      </c>
      <c r="U50" s="546"/>
      <c r="V50" s="546"/>
      <c r="W50" s="546"/>
      <c r="X50" s="546"/>
      <c r="Y50" s="546"/>
      <c r="Z50" s="546"/>
      <c r="AA50" s="552"/>
      <c r="AB50" s="1194"/>
      <c r="AC50" s="551"/>
      <c r="AD50" s="1194"/>
      <c r="AE50" s="1174"/>
      <c r="AF50" s="1175"/>
      <c r="AG50" s="1175"/>
      <c r="AH50" s="536"/>
      <c r="AI50" s="734" t="str">
        <f t="shared" si="8"/>
        <v>-</v>
      </c>
      <c r="AQ50" s="736">
        <f t="shared" si="6"/>
        <v>49</v>
      </c>
      <c r="AR50" s="736" t="str">
        <f t="shared" si="0"/>
        <v/>
      </c>
      <c r="AS50" s="736" t="str">
        <f t="shared" si="1"/>
        <v/>
      </c>
      <c r="AT50" s="736" t="str">
        <f t="shared" si="2"/>
        <v/>
      </c>
      <c r="AU50" s="736" t="str">
        <f t="shared" si="11"/>
        <v/>
      </c>
      <c r="AV50" s="736">
        <f t="shared" si="11"/>
        <v>0</v>
      </c>
      <c r="AW50" s="736" t="str">
        <f t="shared" si="4"/>
        <v/>
      </c>
      <c r="AX50" s="737" t="str">
        <f t="shared" si="5"/>
        <v/>
      </c>
    </row>
    <row r="51" spans="1:50" s="514" customFormat="1" ht="30" customHeight="1">
      <c r="A51" s="554">
        <f>ROWS(A$11:A51)</f>
        <v>41</v>
      </c>
      <c r="B51" s="1170"/>
      <c r="C51" s="1170"/>
      <c r="D51" s="1170"/>
      <c r="E51" s="555"/>
      <c r="F51" s="555"/>
      <c r="G51" s="724"/>
      <c r="H51" s="724"/>
      <c r="I51" s="719"/>
      <c r="J51" s="720"/>
      <c r="K51" s="549"/>
      <c r="L51" s="1186"/>
      <c r="M51" s="1186"/>
      <c r="N51" s="1188"/>
      <c r="O51" s="546"/>
      <c r="P51" s="546"/>
      <c r="Q51" s="1191"/>
      <c r="R51" s="1173"/>
      <c r="S51" s="553"/>
      <c r="T51" s="547">
        <f t="shared" si="7"/>
        <v>0</v>
      </c>
      <c r="U51" s="546"/>
      <c r="V51" s="546"/>
      <c r="W51" s="546"/>
      <c r="X51" s="546"/>
      <c r="Y51" s="546"/>
      <c r="Z51" s="546"/>
      <c r="AA51" s="552"/>
      <c r="AB51" s="1194"/>
      <c r="AC51" s="551"/>
      <c r="AD51" s="1194"/>
      <c r="AE51" s="1174"/>
      <c r="AF51" s="1175"/>
      <c r="AG51" s="1175"/>
      <c r="AH51" s="536"/>
      <c r="AI51" s="734" t="str">
        <f t="shared" si="8"/>
        <v>-</v>
      </c>
      <c r="AQ51" s="736">
        <f t="shared" si="6"/>
        <v>50</v>
      </c>
      <c r="AR51" s="736" t="str">
        <f t="shared" si="0"/>
        <v/>
      </c>
      <c r="AS51" s="736" t="str">
        <f t="shared" si="1"/>
        <v/>
      </c>
      <c r="AT51" s="736" t="str">
        <f t="shared" si="2"/>
        <v/>
      </c>
      <c r="AU51" s="736" t="str">
        <f t="shared" ref="AU51:AV51" si="12">IF(S60="","",S60)</f>
        <v/>
      </c>
      <c r="AV51" s="736">
        <f t="shared" si="12"/>
        <v>0</v>
      </c>
      <c r="AW51" s="736" t="str">
        <f t="shared" si="4"/>
        <v/>
      </c>
      <c r="AX51" s="737" t="str">
        <f t="shared" si="5"/>
        <v/>
      </c>
    </row>
    <row r="52" spans="1:50" s="514" customFormat="1" ht="30" customHeight="1">
      <c r="A52" s="554">
        <f>ROWS(A$11:A52)</f>
        <v>42</v>
      </c>
      <c r="B52" s="1170"/>
      <c r="C52" s="1170"/>
      <c r="D52" s="1170"/>
      <c r="E52" s="555"/>
      <c r="F52" s="555"/>
      <c r="G52" s="724"/>
      <c r="H52" s="724"/>
      <c r="I52" s="719"/>
      <c r="J52" s="720"/>
      <c r="K52" s="549"/>
      <c r="L52" s="1186"/>
      <c r="M52" s="1186"/>
      <c r="N52" s="1188"/>
      <c r="O52" s="546"/>
      <c r="P52" s="546"/>
      <c r="Q52" s="1191"/>
      <c r="R52" s="1173"/>
      <c r="S52" s="553"/>
      <c r="T52" s="547">
        <f t="shared" si="7"/>
        <v>0</v>
      </c>
      <c r="U52" s="546"/>
      <c r="V52" s="546"/>
      <c r="W52" s="546"/>
      <c r="X52" s="546"/>
      <c r="Y52" s="546"/>
      <c r="Z52" s="546"/>
      <c r="AA52" s="552"/>
      <c r="AB52" s="1194"/>
      <c r="AC52" s="551"/>
      <c r="AD52" s="1194"/>
      <c r="AE52" s="1174"/>
      <c r="AF52" s="1175"/>
      <c r="AG52" s="1175"/>
      <c r="AH52" s="536"/>
      <c r="AI52" s="734" t="str">
        <f t="shared" si="8"/>
        <v>-</v>
      </c>
    </row>
    <row r="53" spans="1:50" s="514" customFormat="1" ht="30" customHeight="1">
      <c r="A53" s="554">
        <f>ROWS(A$11:A53)</f>
        <v>43</v>
      </c>
      <c r="B53" s="1170"/>
      <c r="C53" s="1170"/>
      <c r="D53" s="1170"/>
      <c r="E53" s="555"/>
      <c r="F53" s="555"/>
      <c r="G53" s="724"/>
      <c r="H53" s="724"/>
      <c r="I53" s="719"/>
      <c r="J53" s="720"/>
      <c r="K53" s="549"/>
      <c r="L53" s="1186"/>
      <c r="M53" s="1186"/>
      <c r="N53" s="1188"/>
      <c r="O53" s="546"/>
      <c r="P53" s="546"/>
      <c r="Q53" s="1191"/>
      <c r="R53" s="1173"/>
      <c r="S53" s="553"/>
      <c r="T53" s="547">
        <f t="shared" si="7"/>
        <v>0</v>
      </c>
      <c r="U53" s="546"/>
      <c r="V53" s="546"/>
      <c r="W53" s="546"/>
      <c r="X53" s="546"/>
      <c r="Y53" s="546"/>
      <c r="Z53" s="546"/>
      <c r="AA53" s="552"/>
      <c r="AB53" s="1194"/>
      <c r="AC53" s="551"/>
      <c r="AD53" s="1194"/>
      <c r="AE53" s="1174"/>
      <c r="AF53" s="1175"/>
      <c r="AG53" s="1175"/>
      <c r="AH53" s="536"/>
      <c r="AI53" s="734" t="str">
        <f t="shared" si="8"/>
        <v>-</v>
      </c>
    </row>
    <row r="54" spans="1:50" s="514" customFormat="1" ht="30" customHeight="1">
      <c r="A54" s="554">
        <f>ROWS(A$11:A54)</f>
        <v>44</v>
      </c>
      <c r="B54" s="1170"/>
      <c r="C54" s="1170"/>
      <c r="D54" s="1170"/>
      <c r="E54" s="555"/>
      <c r="F54" s="555"/>
      <c r="G54" s="724"/>
      <c r="H54" s="724"/>
      <c r="I54" s="719"/>
      <c r="J54" s="720"/>
      <c r="K54" s="549"/>
      <c r="L54" s="1186"/>
      <c r="M54" s="1186"/>
      <c r="N54" s="1188"/>
      <c r="O54" s="546"/>
      <c r="P54" s="546"/>
      <c r="Q54" s="1191"/>
      <c r="R54" s="1173"/>
      <c r="S54" s="553"/>
      <c r="T54" s="547">
        <f t="shared" si="7"/>
        <v>0</v>
      </c>
      <c r="U54" s="546"/>
      <c r="V54" s="546"/>
      <c r="W54" s="546"/>
      <c r="X54" s="546"/>
      <c r="Y54" s="546"/>
      <c r="Z54" s="546"/>
      <c r="AA54" s="552"/>
      <c r="AB54" s="1194"/>
      <c r="AC54" s="551"/>
      <c r="AD54" s="1194"/>
      <c r="AE54" s="1174"/>
      <c r="AF54" s="1175"/>
      <c r="AG54" s="1175"/>
      <c r="AH54" s="536"/>
      <c r="AI54" s="734" t="str">
        <f t="shared" si="8"/>
        <v>-</v>
      </c>
    </row>
    <row r="55" spans="1:50" s="514" customFormat="1" ht="30" customHeight="1">
      <c r="A55" s="554">
        <f>ROWS(A$11:A55)</f>
        <v>45</v>
      </c>
      <c r="B55" s="1170"/>
      <c r="C55" s="1170"/>
      <c r="D55" s="1170"/>
      <c r="E55" s="555"/>
      <c r="F55" s="555"/>
      <c r="G55" s="724"/>
      <c r="H55" s="724"/>
      <c r="I55" s="719"/>
      <c r="J55" s="720"/>
      <c r="K55" s="549"/>
      <c r="L55" s="1186"/>
      <c r="M55" s="1186"/>
      <c r="N55" s="1188"/>
      <c r="O55" s="546"/>
      <c r="P55" s="546"/>
      <c r="Q55" s="1191"/>
      <c r="R55" s="1173"/>
      <c r="S55" s="553"/>
      <c r="T55" s="547">
        <f t="shared" si="7"/>
        <v>0</v>
      </c>
      <c r="U55" s="546"/>
      <c r="V55" s="546"/>
      <c r="W55" s="546"/>
      <c r="X55" s="546"/>
      <c r="Y55" s="546"/>
      <c r="Z55" s="546"/>
      <c r="AA55" s="552"/>
      <c r="AB55" s="1194"/>
      <c r="AC55" s="551"/>
      <c r="AD55" s="1194"/>
      <c r="AE55" s="1174"/>
      <c r="AF55" s="1175"/>
      <c r="AG55" s="1175"/>
      <c r="AH55" s="536"/>
      <c r="AI55" s="734" t="str">
        <f t="shared" si="8"/>
        <v>-</v>
      </c>
    </row>
    <row r="56" spans="1:50" s="514" customFormat="1" ht="30" customHeight="1">
      <c r="A56" s="554">
        <f>ROWS(A$11:A56)</f>
        <v>46</v>
      </c>
      <c r="B56" s="1170"/>
      <c r="C56" s="1170"/>
      <c r="D56" s="1170"/>
      <c r="E56" s="555"/>
      <c r="F56" s="555"/>
      <c r="G56" s="724"/>
      <c r="H56" s="724"/>
      <c r="I56" s="719"/>
      <c r="J56" s="720"/>
      <c r="K56" s="549"/>
      <c r="L56" s="1186"/>
      <c r="M56" s="1186"/>
      <c r="N56" s="1188"/>
      <c r="O56" s="546"/>
      <c r="P56" s="546"/>
      <c r="Q56" s="1191"/>
      <c r="R56" s="1173"/>
      <c r="S56" s="553"/>
      <c r="T56" s="547">
        <f t="shared" si="7"/>
        <v>0</v>
      </c>
      <c r="U56" s="546"/>
      <c r="V56" s="546"/>
      <c r="W56" s="546"/>
      <c r="X56" s="546"/>
      <c r="Y56" s="546"/>
      <c r="Z56" s="546"/>
      <c r="AA56" s="552"/>
      <c r="AB56" s="1194"/>
      <c r="AC56" s="551"/>
      <c r="AD56" s="1194"/>
      <c r="AE56" s="1174"/>
      <c r="AF56" s="1175"/>
      <c r="AG56" s="1175"/>
      <c r="AH56" s="536"/>
      <c r="AI56" s="734" t="str">
        <f t="shared" si="8"/>
        <v>-</v>
      </c>
    </row>
    <row r="57" spans="1:50" s="514" customFormat="1" ht="30" customHeight="1">
      <c r="A57" s="554">
        <f>ROWS(A$11:A57)</f>
        <v>47</v>
      </c>
      <c r="B57" s="1170"/>
      <c r="C57" s="1170"/>
      <c r="D57" s="1170"/>
      <c r="E57" s="555"/>
      <c r="F57" s="555"/>
      <c r="G57" s="724"/>
      <c r="H57" s="724"/>
      <c r="I57" s="719"/>
      <c r="J57" s="720"/>
      <c r="K57" s="549"/>
      <c r="L57" s="1186"/>
      <c r="M57" s="1186"/>
      <c r="N57" s="1188"/>
      <c r="O57" s="546"/>
      <c r="P57" s="546"/>
      <c r="Q57" s="1191"/>
      <c r="R57" s="1173"/>
      <c r="S57" s="553"/>
      <c r="T57" s="547">
        <f t="shared" si="7"/>
        <v>0</v>
      </c>
      <c r="U57" s="546"/>
      <c r="V57" s="546"/>
      <c r="W57" s="546"/>
      <c r="X57" s="546"/>
      <c r="Y57" s="546"/>
      <c r="Z57" s="546"/>
      <c r="AA57" s="552"/>
      <c r="AB57" s="1194"/>
      <c r="AC57" s="551"/>
      <c r="AD57" s="1194"/>
      <c r="AE57" s="1174"/>
      <c r="AF57" s="1175"/>
      <c r="AG57" s="1175"/>
      <c r="AH57" s="536"/>
      <c r="AI57" s="734" t="str">
        <f t="shared" si="8"/>
        <v>-</v>
      </c>
    </row>
    <row r="58" spans="1:50" s="514" customFormat="1" ht="30" customHeight="1">
      <c r="A58" s="554">
        <f>ROWS(A$11:A58)</f>
        <v>48</v>
      </c>
      <c r="B58" s="1170"/>
      <c r="C58" s="1170"/>
      <c r="D58" s="1170"/>
      <c r="E58" s="555"/>
      <c r="F58" s="555"/>
      <c r="G58" s="724"/>
      <c r="H58" s="724"/>
      <c r="I58" s="719"/>
      <c r="J58" s="720"/>
      <c r="K58" s="549"/>
      <c r="L58" s="1186"/>
      <c r="M58" s="1186"/>
      <c r="N58" s="1188"/>
      <c r="O58" s="546"/>
      <c r="P58" s="546"/>
      <c r="Q58" s="1191"/>
      <c r="R58" s="1173"/>
      <c r="S58" s="553"/>
      <c r="T58" s="547">
        <f t="shared" si="7"/>
        <v>0</v>
      </c>
      <c r="U58" s="546"/>
      <c r="V58" s="546"/>
      <c r="W58" s="546"/>
      <c r="X58" s="546"/>
      <c r="Y58" s="546"/>
      <c r="Z58" s="546"/>
      <c r="AA58" s="552"/>
      <c r="AB58" s="1194"/>
      <c r="AC58" s="551"/>
      <c r="AD58" s="1194"/>
      <c r="AE58" s="1174"/>
      <c r="AF58" s="1175"/>
      <c r="AG58" s="1175"/>
      <c r="AH58" s="536"/>
      <c r="AI58" s="734" t="str">
        <f t="shared" si="8"/>
        <v>-</v>
      </c>
    </row>
    <row r="59" spans="1:50" s="514" customFormat="1" ht="30" customHeight="1">
      <c r="A59" s="554">
        <f>ROWS(A$11:A59)</f>
        <v>49</v>
      </c>
      <c r="B59" s="1170"/>
      <c r="C59" s="1170"/>
      <c r="D59" s="1170"/>
      <c r="E59" s="555"/>
      <c r="F59" s="555"/>
      <c r="G59" s="724"/>
      <c r="H59" s="724"/>
      <c r="I59" s="719"/>
      <c r="J59" s="720"/>
      <c r="K59" s="549"/>
      <c r="L59" s="1186"/>
      <c r="M59" s="1186"/>
      <c r="N59" s="1188"/>
      <c r="O59" s="546"/>
      <c r="P59" s="546"/>
      <c r="Q59" s="1191"/>
      <c r="R59" s="1173"/>
      <c r="S59" s="553"/>
      <c r="T59" s="547">
        <f t="shared" si="7"/>
        <v>0</v>
      </c>
      <c r="U59" s="546"/>
      <c r="V59" s="546"/>
      <c r="W59" s="546"/>
      <c r="X59" s="546"/>
      <c r="Y59" s="546"/>
      <c r="Z59" s="546"/>
      <c r="AA59" s="552"/>
      <c r="AB59" s="1194"/>
      <c r="AC59" s="551"/>
      <c r="AD59" s="1194"/>
      <c r="AE59" s="1174"/>
      <c r="AF59" s="1175"/>
      <c r="AG59" s="1175"/>
      <c r="AH59" s="536"/>
      <c r="AI59" s="734" t="str">
        <f t="shared" si="8"/>
        <v>-</v>
      </c>
    </row>
    <row r="60" spans="1:50" s="514" customFormat="1" ht="30" customHeight="1" thickBot="1">
      <c r="A60" s="550">
        <f>ROWS(A$11:A60)</f>
        <v>50</v>
      </c>
      <c r="B60" s="1207"/>
      <c r="C60" s="1207"/>
      <c r="D60" s="1207"/>
      <c r="E60" s="555"/>
      <c r="F60" s="731"/>
      <c r="G60" s="725"/>
      <c r="H60" s="725"/>
      <c r="I60" s="726"/>
      <c r="J60" s="727"/>
      <c r="K60" s="549"/>
      <c r="L60" s="1186"/>
      <c r="M60" s="1186"/>
      <c r="N60" s="1189"/>
      <c r="O60" s="546"/>
      <c r="P60" s="546"/>
      <c r="Q60" s="1192"/>
      <c r="R60" s="1173"/>
      <c r="S60" s="548"/>
      <c r="T60" s="547">
        <f t="shared" si="7"/>
        <v>0</v>
      </c>
      <c r="U60" s="545"/>
      <c r="V60" s="545"/>
      <c r="W60" s="545"/>
      <c r="X60" s="545"/>
      <c r="Y60" s="546"/>
      <c r="Z60" s="545"/>
      <c r="AA60" s="544"/>
      <c r="AB60" s="1195"/>
      <c r="AC60" s="543"/>
      <c r="AD60" s="1195"/>
      <c r="AE60" s="1174"/>
      <c r="AF60" s="1175"/>
      <c r="AG60" s="1175"/>
      <c r="AH60" s="536"/>
      <c r="AI60" s="734" t="str">
        <f t="shared" si="8"/>
        <v>-</v>
      </c>
    </row>
    <row r="61" spans="1:50" s="514" customFormat="1" ht="36.75" customHeight="1" thickBot="1">
      <c r="A61" s="542"/>
      <c r="B61" s="1205" t="s">
        <v>534</v>
      </c>
      <c r="C61" s="1206"/>
      <c r="D61" s="1206"/>
      <c r="E61" s="1206"/>
      <c r="F61" s="1206"/>
      <c r="G61" s="1206"/>
      <c r="H61" s="1206"/>
      <c r="I61" s="1206"/>
      <c r="J61" s="1206"/>
      <c r="K61" s="541">
        <f>SUM(K11:K60)</f>
        <v>0</v>
      </c>
      <c r="L61" s="1264"/>
      <c r="M61" s="1264"/>
      <c r="N61" s="1265"/>
      <c r="O61" s="539">
        <f>SUM(O11:O60)</f>
        <v>0</v>
      </c>
      <c r="P61" s="539">
        <f>SUM(P11:P60)</f>
        <v>0</v>
      </c>
      <c r="Q61" s="539">
        <f>K61-(L61-M61)-N61-O61+P61</f>
        <v>0</v>
      </c>
      <c r="R61" s="1266"/>
      <c r="S61" s="541">
        <f>ROUNDDOWN(SUM(S11:S60),-3)</f>
        <v>0</v>
      </c>
      <c r="T61" s="539">
        <f t="shared" si="7"/>
        <v>0</v>
      </c>
      <c r="U61" s="539">
        <f>SUM(U11:U60)</f>
        <v>0</v>
      </c>
      <c r="V61" s="539">
        <f>SUM(V11:V60)</f>
        <v>0</v>
      </c>
      <c r="W61" s="539">
        <f>SUM(W11:W60)</f>
        <v>0</v>
      </c>
      <c r="X61" s="539">
        <f>SUM(X11:X60)</f>
        <v>0</v>
      </c>
      <c r="Y61" s="540"/>
      <c r="Z61" s="540"/>
      <c r="AA61" s="539">
        <f>SUM(AA11:AA60)</f>
        <v>0</v>
      </c>
      <c r="AB61" s="1266"/>
      <c r="AC61" s="538">
        <f>SUM(AC11:AC60)</f>
        <v>0</v>
      </c>
      <c r="AD61" s="537">
        <f>S61-T61-X61-AA61-AB61-AC61</f>
        <v>0</v>
      </c>
      <c r="AE61" s="1198"/>
      <c r="AF61" s="1199"/>
      <c r="AG61" s="1199"/>
      <c r="AH61" s="536"/>
    </row>
    <row r="62" spans="1:50" ht="12.75" thickBot="1">
      <c r="P62" s="535"/>
    </row>
    <row r="63" spans="1:50" s="514" customFormat="1" ht="69.75" customHeight="1" thickBot="1">
      <c r="B63" s="527"/>
      <c r="C63" s="527"/>
      <c r="D63" s="527"/>
      <c r="E63" s="527"/>
      <c r="F63" s="527"/>
      <c r="G63" s="527"/>
      <c r="H63" s="527"/>
      <c r="I63" s="527"/>
      <c r="J63" s="527"/>
      <c r="K63" s="527"/>
      <c r="L63" s="527"/>
      <c r="M63" s="527"/>
      <c r="N63" s="527"/>
      <c r="O63" s="527"/>
      <c r="P63" s="527"/>
      <c r="Q63" s="527"/>
      <c r="R63" s="527"/>
      <c r="S63" s="1200" t="s">
        <v>533</v>
      </c>
      <c r="T63" s="1201"/>
      <c r="U63" s="1201"/>
      <c r="V63" s="1201"/>
      <c r="W63" s="1202"/>
      <c r="X63" s="534" t="e">
        <f>(U61+V61+X61)/(T61+X61)</f>
        <v>#DIV/0!</v>
      </c>
      <c r="Y63" s="533" t="str">
        <f>IFERROR(IF(X63&gt;=1/2,"○","×"),"")</f>
        <v/>
      </c>
      <c r="Z63" s="527"/>
      <c r="AA63" s="1200" t="s">
        <v>532</v>
      </c>
      <c r="AB63" s="1201"/>
      <c r="AC63" s="1202"/>
      <c r="AD63" s="532" t="str">
        <f>IFERROR(IF(AD61&gt;=Q61,"○","×"),"")</f>
        <v>○</v>
      </c>
      <c r="AE63" s="527"/>
      <c r="AF63" s="527"/>
      <c r="AG63" s="531"/>
      <c r="AH63" s="528"/>
      <c r="AI63" s="530"/>
      <c r="AJ63" s="530"/>
      <c r="AK63" s="530"/>
      <c r="AL63" s="530"/>
      <c r="AM63" s="527"/>
    </row>
    <row r="64" spans="1:50" s="514" customFormat="1" ht="24" customHeight="1">
      <c r="B64" s="527"/>
      <c r="C64" s="527"/>
      <c r="D64" s="527"/>
      <c r="E64" s="527"/>
      <c r="F64" s="527"/>
      <c r="G64" s="527"/>
      <c r="H64" s="527"/>
      <c r="I64" s="527"/>
      <c r="J64" s="527"/>
      <c r="K64" s="529"/>
      <c r="L64" s="529"/>
      <c r="M64" s="529"/>
      <c r="N64" s="527"/>
      <c r="O64" s="527"/>
      <c r="P64" s="527"/>
      <c r="Q64" s="527"/>
      <c r="R64" s="527"/>
      <c r="S64" s="527"/>
      <c r="T64" s="527"/>
      <c r="U64" s="527"/>
      <c r="V64" s="527"/>
      <c r="W64" s="527"/>
      <c r="X64" s="527"/>
      <c r="Y64" s="527"/>
      <c r="Z64" s="527"/>
      <c r="AA64" s="527"/>
      <c r="AB64" s="528"/>
      <c r="AC64" s="528"/>
      <c r="AD64" s="527"/>
    </row>
    <row r="65" spans="1:42" s="517" customFormat="1" ht="19.5" customHeight="1">
      <c r="A65" s="1203" t="s">
        <v>531</v>
      </c>
      <c r="B65" s="1203"/>
      <c r="C65" s="1203"/>
      <c r="D65" s="1203"/>
      <c r="E65" s="1203"/>
      <c r="F65" s="523"/>
      <c r="G65" s="523"/>
      <c r="H65" s="523"/>
      <c r="I65" s="523"/>
      <c r="J65" s="523"/>
      <c r="K65" s="523"/>
      <c r="L65" s="523"/>
      <c r="M65" s="523"/>
      <c r="N65" s="523"/>
      <c r="O65" s="523"/>
      <c r="P65" s="527"/>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2"/>
      <c r="AN65" s="522"/>
      <c r="AO65" s="522"/>
      <c r="AP65" s="521"/>
    </row>
    <row r="66" spans="1:42" s="517" customFormat="1" ht="19.899999999999999" customHeight="1">
      <c r="A66" s="1203" t="s">
        <v>530</v>
      </c>
      <c r="B66" s="1203"/>
      <c r="C66" s="1203"/>
      <c r="D66" s="1203"/>
      <c r="E66" s="1203"/>
      <c r="F66" s="1203"/>
      <c r="G66" s="1203"/>
      <c r="H66" s="1203"/>
      <c r="I66" s="1203"/>
      <c r="J66" s="1203"/>
      <c r="K66" s="1203"/>
      <c r="L66" s="1203"/>
      <c r="M66" s="1203"/>
      <c r="N66" s="1203"/>
      <c r="O66" s="1203"/>
      <c r="P66" s="1203"/>
      <c r="Q66" s="1203"/>
      <c r="R66" s="1203"/>
      <c r="S66" s="1203"/>
      <c r="T66" s="1203"/>
      <c r="U66" s="1203"/>
      <c r="V66" s="1203"/>
      <c r="W66" s="1203"/>
      <c r="X66" s="1203"/>
      <c r="Y66" s="1203"/>
      <c r="Z66" s="1203"/>
      <c r="AA66" s="525"/>
      <c r="AB66" s="525"/>
      <c r="AC66" s="525"/>
      <c r="AD66" s="526"/>
      <c r="AE66" s="526"/>
      <c r="AF66" s="526"/>
      <c r="AG66" s="526"/>
      <c r="AH66" s="525"/>
      <c r="AI66" s="526"/>
      <c r="AJ66" s="526"/>
      <c r="AK66" s="526"/>
      <c r="AL66" s="526"/>
      <c r="AM66" s="522"/>
      <c r="AN66" s="522"/>
      <c r="AO66" s="522"/>
      <c r="AP66" s="521"/>
    </row>
    <row r="67" spans="1:42" s="517" customFormat="1" ht="19.899999999999999" customHeight="1">
      <c r="A67" s="1203" t="s">
        <v>529</v>
      </c>
      <c r="B67" s="1203"/>
      <c r="C67" s="1203"/>
      <c r="D67" s="1203"/>
      <c r="E67" s="1203"/>
      <c r="F67" s="1203"/>
      <c r="G67" s="1203"/>
      <c r="H67" s="1203"/>
      <c r="I67" s="1203"/>
      <c r="J67" s="1203"/>
      <c r="K67" s="1203"/>
      <c r="L67" s="1203"/>
      <c r="M67" s="1203"/>
      <c r="N67" s="1203"/>
      <c r="O67" s="1203"/>
      <c r="P67" s="1203"/>
      <c r="Q67" s="1203"/>
      <c r="R67" s="1203"/>
      <c r="S67" s="1203"/>
      <c r="T67" s="1203"/>
      <c r="U67" s="1203"/>
      <c r="V67" s="1203"/>
      <c r="W67" s="1203"/>
      <c r="X67" s="1203"/>
      <c r="Y67" s="1203"/>
      <c r="Z67" s="1203"/>
      <c r="AA67" s="525"/>
      <c r="AB67" s="525"/>
      <c r="AC67" s="525"/>
      <c r="AD67" s="523"/>
      <c r="AE67" s="523"/>
      <c r="AF67" s="523"/>
      <c r="AG67" s="523"/>
      <c r="AH67" s="525"/>
      <c r="AI67" s="523"/>
      <c r="AJ67" s="523"/>
      <c r="AK67" s="523"/>
      <c r="AL67" s="523"/>
      <c r="AM67" s="522"/>
      <c r="AN67" s="522"/>
      <c r="AO67" s="522"/>
      <c r="AP67" s="521"/>
    </row>
    <row r="68" spans="1:42" s="517" customFormat="1" ht="19.899999999999999" customHeight="1">
      <c r="A68" s="518" t="s">
        <v>528</v>
      </c>
      <c r="B68" s="1204" t="s">
        <v>527</v>
      </c>
      <c r="C68" s="1204"/>
      <c r="D68" s="1204"/>
      <c r="E68" s="1204"/>
      <c r="F68" s="1204"/>
      <c r="G68" s="1204"/>
      <c r="H68" s="1204"/>
      <c r="I68" s="1204"/>
      <c r="J68" s="1204"/>
      <c r="K68" s="1204"/>
      <c r="L68" s="1204"/>
      <c r="M68" s="1204"/>
      <c r="N68" s="1204"/>
      <c r="O68" s="1204"/>
      <c r="P68" s="1204"/>
      <c r="Q68" s="1204"/>
      <c r="R68" s="1204"/>
      <c r="S68" s="1204"/>
      <c r="T68" s="1204"/>
      <c r="U68" s="1204"/>
      <c r="V68" s="1204"/>
      <c r="W68" s="1204"/>
      <c r="X68" s="1204"/>
      <c r="Y68" s="1204"/>
      <c r="Z68" s="1204"/>
      <c r="AA68" s="524"/>
      <c r="AB68" s="524"/>
      <c r="AC68" s="524"/>
      <c r="AD68" s="523"/>
      <c r="AE68" s="523"/>
      <c r="AF68" s="523"/>
      <c r="AG68" s="523"/>
      <c r="AH68" s="524"/>
      <c r="AI68" s="523"/>
      <c r="AJ68" s="523"/>
      <c r="AK68" s="523"/>
      <c r="AL68" s="523"/>
      <c r="AM68" s="522"/>
      <c r="AN68" s="522"/>
      <c r="AO68" s="522"/>
      <c r="AP68" s="521"/>
    </row>
    <row r="69" spans="1:42" s="519" customFormat="1" ht="19.899999999999999" customHeight="1">
      <c r="A69" s="518" t="s">
        <v>526</v>
      </c>
      <c r="B69" s="1196" t="s">
        <v>525</v>
      </c>
      <c r="C69" s="1196"/>
      <c r="D69" s="1196"/>
      <c r="E69" s="1196"/>
      <c r="F69" s="1196"/>
      <c r="G69" s="1196"/>
      <c r="H69" s="1196"/>
      <c r="I69" s="1196"/>
      <c r="J69" s="1196"/>
      <c r="K69" s="1196"/>
      <c r="L69" s="1196"/>
      <c r="M69" s="1196"/>
      <c r="N69" s="1196"/>
      <c r="O69" s="1196"/>
      <c r="P69" s="1196"/>
      <c r="Q69" s="1196"/>
      <c r="R69" s="1196"/>
      <c r="S69" s="1196"/>
      <c r="T69" s="1196"/>
      <c r="U69" s="1196"/>
      <c r="V69" s="1196"/>
      <c r="W69" s="1196"/>
      <c r="X69" s="1196"/>
      <c r="Y69" s="1196"/>
      <c r="Z69" s="1196"/>
      <c r="AA69" s="520"/>
      <c r="AB69" s="520"/>
      <c r="AC69" s="520"/>
      <c r="AH69" s="520"/>
    </row>
    <row r="70" spans="1:42" s="519" customFormat="1" ht="19.899999999999999" customHeight="1">
      <c r="A70" s="518"/>
      <c r="B70" s="1196" t="s">
        <v>524</v>
      </c>
      <c r="C70" s="1196"/>
      <c r="D70" s="1196"/>
      <c r="E70" s="1196"/>
      <c r="F70" s="1196"/>
      <c r="G70" s="1196"/>
      <c r="H70" s="1196"/>
      <c r="I70" s="1196"/>
      <c r="J70" s="1196"/>
      <c r="K70" s="1196"/>
      <c r="L70" s="1196"/>
      <c r="M70" s="1196"/>
      <c r="N70" s="1196"/>
      <c r="O70" s="1196"/>
      <c r="P70" s="1196"/>
      <c r="Q70" s="1196"/>
      <c r="R70" s="1196"/>
      <c r="S70" s="1196"/>
      <c r="T70" s="1196"/>
      <c r="U70" s="1196"/>
      <c r="V70" s="1196"/>
      <c r="W70" s="1196"/>
      <c r="X70" s="1196"/>
      <c r="Y70" s="1196"/>
      <c r="Z70" s="1196"/>
      <c r="AA70" s="520"/>
      <c r="AB70" s="520"/>
      <c r="AC70" s="520"/>
      <c r="AH70" s="520"/>
      <c r="AM70" s="520"/>
      <c r="AN70" s="520"/>
      <c r="AO70" s="520"/>
      <c r="AP70" s="520"/>
    </row>
    <row r="71" spans="1:42" s="515" customFormat="1" ht="19.899999999999999" customHeight="1">
      <c r="A71" s="518" t="s">
        <v>523</v>
      </c>
      <c r="B71" s="1197" t="s">
        <v>522</v>
      </c>
      <c r="C71" s="1197"/>
      <c r="D71" s="1197"/>
      <c r="E71" s="1197"/>
      <c r="F71" s="1197"/>
      <c r="G71" s="1197"/>
      <c r="H71" s="1197"/>
      <c r="I71" s="1197"/>
      <c r="J71" s="1197"/>
      <c r="K71" s="1197"/>
      <c r="L71" s="1197"/>
      <c r="M71" s="1197"/>
      <c r="N71" s="1197"/>
      <c r="O71" s="1197"/>
      <c r="P71" s="1197"/>
      <c r="Q71" s="1197"/>
      <c r="R71" s="1197"/>
      <c r="S71" s="1197"/>
      <c r="T71" s="1197"/>
      <c r="U71" s="1197"/>
      <c r="V71" s="1197"/>
      <c r="W71" s="1197"/>
      <c r="X71" s="1197"/>
      <c r="Y71" s="1197"/>
      <c r="Z71" s="1197"/>
      <c r="AA71" s="518"/>
      <c r="AB71" s="518"/>
      <c r="AC71" s="518"/>
      <c r="AH71" s="518"/>
    </row>
    <row r="72" spans="1:42" s="517" customFormat="1" ht="19.899999999999999" customHeight="1">
      <c r="A72" s="518"/>
      <c r="B72" s="1197" t="s">
        <v>521</v>
      </c>
      <c r="C72" s="1197"/>
      <c r="D72" s="1197"/>
      <c r="E72" s="1197"/>
      <c r="F72" s="1197"/>
      <c r="G72" s="1197"/>
      <c r="H72" s="1197"/>
      <c r="I72" s="1197"/>
      <c r="J72" s="1197"/>
      <c r="K72" s="1197"/>
      <c r="L72" s="1197"/>
      <c r="M72" s="1197"/>
      <c r="N72" s="1197"/>
      <c r="O72" s="1197"/>
      <c r="P72" s="1197"/>
      <c r="Q72" s="1197"/>
      <c r="R72" s="1197"/>
      <c r="S72" s="1197"/>
      <c r="T72" s="1197"/>
      <c r="U72" s="1197"/>
      <c r="V72" s="1197"/>
      <c r="W72" s="1197"/>
      <c r="X72" s="1197"/>
      <c r="Y72" s="1197"/>
      <c r="Z72" s="1197"/>
      <c r="AA72" s="518"/>
      <c r="AB72" s="518"/>
      <c r="AC72" s="518"/>
      <c r="AD72" s="515"/>
      <c r="AE72" s="515"/>
      <c r="AF72" s="515"/>
      <c r="AG72" s="515"/>
      <c r="AH72" s="518"/>
      <c r="AI72" s="515"/>
      <c r="AJ72" s="515"/>
      <c r="AK72" s="515"/>
      <c r="AL72" s="515"/>
      <c r="AM72" s="515"/>
      <c r="AN72" s="515"/>
      <c r="AO72" s="515"/>
      <c r="AP72" s="515"/>
    </row>
    <row r="73" spans="1:42" s="517" customFormat="1" ht="19.899999999999999" customHeight="1">
      <c r="A73" s="516" t="s">
        <v>520</v>
      </c>
      <c r="B73" s="516"/>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c r="AO73" s="515"/>
      <c r="AP73" s="515"/>
    </row>
    <row r="74" spans="1:42" s="514" customFormat="1" ht="19.899999999999999" customHeight="1">
      <c r="A74" s="516"/>
      <c r="B74" s="516"/>
      <c r="C74" s="513"/>
      <c r="D74" s="513"/>
      <c r="E74" s="513"/>
      <c r="F74" s="513"/>
      <c r="G74" s="513"/>
      <c r="H74" s="513"/>
      <c r="I74" s="513"/>
      <c r="J74" s="513"/>
      <c r="K74" s="513"/>
      <c r="L74" s="513"/>
      <c r="M74" s="513"/>
      <c r="N74" s="513"/>
      <c r="O74" s="513"/>
      <c r="P74" s="515"/>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row>
    <row r="75" spans="1:42" ht="12" customHeight="1">
      <c r="B75" s="511"/>
      <c r="C75" s="511"/>
      <c r="D75" s="511"/>
      <c r="E75" s="511"/>
      <c r="F75" s="511"/>
      <c r="G75" s="511"/>
      <c r="H75" s="511"/>
      <c r="I75" s="511"/>
      <c r="J75" s="511"/>
      <c r="K75" s="511"/>
      <c r="L75" s="511"/>
      <c r="M75" s="511"/>
      <c r="N75" s="511"/>
      <c r="O75" s="511"/>
      <c r="P75" s="513"/>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row>
    <row r="76" spans="1:42" ht="12" customHeight="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row>
    <row r="77" spans="1:42" ht="12" customHeight="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row>
    <row r="78" spans="1:42" ht="12" customHeight="1">
      <c r="B78" s="512"/>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row>
    <row r="79" spans="1:42" ht="18.75">
      <c r="B79" s="510"/>
      <c r="C79" s="510"/>
      <c r="D79" s="510"/>
      <c r="E79" s="510"/>
      <c r="F79" s="510"/>
      <c r="G79" s="510"/>
      <c r="H79" s="510"/>
      <c r="I79" s="510"/>
      <c r="J79" s="510"/>
      <c r="K79" s="510"/>
      <c r="L79" s="510"/>
      <c r="M79" s="510"/>
      <c r="N79" s="510"/>
      <c r="O79" s="510"/>
      <c r="P79" s="511"/>
      <c r="Q79" s="510"/>
      <c r="R79" s="510"/>
      <c r="S79" s="510"/>
      <c r="T79" s="617" t="s">
        <v>638</v>
      </c>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row>
    <row r="80" spans="1:42" ht="24" customHeight="1">
      <c r="F80" s="509" t="s">
        <v>622</v>
      </c>
      <c r="P80" s="510"/>
      <c r="T80" s="618" t="e">
        <f>様式4!$AZ$18/様式4!$AZ$19*$L$61</f>
        <v>#DIV/0!</v>
      </c>
      <c r="Y80" s="509" t="s">
        <v>642</v>
      </c>
    </row>
    <row r="81" spans="6:25">
      <c r="F81" s="509" t="s">
        <v>623</v>
      </c>
      <c r="Y81" s="509" t="s">
        <v>643</v>
      </c>
    </row>
    <row r="82" spans="6:25">
      <c r="F82" s="509" t="s">
        <v>624</v>
      </c>
      <c r="Y82" s="509" t="s">
        <v>644</v>
      </c>
    </row>
    <row r="83" spans="6:25">
      <c r="F83" s="509" t="s">
        <v>625</v>
      </c>
      <c r="Y83" s="509" t="s">
        <v>645</v>
      </c>
    </row>
    <row r="84" spans="6:25">
      <c r="F84" s="509" t="s">
        <v>626</v>
      </c>
      <c r="Y84" s="509" t="s">
        <v>640</v>
      </c>
    </row>
    <row r="85" spans="6:25">
      <c r="F85" s="509" t="s">
        <v>627</v>
      </c>
      <c r="Y85" s="509" t="s">
        <v>641</v>
      </c>
    </row>
    <row r="86" spans="6:25">
      <c r="F86" s="509" t="s">
        <v>628</v>
      </c>
    </row>
    <row r="87" spans="6:25">
      <c r="F87" s="509" t="s">
        <v>629</v>
      </c>
    </row>
    <row r="88" spans="6:25">
      <c r="F88" s="509" t="s">
        <v>630</v>
      </c>
    </row>
    <row r="89" spans="6:25">
      <c r="F89" s="509" t="s">
        <v>631</v>
      </c>
    </row>
    <row r="90" spans="6:25">
      <c r="F90" s="509" t="s">
        <v>632</v>
      </c>
    </row>
    <row r="91" spans="6:25">
      <c r="F91" s="509" t="s">
        <v>633</v>
      </c>
    </row>
    <row r="92" spans="6:25">
      <c r="F92" s="509" t="s">
        <v>634</v>
      </c>
    </row>
    <row r="93" spans="6:25">
      <c r="F93" s="509" t="s">
        <v>635</v>
      </c>
    </row>
    <row r="94" spans="6:25">
      <c r="F94" s="509" t="s">
        <v>636</v>
      </c>
    </row>
    <row r="95" spans="6:25">
      <c r="F95" s="509" t="s">
        <v>637</v>
      </c>
    </row>
  </sheetData>
  <sheetProtection algorithmName="SHA-512" hashValue="hkNWbw3nG27Q5Erby7T84DXyNr030goetFm6HxOQV4iDtNeVyYEImUZIlwtToW899dxL5hA8Ark26jInLZ9U3w==" saltValue="1alpIZ78pDruDe7z7Yk5gQ==" spinCount="100000" sheet="1" formatCells="0" insertColumns="0" insertRows="0" selectLockedCells="1"/>
  <mergeCells count="155">
    <mergeCell ref="B33:D33"/>
    <mergeCell ref="AE33:AG33"/>
    <mergeCell ref="B34:D34"/>
    <mergeCell ref="AE34:AG34"/>
    <mergeCell ref="B35:D35"/>
    <mergeCell ref="AE35:AG35"/>
    <mergeCell ref="B28:D28"/>
    <mergeCell ref="AE28:AG28"/>
    <mergeCell ref="B29:D29"/>
    <mergeCell ref="AE29:AG29"/>
    <mergeCell ref="B30:D30"/>
    <mergeCell ref="AE30:AG30"/>
    <mergeCell ref="B31:D31"/>
    <mergeCell ref="AE31:AG31"/>
    <mergeCell ref="B32:D32"/>
    <mergeCell ref="AE32:AG32"/>
    <mergeCell ref="B23:D23"/>
    <mergeCell ref="AE23:AG23"/>
    <mergeCell ref="B24:D24"/>
    <mergeCell ref="AE24:AG24"/>
    <mergeCell ref="B25:D25"/>
    <mergeCell ref="AE25:AG25"/>
    <mergeCell ref="B26:D26"/>
    <mergeCell ref="AE26:AG26"/>
    <mergeCell ref="B27:D27"/>
    <mergeCell ref="AE27:AG27"/>
    <mergeCell ref="B72:Z72"/>
    <mergeCell ref="A65:E65"/>
    <mergeCell ref="A66:Z66"/>
    <mergeCell ref="A67:Z67"/>
    <mergeCell ref="B68:Z68"/>
    <mergeCell ref="B55:D55"/>
    <mergeCell ref="B61:J61"/>
    <mergeCell ref="B60:D60"/>
    <mergeCell ref="AE60:AG60"/>
    <mergeCell ref="AD11:AD60"/>
    <mergeCell ref="AE11:AG11"/>
    <mergeCell ref="B12:D12"/>
    <mergeCell ref="B48:D48"/>
    <mergeCell ref="AE48:AG48"/>
    <mergeCell ref="B49:D49"/>
    <mergeCell ref="AE49:AG49"/>
    <mergeCell ref="B50:D50"/>
    <mergeCell ref="AE50:AG50"/>
    <mergeCell ref="B46:D46"/>
    <mergeCell ref="AE46:AG46"/>
    <mergeCell ref="AE39:AG39"/>
    <mergeCell ref="B40:D40"/>
    <mergeCell ref="AE40:AG40"/>
    <mergeCell ref="B16:D16"/>
    <mergeCell ref="P8:P10"/>
    <mergeCell ref="B69:Z69"/>
    <mergeCell ref="B70:Z70"/>
    <mergeCell ref="B71:Z71"/>
    <mergeCell ref="B53:D53"/>
    <mergeCell ref="AE53:AG53"/>
    <mergeCell ref="B54:D54"/>
    <mergeCell ref="AE54:AG54"/>
    <mergeCell ref="AE61:AG61"/>
    <mergeCell ref="S63:W63"/>
    <mergeCell ref="AA63:AC63"/>
    <mergeCell ref="B58:D58"/>
    <mergeCell ref="AE58:AG58"/>
    <mergeCell ref="B59:D59"/>
    <mergeCell ref="B47:D47"/>
    <mergeCell ref="B51:D51"/>
    <mergeCell ref="AE55:AG55"/>
    <mergeCell ref="B56:D56"/>
    <mergeCell ref="AE56:AG56"/>
    <mergeCell ref="B57:D57"/>
    <mergeCell ref="AE57:AG57"/>
    <mergeCell ref="AE51:AG51"/>
    <mergeCell ref="B52:D52"/>
    <mergeCell ref="AE52:AG52"/>
    <mergeCell ref="B41:D41"/>
    <mergeCell ref="AE41:AG41"/>
    <mergeCell ref="B42:D42"/>
    <mergeCell ref="AE42:AG42"/>
    <mergeCell ref="B43:D43"/>
    <mergeCell ref="B39:D39"/>
    <mergeCell ref="AE43:AG43"/>
    <mergeCell ref="B44:D44"/>
    <mergeCell ref="AE44:AG44"/>
    <mergeCell ref="AB11:AB60"/>
    <mergeCell ref="AE45:AG45"/>
    <mergeCell ref="AE16:AG16"/>
    <mergeCell ref="B17:D17"/>
    <mergeCell ref="AE17:AG17"/>
    <mergeCell ref="B18:D18"/>
    <mergeCell ref="AE18:AG18"/>
    <mergeCell ref="B19:D19"/>
    <mergeCell ref="AE19:AG19"/>
    <mergeCell ref="B20:D20"/>
    <mergeCell ref="AE20:AG20"/>
    <mergeCell ref="B21:D21"/>
    <mergeCell ref="AE21:AG21"/>
    <mergeCell ref="B22:D22"/>
    <mergeCell ref="AE22:AG22"/>
    <mergeCell ref="B45:D45"/>
    <mergeCell ref="AE15:AG15"/>
    <mergeCell ref="AE12:AG12"/>
    <mergeCell ref="R11:R60"/>
    <mergeCell ref="AE47:AG47"/>
    <mergeCell ref="AE59:AG59"/>
    <mergeCell ref="S8:S10"/>
    <mergeCell ref="T8:W8"/>
    <mergeCell ref="B13:D13"/>
    <mergeCell ref="AE13:AG13"/>
    <mergeCell ref="B14:D14"/>
    <mergeCell ref="AE14:AG14"/>
    <mergeCell ref="B15:D15"/>
    <mergeCell ref="B11:D11"/>
    <mergeCell ref="L11:L60"/>
    <mergeCell ref="M11:M60"/>
    <mergeCell ref="N11:N60"/>
    <mergeCell ref="Q11:Q60"/>
    <mergeCell ref="B36:D36"/>
    <mergeCell ref="AE36:AG36"/>
    <mergeCell ref="B37:D37"/>
    <mergeCell ref="AE37:AG37"/>
    <mergeCell ref="B38:D38"/>
    <mergeCell ref="AE38:AG38"/>
    <mergeCell ref="AB8:AB10"/>
    <mergeCell ref="AC8:AC10"/>
    <mergeCell ref="AD8:AD10"/>
    <mergeCell ref="AE1:AE3"/>
    <mergeCell ref="R9:R10"/>
    <mergeCell ref="T9:W9"/>
    <mergeCell ref="X9:X10"/>
    <mergeCell ref="Y9:Y10"/>
    <mergeCell ref="Z9:Z10"/>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s>
  <phoneticPr fontId="4"/>
  <conditionalFormatting sqref="K11:O11 Q11:W11 B61 K61:O61 Q61:S61 U61:AB61 K12:M60 O12:O60 T12:T61 X11:AA60 AB11:AD11 AD61 AE11:AG61 S12:S60 U12:W60 B11:F60">
    <cfRule type="containsBlanks" dxfId="43" priority="8">
      <formula>LEN(TRIM(B11))=0</formula>
    </cfRule>
  </conditionalFormatting>
  <conditionalFormatting sqref="P11:P61">
    <cfRule type="containsBlanks" dxfId="42" priority="6">
      <formula>LEN(TRIM(P11))=0</formula>
    </cfRule>
  </conditionalFormatting>
  <conditionalFormatting sqref="AC12:AC61">
    <cfRule type="containsBlanks" dxfId="41" priority="7">
      <formula>LEN(TRIM(AC12))=0</formula>
    </cfRule>
  </conditionalFormatting>
  <dataValidations count="9">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6E3DE7E2-7A2D-4342-8420-84923AD1AF21}"/>
    <dataValidation type="list" allowBlank="1" showInputMessage="1" showErrorMessage="1" sqref="F11:F60" xr:uid="{A326A5DE-DC2B-489C-8EA1-B4A52A3CF547}">
      <formula1>$F$80:$F$95</formula1>
    </dataValidation>
    <dataValidation type="list" allowBlank="1" showInputMessage="1" showErrorMessage="1" sqref="Y11:Y60" xr:uid="{4C0E8EC7-E895-462C-AE5F-F8A740CF6AF9}">
      <formula1>$Y$80:$Y$85</formula1>
    </dataValidation>
  </dataValidations>
  <printOptions horizontalCentered="1"/>
  <pageMargins left="0.78740157480314965" right="0.78740157480314965" top="0.59055118110236227" bottom="0.59055118110236227" header="0.51181102362204722" footer="0.51181102362204722"/>
  <pageSetup paperSize="8" scale="2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5DA7-C4B1-4232-A0AC-540EB985F435}">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427" customWidth="1"/>
    <col min="2" max="2" width="15.625" style="427" customWidth="1"/>
    <col min="3" max="3" width="14.625" style="427" customWidth="1"/>
    <col min="4" max="4" width="23.125" style="427" customWidth="1"/>
    <col min="5" max="6" width="22.875" style="427" customWidth="1"/>
    <col min="7" max="7" width="2.5" style="427" customWidth="1"/>
    <col min="8" max="19" width="3" style="427" customWidth="1"/>
    <col min="20" max="16384" width="9" style="427"/>
  </cols>
  <sheetData>
    <row r="1" spans="1:6" ht="18" customHeight="1" thickBot="1">
      <c r="A1" s="470" t="s">
        <v>599</v>
      </c>
    </row>
    <row r="2" spans="1:6" ht="18" customHeight="1" thickBot="1">
      <c r="D2" s="590" t="s">
        <v>584</v>
      </c>
      <c r="E2" s="1048">
        <f>様式1!U8</f>
        <v>0</v>
      </c>
      <c r="F2" s="1050"/>
    </row>
    <row r="4" spans="1:6" ht="18" customHeight="1">
      <c r="A4" s="847" t="s">
        <v>598</v>
      </c>
      <c r="B4" s="847"/>
      <c r="C4" s="847"/>
      <c r="D4" s="847"/>
      <c r="E4" s="847"/>
      <c r="F4" s="847"/>
    </row>
    <row r="5" spans="1:6" ht="18" customHeight="1" thickBot="1">
      <c r="A5" s="466"/>
      <c r="B5" s="466"/>
      <c r="C5" s="466"/>
      <c r="D5" s="466"/>
      <c r="E5" s="466"/>
      <c r="F5" s="466"/>
    </row>
    <row r="6" spans="1:6" ht="40.15" customHeight="1">
      <c r="A6" s="1214" t="s">
        <v>597</v>
      </c>
      <c r="B6" s="1216" t="s">
        <v>596</v>
      </c>
      <c r="C6" s="1216" t="s">
        <v>595</v>
      </c>
      <c r="D6" s="1216" t="s">
        <v>594</v>
      </c>
      <c r="E6" s="1218" t="s">
        <v>593</v>
      </c>
      <c r="F6" s="1208" t="s">
        <v>592</v>
      </c>
    </row>
    <row r="7" spans="1:6" ht="56.1" customHeight="1" thickBot="1">
      <c r="A7" s="1215"/>
      <c r="B7" s="1217"/>
      <c r="C7" s="1217"/>
      <c r="D7" s="1217"/>
      <c r="E7" s="1219"/>
      <c r="F7" s="1209"/>
    </row>
    <row r="8" spans="1:6" ht="21.75" customHeight="1">
      <c r="A8" s="589" t="s">
        <v>591</v>
      </c>
      <c r="B8" s="588" t="s">
        <v>590</v>
      </c>
      <c r="C8" s="588" t="s">
        <v>589</v>
      </c>
      <c r="D8" s="588" t="s">
        <v>588</v>
      </c>
      <c r="E8" s="587">
        <v>200000</v>
      </c>
      <c r="F8" s="586"/>
    </row>
    <row r="9" spans="1:6" ht="21.75" customHeight="1">
      <c r="A9" s="609"/>
      <c r="B9" s="610"/>
      <c r="C9" s="610"/>
      <c r="D9" s="610"/>
      <c r="E9" s="611"/>
      <c r="F9" s="612"/>
    </row>
    <row r="10" spans="1:6" ht="21.75" customHeight="1">
      <c r="A10" s="609"/>
      <c r="B10" s="610"/>
      <c r="C10" s="610"/>
      <c r="D10" s="610"/>
      <c r="E10" s="611"/>
      <c r="F10" s="612"/>
    </row>
    <row r="11" spans="1:6" ht="21.75" customHeight="1">
      <c r="A11" s="609"/>
      <c r="B11" s="610"/>
      <c r="C11" s="610"/>
      <c r="D11" s="610"/>
      <c r="E11" s="611"/>
      <c r="F11" s="612"/>
    </row>
    <row r="12" spans="1:6" ht="21.75" customHeight="1">
      <c r="A12" s="609"/>
      <c r="B12" s="610"/>
      <c r="C12" s="610"/>
      <c r="D12" s="610"/>
      <c r="E12" s="611"/>
      <c r="F12" s="612"/>
    </row>
    <row r="13" spans="1:6" ht="21.75" customHeight="1">
      <c r="A13" s="609"/>
      <c r="B13" s="610"/>
      <c r="C13" s="610"/>
      <c r="D13" s="610"/>
      <c r="E13" s="611"/>
      <c r="F13" s="612"/>
    </row>
    <row r="14" spans="1:6" ht="21.75" customHeight="1">
      <c r="A14" s="609"/>
      <c r="B14" s="610"/>
      <c r="C14" s="610"/>
      <c r="D14" s="610"/>
      <c r="E14" s="611"/>
      <c r="F14" s="612"/>
    </row>
    <row r="15" spans="1:6" ht="21.75" customHeight="1">
      <c r="A15" s="609"/>
      <c r="B15" s="610"/>
      <c r="C15" s="610"/>
      <c r="D15" s="610"/>
      <c r="E15" s="611"/>
      <c r="F15" s="612"/>
    </row>
    <row r="16" spans="1:6" ht="21.75" customHeight="1">
      <c r="A16" s="609"/>
      <c r="B16" s="610"/>
      <c r="C16" s="610"/>
      <c r="D16" s="610"/>
      <c r="E16" s="611"/>
      <c r="F16" s="612"/>
    </row>
    <row r="17" spans="1:6" ht="21.75" customHeight="1">
      <c r="A17" s="613"/>
      <c r="B17" s="614"/>
      <c r="C17" s="614"/>
      <c r="D17" s="614"/>
      <c r="E17" s="615"/>
      <c r="F17" s="616"/>
    </row>
    <row r="18" spans="1:6" ht="21.75" customHeight="1" thickBot="1">
      <c r="A18" s="1210" t="s">
        <v>587</v>
      </c>
      <c r="B18" s="883"/>
      <c r="C18" s="883"/>
      <c r="D18" s="1211"/>
      <c r="E18" s="585">
        <f>SUM(E9:E17)</f>
        <v>0</v>
      </c>
      <c r="F18" s="584">
        <f>SUM(F9:F17)</f>
        <v>0</v>
      </c>
    </row>
    <row r="19" spans="1:6" ht="19.5" customHeight="1">
      <c r="A19" s="583" t="s">
        <v>528</v>
      </c>
      <c r="B19" s="1212" t="s">
        <v>586</v>
      </c>
      <c r="C19" s="1212"/>
      <c r="D19" s="1212"/>
      <c r="E19" s="1212"/>
      <c r="F19" s="1212"/>
    </row>
    <row r="20" spans="1:6" ht="19.5" customHeight="1">
      <c r="A20" s="583"/>
      <c r="B20" s="1212"/>
      <c r="C20" s="1212"/>
      <c r="D20" s="1212"/>
      <c r="E20" s="1212"/>
      <c r="F20" s="1212"/>
    </row>
    <row r="21" spans="1:6" ht="18" customHeight="1">
      <c r="A21" s="582"/>
      <c r="B21" s="1213"/>
      <c r="C21" s="1213"/>
      <c r="D21" s="1213"/>
      <c r="E21" s="1213"/>
      <c r="F21" s="1213"/>
    </row>
  </sheetData>
  <sheetProtection algorithmName="SHA-512" hashValue="XLWNIy6zmN0d736kzW/6LA2o3/mi6Bwt0siwgbD+2m+LhnQA7YZG5OspPQeVbrsyfy6YSRnbHT8MGcpOHtO+rw==" saltValue="yUEaAkuuymy3qf0c59pA6A=="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2330-334D-47A6-B46C-0328378F0A02}">
  <sheetPr>
    <pageSetUpPr fitToPage="1"/>
  </sheetPr>
  <dimension ref="A1:AD24"/>
  <sheetViews>
    <sheetView showGridLines="0" view="pageBreakPreview" zoomScale="85" zoomScaleNormal="100" zoomScaleSheetLayoutView="85" workbookViewId="0"/>
  </sheetViews>
  <sheetFormatPr defaultColWidth="9" defaultRowHeight="18" customHeight="1"/>
  <cols>
    <col min="1" max="1" width="3" style="427" customWidth="1"/>
    <col min="2" max="28" width="3.125" style="427" customWidth="1"/>
    <col min="29" max="29" width="1.625" style="427" customWidth="1"/>
    <col min="30" max="30" width="3" style="427" hidden="1" customWidth="1"/>
    <col min="31" max="31" width="3" style="427" customWidth="1"/>
    <col min="32" max="16384" width="9" style="427"/>
  </cols>
  <sheetData>
    <row r="1" spans="1:28" ht="18" customHeight="1">
      <c r="A1" s="470" t="s">
        <v>608</v>
      </c>
    </row>
    <row r="2" spans="1:28" ht="18" customHeight="1">
      <c r="A2" s="1226" t="str">
        <f>様式1!$AQ$1&amp;様式1!$AQ$2&amp;"年度　賃金改善の誓約書"</f>
        <v>令和７年度　賃金改善の誓約書</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row>
    <row r="3" spans="1:28" ht="33" customHeight="1" thickBot="1">
      <c r="A3" s="597"/>
      <c r="B3" s="597"/>
      <c r="C3" s="597"/>
      <c r="D3" s="597"/>
      <c r="E3" s="597"/>
      <c r="F3" s="597"/>
      <c r="G3" s="597"/>
      <c r="H3" s="597"/>
      <c r="I3" s="597"/>
      <c r="J3" s="597"/>
      <c r="K3" s="597"/>
      <c r="L3" s="597"/>
      <c r="M3" s="597"/>
      <c r="N3" s="597"/>
      <c r="O3" s="597"/>
      <c r="P3" s="597"/>
      <c r="Q3" s="597"/>
      <c r="R3" s="597"/>
      <c r="S3" s="597"/>
      <c r="T3" s="597"/>
      <c r="U3" s="597"/>
      <c r="V3" s="597"/>
      <c r="W3" s="597"/>
      <c r="X3" s="597"/>
      <c r="Y3" s="597"/>
      <c r="Z3" s="466"/>
    </row>
    <row r="4" spans="1:28" ht="17.25" customHeight="1">
      <c r="B4" s="464"/>
      <c r="C4" s="464"/>
      <c r="D4" s="464"/>
      <c r="E4" s="464"/>
      <c r="H4" s="438"/>
      <c r="I4" s="838" t="s">
        <v>406</v>
      </c>
      <c r="J4" s="869"/>
      <c r="K4" s="869"/>
      <c r="L4" s="869"/>
      <c r="M4" s="869"/>
      <c r="N4" s="869"/>
      <c r="O4" s="870" t="str">
        <f>様式3!U8</f>
        <v>京都市</v>
      </c>
      <c r="P4" s="871"/>
      <c r="Q4" s="871"/>
      <c r="R4" s="871"/>
      <c r="S4" s="871"/>
      <c r="T4" s="871"/>
      <c r="U4" s="871"/>
      <c r="V4" s="871"/>
      <c r="W4" s="871"/>
      <c r="X4" s="871"/>
      <c r="Y4" s="871"/>
      <c r="Z4" s="871"/>
      <c r="AA4" s="871"/>
      <c r="AB4" s="872"/>
    </row>
    <row r="5" spans="1:28" ht="17.25" customHeight="1">
      <c r="B5" s="464"/>
      <c r="C5" s="464"/>
      <c r="I5" s="843" t="s">
        <v>404</v>
      </c>
      <c r="J5" s="879"/>
      <c r="K5" s="879"/>
      <c r="L5" s="879"/>
      <c r="M5" s="879"/>
      <c r="N5" s="879"/>
      <c r="O5" s="1234">
        <f>様式3!U9</f>
        <v>0</v>
      </c>
      <c r="P5" s="1235"/>
      <c r="Q5" s="1235"/>
      <c r="R5" s="1235"/>
      <c r="S5" s="1235"/>
      <c r="T5" s="1235"/>
      <c r="U5" s="1235"/>
      <c r="V5" s="1235"/>
      <c r="W5" s="1235"/>
      <c r="X5" s="1235"/>
      <c r="Y5" s="1235"/>
      <c r="Z5" s="1235"/>
      <c r="AA5" s="1235"/>
      <c r="AB5" s="1236"/>
    </row>
    <row r="6" spans="1:28" ht="17.25" customHeight="1">
      <c r="B6" s="464"/>
      <c r="C6" s="464"/>
      <c r="I6" s="843" t="s">
        <v>403</v>
      </c>
      <c r="J6" s="879"/>
      <c r="K6" s="879"/>
      <c r="L6" s="879"/>
      <c r="M6" s="879"/>
      <c r="N6" s="879"/>
      <c r="O6" s="1234">
        <f>様式3!U10</f>
        <v>0</v>
      </c>
      <c r="P6" s="1235"/>
      <c r="Q6" s="1235"/>
      <c r="R6" s="1235"/>
      <c r="S6" s="1235"/>
      <c r="T6" s="1235"/>
      <c r="U6" s="1235"/>
      <c r="V6" s="1235"/>
      <c r="W6" s="1235"/>
      <c r="X6" s="1235"/>
      <c r="Y6" s="1235"/>
      <c r="Z6" s="1235"/>
      <c r="AA6" s="1235"/>
      <c r="AB6" s="1236"/>
    </row>
    <row r="7" spans="1:28" ht="17.25" customHeight="1" thickBot="1">
      <c r="B7" s="464"/>
      <c r="C7" s="464"/>
      <c r="D7" s="504"/>
      <c r="E7" s="504"/>
      <c r="F7" s="464"/>
      <c r="G7" s="464"/>
      <c r="H7" s="464"/>
      <c r="I7" s="846" t="s">
        <v>434</v>
      </c>
      <c r="J7" s="888"/>
      <c r="K7" s="888"/>
      <c r="L7" s="888"/>
      <c r="M7" s="888"/>
      <c r="N7" s="888"/>
      <c r="O7" s="882">
        <f>様式3!U11</f>
        <v>0</v>
      </c>
      <c r="P7" s="883"/>
      <c r="Q7" s="883"/>
      <c r="R7" s="883"/>
      <c r="S7" s="883"/>
      <c r="T7" s="883"/>
      <c r="U7" s="883"/>
      <c r="V7" s="883"/>
      <c r="W7" s="883"/>
      <c r="X7" s="883"/>
      <c r="Y7" s="883"/>
      <c r="Z7" s="883"/>
      <c r="AA7" s="883"/>
      <c r="AB7" s="884"/>
    </row>
    <row r="8" spans="1:28" ht="18" customHeight="1">
      <c r="K8" s="432"/>
      <c r="L8" s="432"/>
      <c r="M8" s="432"/>
      <c r="N8" s="432"/>
      <c r="O8" s="432"/>
      <c r="P8" s="432"/>
      <c r="Q8" s="432"/>
      <c r="R8" s="432"/>
      <c r="S8" s="432"/>
    </row>
    <row r="9" spans="1:28" ht="30" customHeight="1">
      <c r="B9" s="427" t="s">
        <v>607</v>
      </c>
      <c r="K9" s="432"/>
      <c r="L9" s="432"/>
      <c r="M9" s="432"/>
      <c r="N9" s="432"/>
      <c r="O9" s="432"/>
      <c r="P9" s="432"/>
      <c r="Q9" s="432"/>
      <c r="R9" s="432"/>
      <c r="S9" s="432"/>
    </row>
    <row r="10" spans="1:28" s="596" customFormat="1" ht="35.25" customHeight="1">
      <c r="B10" s="1227"/>
      <c r="C10" s="1228"/>
      <c r="D10" s="1228"/>
      <c r="E10" s="1228"/>
      <c r="F10" s="1228"/>
      <c r="G10" s="1228"/>
      <c r="H10" s="1228"/>
      <c r="I10" s="1228"/>
      <c r="J10" s="1228"/>
      <c r="K10" s="1007" t="s">
        <v>486</v>
      </c>
      <c r="L10" s="1008"/>
      <c r="M10" s="1008"/>
      <c r="N10" s="1008"/>
      <c r="O10" s="1008"/>
      <c r="P10" s="1008"/>
      <c r="Q10" s="1008"/>
      <c r="R10" s="1008"/>
      <c r="S10" s="1009"/>
      <c r="T10" s="1227" t="s">
        <v>515</v>
      </c>
      <c r="U10" s="1228"/>
      <c r="V10" s="1228"/>
      <c r="W10" s="1228"/>
      <c r="X10" s="1228"/>
      <c r="Y10" s="1228"/>
      <c r="Z10" s="1228"/>
      <c r="AA10" s="1228"/>
      <c r="AB10" s="1229"/>
    </row>
    <row r="11" spans="1:28" s="596" customFormat="1" ht="27.75" customHeight="1">
      <c r="B11" s="1230" t="s">
        <v>513</v>
      </c>
      <c r="C11" s="1231"/>
      <c r="D11" s="1231"/>
      <c r="E11" s="1231"/>
      <c r="F11" s="1231"/>
      <c r="G11" s="1231"/>
      <c r="H11" s="1231"/>
      <c r="I11" s="1231"/>
      <c r="J11" s="1232"/>
      <c r="K11" s="1111" t="e">
        <f>【参考】計算結果!$D$14</f>
        <v>#N/A</v>
      </c>
      <c r="L11" s="1111"/>
      <c r="M11" s="1111"/>
      <c r="N11" s="1111"/>
      <c r="O11" s="1111"/>
      <c r="P11" s="1111"/>
      <c r="Q11" s="1111"/>
      <c r="R11" s="1111"/>
      <c r="S11" s="507" t="s">
        <v>483</v>
      </c>
      <c r="T11" s="1233">
        <f>【参考】計算結果!$D$20</f>
        <v>0</v>
      </c>
      <c r="U11" s="1233"/>
      <c r="V11" s="1233"/>
      <c r="W11" s="1233"/>
      <c r="X11" s="1233"/>
      <c r="Y11" s="1233"/>
      <c r="Z11" s="1233"/>
      <c r="AA11" s="1233"/>
      <c r="AB11" s="507" t="s">
        <v>483</v>
      </c>
    </row>
    <row r="12" spans="1:28" s="593" customFormat="1" ht="18" customHeight="1">
      <c r="B12" s="595"/>
      <c r="K12" s="594"/>
      <c r="L12" s="594"/>
      <c r="M12" s="594"/>
      <c r="N12" s="594"/>
      <c r="O12" s="594"/>
      <c r="P12" s="594"/>
      <c r="Q12" s="594"/>
      <c r="R12" s="594"/>
      <c r="S12" s="594"/>
    </row>
    <row r="13" spans="1:28" ht="24.75" customHeight="1">
      <c r="B13" s="1221" t="s">
        <v>606</v>
      </c>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row>
    <row r="14" spans="1:28" s="459" customFormat="1" ht="30.75" customHeight="1">
      <c r="B14" s="1222" t="s">
        <v>605</v>
      </c>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row>
    <row r="15" spans="1:28" ht="33" customHeight="1">
      <c r="B15" s="1223" t="s">
        <v>603</v>
      </c>
      <c r="C15" s="1223"/>
      <c r="D15" s="1224" t="s">
        <v>604</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row>
    <row r="16" spans="1:28" ht="33" customHeight="1">
      <c r="B16" s="1223" t="s">
        <v>603</v>
      </c>
      <c r="C16" s="1223"/>
      <c r="D16" s="1224" t="s">
        <v>602</v>
      </c>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row>
    <row r="17" spans="1:28" s="593" customFormat="1" ht="13.5" customHeight="1">
      <c r="B17" s="595"/>
      <c r="K17" s="594"/>
      <c r="L17" s="594"/>
      <c r="M17" s="594"/>
      <c r="N17" s="594"/>
      <c r="O17" s="594"/>
      <c r="P17" s="594"/>
      <c r="Q17" s="594"/>
      <c r="R17" s="594"/>
      <c r="S17" s="594"/>
    </row>
    <row r="18" spans="1:28" ht="118.15" customHeight="1">
      <c r="A18" s="592"/>
      <c r="B18" s="1225" t="s">
        <v>601</v>
      </c>
      <c r="C18" s="1225"/>
      <c r="D18" s="1225"/>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row>
    <row r="19" spans="1:28" ht="10.15" customHeight="1">
      <c r="A19" s="506"/>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row>
    <row r="20" spans="1:28" ht="36" customHeight="1">
      <c r="B20" s="1221" t="s">
        <v>600</v>
      </c>
      <c r="C20" s="1221"/>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row>
    <row r="22" spans="1:28" ht="18" customHeight="1">
      <c r="J22" s="1220" t="s">
        <v>413</v>
      </c>
      <c r="K22" s="1220"/>
      <c r="L22" s="1220"/>
      <c r="M22" s="1220"/>
      <c r="N22" s="1220"/>
      <c r="O22" s="1220"/>
      <c r="P22" s="1220"/>
      <c r="R22" s="847"/>
      <c r="S22" s="847"/>
      <c r="T22" s="847"/>
      <c r="U22" s="847"/>
      <c r="V22" s="847"/>
      <c r="W22" s="847"/>
      <c r="X22" s="847"/>
      <c r="Y22" s="847"/>
      <c r="Z22" s="847"/>
      <c r="AA22" s="847"/>
      <c r="AB22" s="847"/>
    </row>
    <row r="23" spans="1:28" ht="18" customHeight="1">
      <c r="L23" s="880" t="s">
        <v>412</v>
      </c>
      <c r="M23" s="880"/>
      <c r="N23" s="880"/>
      <c r="O23" s="880"/>
      <c r="P23" s="880"/>
      <c r="Q23" s="880"/>
      <c r="R23" s="881"/>
      <c r="S23" s="881"/>
      <c r="T23" s="881"/>
      <c r="U23" s="881"/>
      <c r="V23" s="881"/>
      <c r="W23" s="881"/>
      <c r="X23" s="881"/>
      <c r="Y23" s="881"/>
      <c r="Z23" s="881"/>
      <c r="AA23" s="881"/>
      <c r="AB23" s="881"/>
    </row>
    <row r="24" spans="1:28" ht="18" customHeight="1">
      <c r="L24" s="873" t="s">
        <v>411</v>
      </c>
      <c r="M24" s="873"/>
      <c r="N24" s="873"/>
      <c r="O24" s="873"/>
      <c r="P24" s="873"/>
      <c r="Q24" s="873"/>
      <c r="R24" s="874"/>
      <c r="S24" s="874"/>
      <c r="T24" s="874"/>
      <c r="U24" s="874"/>
      <c r="V24" s="874"/>
      <c r="W24" s="874"/>
      <c r="X24" s="874"/>
      <c r="Y24" s="874"/>
      <c r="Z24" s="874"/>
      <c r="AA24" s="874"/>
      <c r="AB24" s="874"/>
    </row>
  </sheetData>
  <sheetProtection algorithmName="SHA-512" hashValue="UxbG001dt89Xp1BRhXjmTwsMuTJyKoOWU7mDuZHc1z0Ba2TkR16Aun1AkJHGOi09yWShGy6a0p8Erfj2+g4zWQ==" saltValue="ZWVB4a627oJixCYu9cNd7g==" spinCount="100000" sheet="1" objects="1" scenarios="1"/>
  <mergeCells count="29">
    <mergeCell ref="A2:AB2"/>
    <mergeCell ref="K10:S10"/>
    <mergeCell ref="T10:AB10"/>
    <mergeCell ref="B11:J11"/>
    <mergeCell ref="K11:R11"/>
    <mergeCell ref="T11:AA11"/>
    <mergeCell ref="I4:N4"/>
    <mergeCell ref="O4:AB4"/>
    <mergeCell ref="I5:N5"/>
    <mergeCell ref="O5:AB5"/>
    <mergeCell ref="I6:N6"/>
    <mergeCell ref="B10:J10"/>
    <mergeCell ref="O6:AB6"/>
    <mergeCell ref="I7:N7"/>
    <mergeCell ref="O7:AB7"/>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0" fitToHeight="0" orientation="portrait" r:id="rId1"/>
  <headerFooter alignWithMargins="0"/>
  <rowBreaks count="1" manualBreakCount="1">
    <brk id="25"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5178-602D-4A3F-A888-5908F2623BF2}">
  <sheetPr>
    <pageSetUpPr fitToPage="1"/>
  </sheetPr>
  <dimension ref="A1:AL39"/>
  <sheetViews>
    <sheetView showGridLines="0" view="pageBreakPreview" zoomScale="85" zoomScaleNormal="70" zoomScaleSheetLayoutView="85" workbookViewId="0"/>
  </sheetViews>
  <sheetFormatPr defaultColWidth="2.375" defaultRowHeight="13.5"/>
  <cols>
    <col min="1" max="1" width="2.375" style="598"/>
    <col min="2" max="37" width="2.375" style="599"/>
    <col min="38" max="16384" width="2.375" style="598"/>
  </cols>
  <sheetData>
    <row r="1" spans="1:38">
      <c r="B1" s="607" t="s">
        <v>619</v>
      </c>
      <c r="C1" s="602"/>
      <c r="D1" s="602"/>
      <c r="E1" s="602"/>
      <c r="F1" s="602"/>
      <c r="G1" s="602"/>
      <c r="H1" s="602"/>
      <c r="I1" s="602"/>
      <c r="J1" s="602"/>
      <c r="K1" s="602"/>
      <c r="L1" s="602"/>
      <c r="M1" s="602"/>
      <c r="N1" s="602"/>
      <c r="O1" s="602"/>
      <c r="P1" s="602"/>
      <c r="Q1" s="602"/>
      <c r="R1" s="602"/>
      <c r="S1" s="602"/>
      <c r="T1" s="602"/>
      <c r="U1" s="602"/>
      <c r="V1" s="602"/>
      <c r="W1" s="602"/>
      <c r="X1" s="602"/>
      <c r="Y1" s="602"/>
      <c r="Z1" s="606"/>
      <c r="AA1" s="606"/>
      <c r="AB1" s="606"/>
      <c r="AC1" s="606"/>
      <c r="AD1" s="606"/>
      <c r="AE1" s="606"/>
      <c r="AF1" s="606"/>
      <c r="AG1" s="606"/>
      <c r="AH1" s="606"/>
      <c r="AI1" s="606"/>
      <c r="AJ1" s="606"/>
      <c r="AK1" s="606"/>
    </row>
    <row r="2" spans="1:38">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row>
    <row r="3" spans="1:38" ht="17.25">
      <c r="B3" s="1237" t="s">
        <v>618</v>
      </c>
      <c r="C3" s="1237"/>
      <c r="D3" s="1237"/>
      <c r="E3" s="1237"/>
      <c r="F3" s="1237"/>
      <c r="G3" s="1237"/>
      <c r="H3" s="1237"/>
      <c r="I3" s="1237"/>
      <c r="J3" s="1237"/>
      <c r="K3" s="1237"/>
      <c r="L3" s="1237"/>
      <c r="M3" s="1237"/>
      <c r="N3" s="1237"/>
      <c r="O3" s="1237"/>
      <c r="P3" s="1237"/>
      <c r="Q3" s="1237"/>
      <c r="R3" s="1237"/>
      <c r="S3" s="1237"/>
      <c r="T3" s="1237"/>
      <c r="U3" s="1237"/>
      <c r="V3" s="1237"/>
      <c r="W3" s="1237"/>
      <c r="X3" s="1238" t="str">
        <f>様式1!$AQ$2</f>
        <v>７</v>
      </c>
      <c r="Y3" s="1238"/>
      <c r="Z3" s="605" t="s">
        <v>617</v>
      </c>
      <c r="AA3" s="605"/>
      <c r="AB3" s="605"/>
      <c r="AC3" s="604"/>
      <c r="AD3" s="603"/>
      <c r="AE3" s="603"/>
      <c r="AF3" s="603"/>
      <c r="AG3" s="602"/>
      <c r="AH3" s="602"/>
      <c r="AI3" s="602"/>
      <c r="AJ3" s="602"/>
      <c r="AK3" s="602"/>
    </row>
    <row r="4" spans="1:38">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row>
    <row r="5" spans="1:38" s="427" customFormat="1" ht="17.25" customHeight="1">
      <c r="A5" s="593"/>
      <c r="B5" s="593"/>
      <c r="F5" s="464"/>
      <c r="G5" s="464"/>
      <c r="M5" s="444"/>
      <c r="N5" s="444"/>
      <c r="O5" s="444"/>
      <c r="P5" s="444"/>
      <c r="Q5" s="593"/>
      <c r="R5" s="593"/>
      <c r="S5" s="593"/>
      <c r="T5" s="593"/>
      <c r="U5" s="593"/>
      <c r="V5" s="593"/>
      <c r="W5" s="593"/>
      <c r="X5" s="593"/>
      <c r="Y5" s="593"/>
      <c r="Z5" s="593"/>
      <c r="AA5" s="593"/>
      <c r="AB5" s="593"/>
      <c r="AC5" s="593"/>
      <c r="AD5" s="593"/>
      <c r="AE5" s="593"/>
      <c r="AF5" s="593"/>
      <c r="AG5" s="593"/>
      <c r="AH5" s="593"/>
      <c r="AI5" s="593"/>
      <c r="AJ5" s="593"/>
      <c r="AK5" s="593"/>
      <c r="AL5" s="593"/>
    </row>
    <row r="6" spans="1:38" s="427" customFormat="1" ht="17.25" customHeight="1">
      <c r="A6" s="593"/>
      <c r="B6" s="593"/>
      <c r="F6" s="837" t="s">
        <v>407</v>
      </c>
      <c r="G6" s="837"/>
      <c r="H6" s="837"/>
      <c r="I6" s="837"/>
      <c r="J6" s="837"/>
      <c r="K6" s="837"/>
      <c r="L6" s="837"/>
      <c r="M6" s="444"/>
      <c r="N6" s="444"/>
      <c r="O6" s="444"/>
      <c r="P6" s="593"/>
      <c r="Q6" s="593"/>
      <c r="R6" s="593"/>
      <c r="S6" s="593"/>
      <c r="T6" s="593"/>
      <c r="U6" s="593"/>
      <c r="V6" s="593"/>
      <c r="W6" s="593"/>
      <c r="X6" s="593"/>
      <c r="Y6" s="593"/>
      <c r="Z6" s="593"/>
      <c r="AA6" s="593"/>
      <c r="AB6" s="593"/>
      <c r="AC6" s="593"/>
      <c r="AD6" s="593"/>
      <c r="AE6" s="593"/>
      <c r="AF6" s="593"/>
      <c r="AG6" s="593"/>
      <c r="AH6" s="593"/>
      <c r="AI6" s="593"/>
      <c r="AJ6" s="593"/>
      <c r="AK6" s="593"/>
      <c r="AL6" s="593"/>
    </row>
    <row r="7" spans="1:38" s="427" customFormat="1" ht="17.25" customHeight="1" thickBot="1">
      <c r="A7" s="593"/>
      <c r="B7" s="593"/>
      <c r="C7" s="593"/>
      <c r="D7" s="593"/>
      <c r="E7" s="593"/>
      <c r="F7" s="444"/>
      <c r="G7" s="444"/>
      <c r="H7" s="444"/>
      <c r="I7" s="444"/>
      <c r="J7" s="444"/>
      <c r="K7" s="444"/>
      <c r="L7" s="444"/>
      <c r="M7" s="444"/>
      <c r="N7" s="444"/>
      <c r="O7" s="444"/>
      <c r="P7" s="444"/>
      <c r="Q7" s="444"/>
      <c r="R7" s="444"/>
      <c r="S7" s="444"/>
      <c r="T7" s="593"/>
      <c r="U7" s="593"/>
      <c r="V7" s="593"/>
      <c r="W7" s="593"/>
      <c r="X7" s="728"/>
      <c r="Y7" s="629"/>
      <c r="Z7" s="729"/>
      <c r="AA7" s="629"/>
      <c r="AB7" s="629"/>
      <c r="AC7" s="629"/>
      <c r="AD7" s="629"/>
      <c r="AE7" s="629"/>
      <c r="AF7" s="629"/>
      <c r="AG7" s="629"/>
      <c r="AH7" s="629"/>
      <c r="AI7" s="629"/>
      <c r="AJ7" s="629"/>
      <c r="AK7" s="629"/>
      <c r="AL7" s="593"/>
    </row>
    <row r="8" spans="1:38" s="427" customFormat="1" ht="17.25" customHeight="1">
      <c r="A8" s="593"/>
      <c r="B8" s="593"/>
      <c r="C8" s="593"/>
      <c r="D8" s="593"/>
      <c r="E8" s="593"/>
      <c r="F8" s="444"/>
      <c r="G8" s="444"/>
      <c r="H8" s="593"/>
      <c r="I8" s="593"/>
      <c r="J8" s="593"/>
      <c r="K8" s="593"/>
      <c r="L8" s="593"/>
      <c r="M8" s="593"/>
      <c r="N8" s="593"/>
      <c r="O8" s="593"/>
      <c r="P8" s="593"/>
      <c r="Q8" s="1245" t="s">
        <v>406</v>
      </c>
      <c r="R8" s="1246"/>
      <c r="S8" s="1246"/>
      <c r="T8" s="1246"/>
      <c r="U8" s="1246"/>
      <c r="V8" s="1246"/>
      <c r="W8" s="1246"/>
      <c r="X8" s="1246"/>
      <c r="Y8" s="870" t="str">
        <f>様式1!U7</f>
        <v>京都市</v>
      </c>
      <c r="Z8" s="871"/>
      <c r="AA8" s="871"/>
      <c r="AB8" s="871"/>
      <c r="AC8" s="871"/>
      <c r="AD8" s="871"/>
      <c r="AE8" s="871"/>
      <c r="AF8" s="871"/>
      <c r="AG8" s="871"/>
      <c r="AH8" s="871"/>
      <c r="AI8" s="871"/>
      <c r="AJ8" s="871"/>
      <c r="AK8" s="872"/>
      <c r="AL8" s="593"/>
    </row>
    <row r="9" spans="1:38" s="427" customFormat="1" ht="17.25" customHeight="1">
      <c r="A9" s="593"/>
      <c r="B9" s="593"/>
      <c r="C9" s="593"/>
      <c r="D9" s="593"/>
      <c r="E9" s="593"/>
      <c r="F9" s="444"/>
      <c r="G9" s="444"/>
      <c r="H9" s="593"/>
      <c r="I9" s="593"/>
      <c r="J9" s="593"/>
      <c r="K9" s="593"/>
      <c r="L9" s="593"/>
      <c r="M9" s="593"/>
      <c r="N9" s="593"/>
      <c r="O9" s="593"/>
      <c r="P9" s="593"/>
      <c r="Q9" s="1247" t="s">
        <v>404</v>
      </c>
      <c r="R9" s="1248"/>
      <c r="S9" s="1248"/>
      <c r="T9" s="1248"/>
      <c r="U9" s="1248"/>
      <c r="V9" s="1248"/>
      <c r="W9" s="1248"/>
      <c r="X9" s="1248"/>
      <c r="Y9" s="1234">
        <f>様式1!U8</f>
        <v>0</v>
      </c>
      <c r="Z9" s="1235"/>
      <c r="AA9" s="1235"/>
      <c r="AB9" s="1235"/>
      <c r="AC9" s="1235"/>
      <c r="AD9" s="1235"/>
      <c r="AE9" s="1235"/>
      <c r="AF9" s="1235"/>
      <c r="AG9" s="1235"/>
      <c r="AH9" s="1235"/>
      <c r="AI9" s="1235"/>
      <c r="AJ9" s="1235"/>
      <c r="AK9" s="1236"/>
      <c r="AL9" s="593"/>
    </row>
    <row r="10" spans="1:38" s="427" customFormat="1" ht="17.25" customHeight="1">
      <c r="A10" s="593"/>
      <c r="B10" s="593"/>
      <c r="C10" s="593"/>
      <c r="D10" s="593"/>
      <c r="E10" s="593"/>
      <c r="F10" s="444"/>
      <c r="G10" s="444"/>
      <c r="H10" s="593"/>
      <c r="I10" s="593"/>
      <c r="J10" s="593"/>
      <c r="K10" s="593"/>
      <c r="L10" s="593"/>
      <c r="M10" s="593"/>
      <c r="N10" s="593"/>
      <c r="O10" s="593"/>
      <c r="P10" s="593"/>
      <c r="Q10" s="1247" t="s">
        <v>403</v>
      </c>
      <c r="R10" s="1248"/>
      <c r="S10" s="1248"/>
      <c r="T10" s="1248"/>
      <c r="U10" s="1248"/>
      <c r="V10" s="1248"/>
      <c r="W10" s="1248"/>
      <c r="X10" s="1248"/>
      <c r="Y10" s="1234">
        <f>様式1!U9</f>
        <v>0</v>
      </c>
      <c r="Z10" s="1235"/>
      <c r="AA10" s="1235"/>
      <c r="AB10" s="1235"/>
      <c r="AC10" s="1235"/>
      <c r="AD10" s="1235"/>
      <c r="AE10" s="1235"/>
      <c r="AF10" s="1235"/>
      <c r="AG10" s="1235"/>
      <c r="AH10" s="1235"/>
      <c r="AI10" s="1235"/>
      <c r="AJ10" s="1235"/>
      <c r="AK10" s="1236"/>
      <c r="AL10" s="593"/>
    </row>
    <row r="11" spans="1:38" s="427" customFormat="1" ht="17.25" customHeight="1">
      <c r="A11" s="593"/>
      <c r="B11" s="593"/>
      <c r="C11" s="593"/>
      <c r="D11" s="593"/>
      <c r="E11" s="593"/>
      <c r="F11" s="444"/>
      <c r="G11" s="444"/>
      <c r="H11" s="593"/>
      <c r="I11" s="593"/>
      <c r="J11" s="593"/>
      <c r="K11" s="593"/>
      <c r="L11" s="593"/>
      <c r="M11" s="593"/>
      <c r="N11" s="593"/>
      <c r="O11" s="593"/>
      <c r="P11" s="593"/>
      <c r="Q11" s="1247" t="s">
        <v>434</v>
      </c>
      <c r="R11" s="1248"/>
      <c r="S11" s="1248"/>
      <c r="T11" s="1248"/>
      <c r="U11" s="1248"/>
      <c r="V11" s="1248"/>
      <c r="W11" s="1248"/>
      <c r="X11" s="1248"/>
      <c r="Y11" s="1227">
        <f>様式1!U10</f>
        <v>0</v>
      </c>
      <c r="Z11" s="1228"/>
      <c r="AA11" s="1228"/>
      <c r="AB11" s="1228"/>
      <c r="AC11" s="1228"/>
      <c r="AD11" s="1228"/>
      <c r="AE11" s="1228"/>
      <c r="AF11" s="1228"/>
      <c r="AG11" s="1228"/>
      <c r="AH11" s="1228"/>
      <c r="AI11" s="1228"/>
      <c r="AJ11" s="1228"/>
      <c r="AK11" s="1252"/>
      <c r="AL11" s="593"/>
    </row>
    <row r="12" spans="1:38" s="427" customFormat="1" ht="17.25" customHeight="1">
      <c r="A12" s="593"/>
      <c r="B12" s="593"/>
      <c r="C12" s="593"/>
      <c r="D12" s="593"/>
      <c r="E12" s="593"/>
      <c r="F12" s="444"/>
      <c r="G12" s="444"/>
      <c r="H12" s="593"/>
      <c r="I12" s="593"/>
      <c r="J12" s="593"/>
      <c r="K12" s="593"/>
      <c r="L12" s="593"/>
      <c r="M12" s="593"/>
      <c r="N12" s="593"/>
      <c r="O12" s="593"/>
      <c r="P12" s="593"/>
      <c r="Q12" s="1247" t="s">
        <v>616</v>
      </c>
      <c r="R12" s="1248"/>
      <c r="S12" s="1248"/>
      <c r="T12" s="1248"/>
      <c r="U12" s="1248"/>
      <c r="V12" s="1248"/>
      <c r="W12" s="1248"/>
      <c r="X12" s="1248"/>
      <c r="Y12" s="1259"/>
      <c r="Z12" s="1260"/>
      <c r="AA12" s="1260"/>
      <c r="AB12" s="1260"/>
      <c r="AC12" s="1260"/>
      <c r="AD12" s="1260"/>
      <c r="AE12" s="1260"/>
      <c r="AF12" s="1260"/>
      <c r="AG12" s="1260"/>
      <c r="AH12" s="1260"/>
      <c r="AI12" s="1260"/>
      <c r="AJ12" s="1260"/>
      <c r="AK12" s="1261"/>
      <c r="AL12" s="593"/>
    </row>
    <row r="13" spans="1:38" s="427" customFormat="1" ht="17.25" customHeight="1" thickBot="1">
      <c r="A13" s="593"/>
      <c r="B13" s="593"/>
      <c r="C13" s="593"/>
      <c r="D13" s="593"/>
      <c r="E13" s="593"/>
      <c r="F13" s="444"/>
      <c r="G13" s="444"/>
      <c r="H13" s="593"/>
      <c r="I13" s="593"/>
      <c r="J13" s="593"/>
      <c r="K13" s="593"/>
      <c r="L13" s="593"/>
      <c r="M13" s="593"/>
      <c r="N13" s="593"/>
      <c r="O13" s="593"/>
      <c r="P13" s="593"/>
      <c r="Q13" s="1262" t="s">
        <v>411</v>
      </c>
      <c r="R13" s="1263"/>
      <c r="S13" s="1263"/>
      <c r="T13" s="1263"/>
      <c r="U13" s="1263"/>
      <c r="V13" s="1263"/>
      <c r="W13" s="1263"/>
      <c r="X13" s="1263"/>
      <c r="Y13" s="1249"/>
      <c r="Z13" s="1250"/>
      <c r="AA13" s="1250"/>
      <c r="AB13" s="1250"/>
      <c r="AC13" s="1250"/>
      <c r="AD13" s="1250"/>
      <c r="AE13" s="1250"/>
      <c r="AF13" s="1250"/>
      <c r="AG13" s="1250"/>
      <c r="AH13" s="1250"/>
      <c r="AI13" s="1250"/>
      <c r="AJ13" s="1250"/>
      <c r="AK13" s="1251"/>
      <c r="AL13" s="593"/>
    </row>
    <row r="14" spans="1:38">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row>
    <row r="15" spans="1:38" ht="22.5" customHeight="1">
      <c r="B15" s="601" t="s">
        <v>615</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0"/>
    </row>
    <row r="16" spans="1:38" ht="46.5" customHeight="1">
      <c r="B16" s="1239" t="s">
        <v>614</v>
      </c>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1"/>
      <c r="AL16" s="600"/>
    </row>
    <row r="17" spans="2:38" ht="86.25" customHeight="1">
      <c r="B17" s="1242"/>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4"/>
      <c r="AL17" s="600"/>
    </row>
    <row r="18" spans="2:38">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0"/>
    </row>
    <row r="19" spans="2:38" ht="22.5" customHeight="1">
      <c r="B19" s="601" t="s">
        <v>613</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0"/>
    </row>
    <row r="20" spans="2:38" ht="86.25" customHeight="1">
      <c r="B20" s="1253"/>
      <c r="C20" s="1254"/>
      <c r="D20" s="1254"/>
      <c r="E20" s="1254"/>
      <c r="F20" s="1254"/>
      <c r="G20" s="1254"/>
      <c r="H20" s="1254"/>
      <c r="I20" s="1254"/>
      <c r="J20" s="1254"/>
      <c r="K20" s="1254"/>
      <c r="L20" s="1254"/>
      <c r="M20" s="1254"/>
      <c r="N20" s="1254"/>
      <c r="O20" s="1254"/>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5"/>
      <c r="AL20" s="600"/>
    </row>
    <row r="21" spans="2:38">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0"/>
    </row>
    <row r="22" spans="2:38" ht="22.5" customHeight="1">
      <c r="B22" s="601" t="s">
        <v>612</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0"/>
    </row>
    <row r="23" spans="2:38" ht="86.25" customHeight="1">
      <c r="B23" s="1253"/>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5"/>
      <c r="AL23" s="600"/>
    </row>
    <row r="24" spans="2:38">
      <c r="B24" s="601" t="s">
        <v>391</v>
      </c>
      <c r="C24" s="601" t="s">
        <v>611</v>
      </c>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0"/>
    </row>
    <row r="25" spans="2:38">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0"/>
    </row>
    <row r="26" spans="2:38" ht="22.5" customHeight="1">
      <c r="B26" s="601" t="s">
        <v>610</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0"/>
    </row>
    <row r="27" spans="2:38">
      <c r="B27" s="1256" t="s">
        <v>609</v>
      </c>
      <c r="C27" s="1257"/>
      <c r="D27" s="1257"/>
      <c r="E27" s="1257"/>
      <c r="F27" s="1257"/>
      <c r="G27" s="1257"/>
      <c r="H27" s="1257"/>
      <c r="I27" s="1257"/>
      <c r="J27" s="1257"/>
      <c r="K27" s="1257"/>
      <c r="L27" s="1257"/>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8"/>
      <c r="AL27" s="600"/>
    </row>
    <row r="28" spans="2:38" ht="86.25" customHeight="1">
      <c r="B28" s="1242"/>
      <c r="C28" s="1243"/>
      <c r="D28" s="1243"/>
      <c r="E28" s="1243"/>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4"/>
      <c r="AL28" s="600"/>
    </row>
    <row r="29" spans="2:38" ht="21" customHeight="1">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0"/>
    </row>
    <row r="30" spans="2:38" ht="6" customHeight="1">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0"/>
    </row>
    <row r="37" ht="3.6" customHeight="1"/>
    <row r="38" hidden="1"/>
    <row r="39" hidden="1"/>
  </sheetData>
  <sheetProtection algorithmName="SHA-512" hashValue="k2WKPmI0036JA3J9WDD1zCADRsrvcljjjb//QuCkC3yNwisigfamyqleahZ8K7qRuoJy+4gFm6HrmMfvfWgbYg==" saltValue="Qc8aCIaOrdzx8d+u57hTnA==" spinCount="100000" sheet="1" objects="1" scenarios="1"/>
  <mergeCells count="21">
    <mergeCell ref="B28:AK28"/>
    <mergeCell ref="Q11:X11"/>
    <mergeCell ref="B20:AK20"/>
    <mergeCell ref="B23:AK23"/>
    <mergeCell ref="B27:AK27"/>
    <mergeCell ref="Q12:X12"/>
    <mergeCell ref="Y12:AK12"/>
    <mergeCell ref="Q13:X13"/>
    <mergeCell ref="B3:W3"/>
    <mergeCell ref="X3:Y3"/>
    <mergeCell ref="B16:AK16"/>
    <mergeCell ref="B17:AK17"/>
    <mergeCell ref="Y8:AK8"/>
    <mergeCell ref="Y9:AK9"/>
    <mergeCell ref="Y10:AK10"/>
    <mergeCell ref="Q8:X8"/>
    <mergeCell ref="Q9:X9"/>
    <mergeCell ref="Q10:X10"/>
    <mergeCell ref="Y13:AK13"/>
    <mergeCell ref="Y11:AK11"/>
    <mergeCell ref="F6:L6"/>
  </mergeCells>
  <phoneticPr fontId="4"/>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AA48"/>
  <sheetViews>
    <sheetView showGridLines="0" view="pageBreakPreview" topLeftCell="A7" zoomScale="70" zoomScaleNormal="70" zoomScaleSheetLayoutView="70" workbookViewId="0">
      <selection activeCell="W42" sqref="W42"/>
    </sheetView>
  </sheetViews>
  <sheetFormatPr defaultRowHeight="18.75"/>
  <cols>
    <col min="1" max="1" width="4.625" customWidth="1"/>
    <col min="2" max="2" width="35.375" customWidth="1"/>
    <col min="3" max="3" width="5.625" bestFit="1" customWidth="1"/>
    <col min="4" max="27" width="7.125" customWidth="1"/>
  </cols>
  <sheetData>
    <row r="1" spans="1:27">
      <c r="D1" s="144" t="s">
        <v>134</v>
      </c>
      <c r="E1" s="144" t="str">
        <f>D1</f>
        <v>D</v>
      </c>
      <c r="F1" s="144" t="str">
        <f>E1</f>
        <v>D</v>
      </c>
      <c r="G1" s="144" t="str">
        <f>F1</f>
        <v>D</v>
      </c>
      <c r="H1" s="144" t="s">
        <v>135</v>
      </c>
      <c r="I1" s="144" t="str">
        <f>H1</f>
        <v>C</v>
      </c>
      <c r="J1" s="144" t="str">
        <f>I1</f>
        <v>C</v>
      </c>
      <c r="K1" s="144" t="str">
        <f>J1</f>
        <v>C</v>
      </c>
      <c r="L1" s="144" t="s">
        <v>135</v>
      </c>
      <c r="M1" s="144" t="str">
        <f>L1</f>
        <v>C</v>
      </c>
      <c r="N1" s="144" t="str">
        <f>M1</f>
        <v>C</v>
      </c>
      <c r="O1" s="144" t="str">
        <f>N1</f>
        <v>C</v>
      </c>
      <c r="P1" s="144" t="s">
        <v>36</v>
      </c>
      <c r="Q1" s="144" t="str">
        <f>P1</f>
        <v>B</v>
      </c>
      <c r="R1" s="144" t="str">
        <f>Q1</f>
        <v>B</v>
      </c>
      <c r="S1" s="144" t="str">
        <f>R1</f>
        <v>B</v>
      </c>
      <c r="T1" s="144" t="s">
        <v>136</v>
      </c>
      <c r="U1" s="144" t="str">
        <f>T1</f>
        <v>A</v>
      </c>
      <c r="V1" s="144" t="str">
        <f>U1</f>
        <v>A</v>
      </c>
      <c r="W1" s="144" t="str">
        <f>V1</f>
        <v>A</v>
      </c>
      <c r="X1" s="144" t="s">
        <v>136</v>
      </c>
      <c r="Y1" s="144" t="str">
        <f>X1</f>
        <v>A</v>
      </c>
      <c r="Z1" s="144" t="str">
        <f>Y1</f>
        <v>A</v>
      </c>
      <c r="AA1" s="144" t="str">
        <f>Z1</f>
        <v>A</v>
      </c>
    </row>
    <row r="2" spans="1:27">
      <c r="D2" s="88"/>
      <c r="E2" s="88"/>
      <c r="F2" s="88"/>
      <c r="G2" s="88"/>
      <c r="H2" s="88"/>
      <c r="I2" s="88"/>
      <c r="J2" s="88"/>
      <c r="K2" s="88"/>
      <c r="L2" s="88"/>
      <c r="M2" s="88"/>
      <c r="N2" s="88"/>
      <c r="O2" s="88"/>
      <c r="P2" s="88"/>
      <c r="Q2" s="88"/>
      <c r="R2" s="88"/>
      <c r="S2" s="88"/>
      <c r="T2" s="88"/>
      <c r="U2" s="88"/>
      <c r="V2" s="88"/>
      <c r="W2" s="88"/>
      <c r="X2" s="88"/>
      <c r="Y2" s="88"/>
      <c r="Z2" s="88"/>
      <c r="AA2" s="88"/>
    </row>
    <row r="3" spans="1:27">
      <c r="A3" t="s">
        <v>140</v>
      </c>
      <c r="D3" s="107">
        <v>0</v>
      </c>
      <c r="E3" s="107"/>
      <c r="F3" s="107"/>
      <c r="G3" s="107"/>
      <c r="H3" s="107">
        <v>1</v>
      </c>
      <c r="I3" s="107"/>
      <c r="J3" s="107"/>
      <c r="K3" s="107"/>
      <c r="L3" s="107">
        <v>2</v>
      </c>
      <c r="M3" s="107"/>
      <c r="N3" s="107"/>
      <c r="O3" s="107"/>
      <c r="P3" s="107">
        <v>3</v>
      </c>
      <c r="Q3" s="107"/>
      <c r="R3" s="107"/>
      <c r="S3" s="107"/>
      <c r="T3" s="107">
        <v>4</v>
      </c>
      <c r="U3" s="107"/>
      <c r="V3" s="107"/>
      <c r="W3" s="107"/>
      <c r="X3" s="107">
        <v>5</v>
      </c>
      <c r="Y3" s="107"/>
      <c r="Z3" s="107"/>
      <c r="AA3" s="107"/>
    </row>
    <row r="4" spans="1:27">
      <c r="D4" s="107" t="s">
        <v>107</v>
      </c>
      <c r="E4" s="107"/>
      <c r="F4" s="107" t="s">
        <v>108</v>
      </c>
      <c r="G4" s="107"/>
      <c r="H4" s="107" t="s">
        <v>107</v>
      </c>
      <c r="I4" s="107"/>
      <c r="J4" s="107" t="s">
        <v>108</v>
      </c>
      <c r="K4" s="107"/>
      <c r="L4" s="107" t="s">
        <v>107</v>
      </c>
      <c r="M4" s="107"/>
      <c r="N4" s="107" t="s">
        <v>108</v>
      </c>
      <c r="O4" s="107"/>
      <c r="P4" s="107" t="s">
        <v>107</v>
      </c>
      <c r="Q4" s="107"/>
      <c r="R4" s="107" t="s">
        <v>108</v>
      </c>
      <c r="S4" s="107"/>
      <c r="T4" s="107" t="s">
        <v>107</v>
      </c>
      <c r="U4" s="107"/>
      <c r="V4" s="107" t="s">
        <v>108</v>
      </c>
      <c r="W4" s="107"/>
      <c r="X4" s="107" t="s">
        <v>107</v>
      </c>
      <c r="Y4" s="107"/>
      <c r="Z4" s="107" t="s">
        <v>108</v>
      </c>
      <c r="AA4" s="107"/>
    </row>
    <row r="5" spans="1:27">
      <c r="C5" s="86" t="s">
        <v>192</v>
      </c>
      <c r="D5" s="108" t="s">
        <v>139</v>
      </c>
      <c r="E5" s="126" t="s">
        <v>104</v>
      </c>
      <c r="F5" s="126" t="s">
        <v>139</v>
      </c>
      <c r="G5" s="126" t="s">
        <v>104</v>
      </c>
      <c r="H5" s="108" t="s">
        <v>139</v>
      </c>
      <c r="I5" s="126" t="s">
        <v>104</v>
      </c>
      <c r="J5" s="126" t="s">
        <v>139</v>
      </c>
      <c r="K5" s="126" t="s">
        <v>104</v>
      </c>
      <c r="L5" s="126" t="s">
        <v>139</v>
      </c>
      <c r="M5" s="126" t="s">
        <v>104</v>
      </c>
      <c r="N5" s="126" t="s">
        <v>139</v>
      </c>
      <c r="O5" s="126" t="s">
        <v>104</v>
      </c>
      <c r="P5" s="126" t="s">
        <v>139</v>
      </c>
      <c r="Q5" s="126" t="s">
        <v>104</v>
      </c>
      <c r="R5" s="126" t="s">
        <v>139</v>
      </c>
      <c r="S5" s="126" t="s">
        <v>104</v>
      </c>
      <c r="T5" s="126" t="s">
        <v>139</v>
      </c>
      <c r="U5" s="126" t="s">
        <v>104</v>
      </c>
      <c r="V5" s="108" t="s">
        <v>139</v>
      </c>
      <c r="W5" s="126" t="s">
        <v>104</v>
      </c>
      <c r="X5" s="126" t="s">
        <v>139</v>
      </c>
      <c r="Y5" s="126" t="s">
        <v>104</v>
      </c>
      <c r="Z5" s="126" t="s">
        <v>139</v>
      </c>
      <c r="AA5" s="126" t="s">
        <v>104</v>
      </c>
    </row>
    <row r="6" spans="1:27">
      <c r="A6" s="90"/>
      <c r="B6" s="114" t="s">
        <v>174</v>
      </c>
      <c r="C6" s="109"/>
      <c r="D6" s="125">
        <f>'2_区分12加算額計算表'!$D$12</f>
        <v>0</v>
      </c>
      <c r="E6" s="127">
        <f>'2_区分12加算額計算表'!$E$12</f>
        <v>0</v>
      </c>
      <c r="F6" s="127">
        <f>IF('2_区分12加算額計算表'!$D$5=【リスト】!$B$3,'2_区分12加算額計算表'!$H$12,0)</f>
        <v>0</v>
      </c>
      <c r="G6" s="127">
        <f>IF('2_区分12加算額計算表'!$D$5=【リスト】!$B$3,'2_区分12加算額計算表'!$I$12,0)</f>
        <v>0</v>
      </c>
      <c r="H6" s="125">
        <f>'2_区分12加算額計算表'!$D$13</f>
        <v>0</v>
      </c>
      <c r="I6" s="127">
        <f>'2_区分12加算額計算表'!$E$13</f>
        <v>0</v>
      </c>
      <c r="J6" s="127">
        <f>IF('2_区分12加算額計算表'!$D$5=【リスト】!$B$3,'2_区分12加算額計算表'!$H$13,0)</f>
        <v>0</v>
      </c>
      <c r="K6" s="127">
        <f>IF('2_区分12加算額計算表'!$D$5=【リスト】!$B$3,'2_区分12加算額計算表'!$I$13,0)</f>
        <v>0</v>
      </c>
      <c r="L6" s="127">
        <f>'2_区分12加算額計算表'!$D$14</f>
        <v>0</v>
      </c>
      <c r="M6" s="127">
        <f>'2_区分12加算額計算表'!$E$14</f>
        <v>0</v>
      </c>
      <c r="N6" s="127">
        <f>IF('2_区分12加算額計算表'!$D$5=【リスト】!$B$3,'2_区分12加算額計算表'!$H$14,0)</f>
        <v>0</v>
      </c>
      <c r="O6" s="127">
        <f>IF('2_区分12加算額計算表'!$D$5=【リスト】!$B$3,'2_区分12加算額計算表'!$I$14,0)</f>
        <v>0</v>
      </c>
      <c r="P6" s="127">
        <f>'2_区分12加算額計算表'!$D$15</f>
        <v>0</v>
      </c>
      <c r="Q6" s="127">
        <f>'2_区分12加算額計算表'!$E$15</f>
        <v>0</v>
      </c>
      <c r="R6" s="127">
        <f>IF('2_区分12加算額計算表'!$D$5=【リスト】!$B$3,'2_区分12加算額計算表'!$H$15,0)</f>
        <v>0</v>
      </c>
      <c r="S6" s="127">
        <f>IF('2_区分12加算額計算表'!$D$5=【リスト】!$B$3,'2_区分12加算額計算表'!$I$15,0)</f>
        <v>0</v>
      </c>
      <c r="T6" s="127">
        <f>'2_区分12加算額計算表'!$D$16</f>
        <v>0</v>
      </c>
      <c r="U6" s="127">
        <f>'2_区分12加算額計算表'!$E$16</f>
        <v>0</v>
      </c>
      <c r="V6" s="125">
        <f>IF('2_区分12加算額計算表'!$D$5=【リスト】!$B$3,'2_区分12加算額計算表'!$H$16,0)</f>
        <v>0</v>
      </c>
      <c r="W6" s="127">
        <f>IF('2_区分12加算額計算表'!$D$5=【リスト】!$B$3,'2_区分12加算額計算表'!$I$16,0)</f>
        <v>0</v>
      </c>
      <c r="X6" s="127">
        <f>'2_区分12加算額計算表'!$D$17</f>
        <v>0</v>
      </c>
      <c r="Y6" s="127">
        <f>'2_区分12加算額計算表'!$E$17</f>
        <v>0</v>
      </c>
      <c r="Z6" s="127">
        <f>IF('2_区分12加算額計算表'!$D$5=【リスト】!$B$3,'2_区分12加算額計算表'!$H$17,0)</f>
        <v>0</v>
      </c>
      <c r="AA6" s="127">
        <f>IF('2_区分12加算額計算表'!$D$5=【リスト】!$B$3,'2_区分12加算額計算表'!$I$17,0)</f>
        <v>0</v>
      </c>
    </row>
    <row r="7" spans="1:27">
      <c r="A7" s="140" t="e">
        <f>VLOOKUP('2_区分12加算額計算表'!$D$6,【リスト】!$I$2:$J$23,2,TRUE)</f>
        <v>#N/A</v>
      </c>
      <c r="B7" s="115" t="s">
        <v>141</v>
      </c>
      <c r="C7" s="110"/>
      <c r="D7" s="128" t="e">
        <f>VLOOKUP($A7&amp;D$1,単価[],保育所単価!$G$1,FALSE)*加算率a</f>
        <v>#N/A</v>
      </c>
      <c r="E7" s="130"/>
      <c r="F7" s="130"/>
      <c r="G7" s="130"/>
      <c r="H7" s="128" t="e">
        <f>VLOOKUP($A7&amp;H$1,単価[],保育所単価!$G$1,FALSE)*加算率a</f>
        <v>#N/A</v>
      </c>
      <c r="I7" s="130"/>
      <c r="J7" s="130"/>
      <c r="K7" s="130"/>
      <c r="L7" s="128" t="e">
        <f>VLOOKUP($A7&amp;L$1,単価[],保育所単価!$G$1,FALSE)*加算率a</f>
        <v>#N/A</v>
      </c>
      <c r="M7" s="130"/>
      <c r="N7" s="130"/>
      <c r="O7" s="130"/>
      <c r="P7" s="128" t="e">
        <f>VLOOKUP($A7&amp;P$1,単価[],保育所単価!$G$1,FALSE)*加算率a</f>
        <v>#N/A</v>
      </c>
      <c r="Q7" s="130"/>
      <c r="R7" s="130"/>
      <c r="S7" s="130"/>
      <c r="T7" s="128" t="e">
        <f>VLOOKUP($A7&amp;T$1,単価[],保育所単価!$G$1,FALSE)*加算率a</f>
        <v>#N/A</v>
      </c>
      <c r="U7" s="130"/>
      <c r="V7" s="134"/>
      <c r="W7" s="130"/>
      <c r="X7" s="128" t="e">
        <f>VLOOKUP($A7&amp;X$1,単価[],保育所単価!$G$1,FALSE)*加算率a</f>
        <v>#N/A</v>
      </c>
      <c r="Y7" s="130"/>
      <c r="Z7" s="130"/>
      <c r="AA7" s="130"/>
    </row>
    <row r="8" spans="1:27">
      <c r="A8" s="140" t="e">
        <f>A7</f>
        <v>#N/A</v>
      </c>
      <c r="B8" s="116" t="s">
        <v>142</v>
      </c>
      <c r="C8" s="111"/>
      <c r="D8" s="129"/>
      <c r="E8" s="131" t="e">
        <f>VLOOKUP($A8&amp;E$1,単価[],保育所単価!$I$1,FALSE)*加算率a</f>
        <v>#N/A</v>
      </c>
      <c r="F8" s="132"/>
      <c r="G8" s="132"/>
      <c r="H8" s="129"/>
      <c r="I8" s="131" t="e">
        <f>VLOOKUP($A8&amp;I$1,単価[],保育所単価!$I$1,FALSE)*加算率a</f>
        <v>#N/A</v>
      </c>
      <c r="J8" s="132"/>
      <c r="K8" s="132"/>
      <c r="L8" s="132"/>
      <c r="M8" s="131" t="e">
        <f>VLOOKUP($A8&amp;M$1,単価[],保育所単価!$I$1,FALSE)*加算率a</f>
        <v>#N/A</v>
      </c>
      <c r="N8" s="132"/>
      <c r="O8" s="132"/>
      <c r="P8" s="132"/>
      <c r="Q8" s="131" t="e">
        <f>VLOOKUP($A8&amp;Q$1,単価[],保育所単価!$I$1,FALSE)*加算率a</f>
        <v>#N/A</v>
      </c>
      <c r="R8" s="132"/>
      <c r="S8" s="132"/>
      <c r="T8" s="132"/>
      <c r="U8" s="131" t="e">
        <f>VLOOKUP($A8&amp;U$1,単価[],保育所単価!$I$1,FALSE)*加算率a</f>
        <v>#N/A</v>
      </c>
      <c r="V8" s="129"/>
      <c r="W8" s="132"/>
      <c r="X8" s="132"/>
      <c r="Y8" s="131" t="e">
        <f>VLOOKUP($A8&amp;Y$1,単価[],保育所単価!$I$1,FALSE)*加算率a</f>
        <v>#N/A</v>
      </c>
      <c r="Z8" s="132"/>
      <c r="AA8" s="132"/>
    </row>
    <row r="9" spans="1:27">
      <c r="A9" s="140">
        <f>IF('2_区分12加算額計算表'!$D$5=【リスト】!$B$3,VLOOKUP('2_区分12加算額計算表'!$D$7,【リスト】!$I$2:$J$23,2,TRUE),0)</f>
        <v>0</v>
      </c>
      <c r="B9" s="116" t="s">
        <v>143</v>
      </c>
      <c r="C9" s="111"/>
      <c r="D9" s="129"/>
      <c r="E9" s="132"/>
      <c r="F9" s="131" t="e">
        <f>VLOOKUP($A9&amp;F$1,単価[],保育所単価!$G$1,FALSE)*加算率a</f>
        <v>#N/A</v>
      </c>
      <c r="G9" s="132"/>
      <c r="H9" s="129"/>
      <c r="I9" s="132"/>
      <c r="J9" s="131" t="e">
        <f>VLOOKUP($A9&amp;J$1,単価[],保育所単価!$G$1,FALSE)*加算率a</f>
        <v>#N/A</v>
      </c>
      <c r="K9" s="132"/>
      <c r="L9" s="132"/>
      <c r="M9" s="132"/>
      <c r="N9" s="131" t="e">
        <f>VLOOKUP($A9&amp;N$1,単価[],保育所単価!$G$1,FALSE)*加算率a</f>
        <v>#N/A</v>
      </c>
      <c r="O9" s="132"/>
      <c r="P9" s="132"/>
      <c r="Q9" s="132"/>
      <c r="R9" s="131" t="e">
        <f>VLOOKUP($A9&amp;R$1,単価[],保育所単価!$G$1,FALSE)*加算率a</f>
        <v>#N/A</v>
      </c>
      <c r="S9" s="132"/>
      <c r="T9" s="132"/>
      <c r="U9" s="132"/>
      <c r="V9" s="131" t="e">
        <f>VLOOKUP($A9&amp;V$1,単価[],保育所単価!$G$1,FALSE)*加算率a</f>
        <v>#N/A</v>
      </c>
      <c r="W9" s="132"/>
      <c r="X9" s="132"/>
      <c r="Y9" s="132"/>
      <c r="Z9" s="131" t="e">
        <f>VLOOKUP($A9&amp;Z$1,単価[],保育所単価!$G$1,FALSE)*加算率a</f>
        <v>#N/A</v>
      </c>
      <c r="AA9" s="132"/>
    </row>
    <row r="10" spans="1:27">
      <c r="A10" s="140">
        <f>A9</f>
        <v>0</v>
      </c>
      <c r="B10" s="116" t="s">
        <v>144</v>
      </c>
      <c r="C10" s="111"/>
      <c r="D10" s="129"/>
      <c r="E10" s="132"/>
      <c r="F10" s="132"/>
      <c r="G10" s="131" t="e">
        <f>VLOOKUP($A10&amp;G$1,単価[],保育所単価!$I$1,FALSE)*加算率a</f>
        <v>#N/A</v>
      </c>
      <c r="H10" s="129"/>
      <c r="I10" s="132"/>
      <c r="J10" s="132"/>
      <c r="K10" s="131" t="e">
        <f>VLOOKUP($A10&amp;K$1,単価[],保育所単価!$I$1,FALSE)*加算率a</f>
        <v>#N/A</v>
      </c>
      <c r="L10" s="132"/>
      <c r="M10" s="132"/>
      <c r="N10" s="132"/>
      <c r="O10" s="131" t="e">
        <f>VLOOKUP($A10&amp;O$1,単価[],保育所単価!$I$1,FALSE)*加算率a</f>
        <v>#N/A</v>
      </c>
      <c r="P10" s="132"/>
      <c r="Q10" s="132"/>
      <c r="R10" s="132"/>
      <c r="S10" s="131" t="e">
        <f>VLOOKUP($A10&amp;S$1,単価[],保育所単価!$I$1,FALSE)*加算率a</f>
        <v>#N/A</v>
      </c>
      <c r="T10" s="132"/>
      <c r="U10" s="132"/>
      <c r="V10" s="129"/>
      <c r="W10" s="131" t="e">
        <f>VLOOKUP($A10&amp;W$1,単価[],保育所単価!$I$1,FALSE)*加算率a</f>
        <v>#N/A</v>
      </c>
      <c r="X10" s="132"/>
      <c r="Y10" s="132"/>
      <c r="Z10" s="132"/>
      <c r="AA10" s="131" t="e">
        <f>VLOOKUP($A10&amp;AA$1,単価[],保育所単価!$I$1,FALSE)*加算率a</f>
        <v>#N/A</v>
      </c>
    </row>
    <row r="11" spans="1:27">
      <c r="A11" s="140" t="e">
        <f>VLOOKUP('2_区分12加算額計算表'!$D$8,【リスト】!$I$2:$J$23,2,TRUE)</f>
        <v>#N/A</v>
      </c>
      <c r="B11" s="116" t="s">
        <v>145</v>
      </c>
      <c r="C11" s="111">
        <f>IF('2_区分12加算額計算表'!$F$22&lt;&gt;"",1,0)</f>
        <v>0</v>
      </c>
      <c r="D11" s="129"/>
      <c r="E11" s="132"/>
      <c r="F11" s="132"/>
      <c r="G11" s="132"/>
      <c r="H11" s="129"/>
      <c r="I11" s="132"/>
      <c r="J11" s="132"/>
      <c r="K11" s="132"/>
      <c r="L11" s="132"/>
      <c r="M11" s="132"/>
      <c r="N11" s="132"/>
      <c r="O11" s="132"/>
      <c r="P11" s="131" t="e">
        <f>VLOOKUP($A11&amp;P$1,単価[],保育所単価!$K$1,FALSE)*加算率a*$C11</f>
        <v>#N/A</v>
      </c>
      <c r="Q11" s="131" t="e">
        <f>VLOOKUP($A11&amp;Q$1,単価[],保育所単価!$K$1,FALSE)*加算率a*$C11</f>
        <v>#N/A</v>
      </c>
      <c r="R11" s="131" t="e">
        <f>VLOOKUP($A11&amp;R$1,単価[],保育所単価!$K$1,FALSE)*加算率a*$C11</f>
        <v>#N/A</v>
      </c>
      <c r="S11" s="131" t="e">
        <f>VLOOKUP($A11&amp;S$1,単価[],保育所単価!$K$1,FALSE)*加算率a*$C11</f>
        <v>#N/A</v>
      </c>
      <c r="T11" s="132"/>
      <c r="U11" s="132"/>
      <c r="V11" s="129"/>
      <c r="W11" s="132"/>
      <c r="X11" s="132"/>
      <c r="Y11" s="132"/>
      <c r="Z11" s="132"/>
      <c r="AA11" s="132"/>
    </row>
    <row r="12" spans="1:27">
      <c r="A12" s="140" t="e">
        <f>A11</f>
        <v>#N/A</v>
      </c>
      <c r="B12" s="116" t="s">
        <v>147</v>
      </c>
      <c r="C12" s="111">
        <f>IF('2_区分12加算額計算表'!$F$23&lt;&gt;"",1,0)</f>
        <v>0</v>
      </c>
      <c r="D12" s="129"/>
      <c r="E12" s="132"/>
      <c r="F12" s="132"/>
      <c r="G12" s="132"/>
      <c r="H12" s="129"/>
      <c r="I12" s="132"/>
      <c r="J12" s="132"/>
      <c r="K12" s="132"/>
      <c r="L12" s="132"/>
      <c r="M12" s="132"/>
      <c r="N12" s="132"/>
      <c r="O12" s="132"/>
      <c r="P12" s="132"/>
      <c r="Q12" s="132"/>
      <c r="R12" s="132"/>
      <c r="S12" s="132"/>
      <c r="T12" s="131" t="e">
        <f>VLOOKUP($A12&amp;T$1,単価[],保育所単価!$M$1,FALSE)*加算率a*$C12</f>
        <v>#N/A</v>
      </c>
      <c r="U12" s="131" t="e">
        <f>VLOOKUP($A12&amp;U$1,単価[],保育所単価!$M$1,FALSE)*加算率a*$C12</f>
        <v>#N/A</v>
      </c>
      <c r="V12" s="131" t="e">
        <f>VLOOKUP($A12&amp;V$1,単価[],保育所単価!$M$1,FALSE)*加算率a*$C12</f>
        <v>#N/A</v>
      </c>
      <c r="W12" s="131" t="e">
        <f>VLOOKUP($A12&amp;W$1,単価[],保育所単価!$M$1,FALSE)*加算率a*$C12</f>
        <v>#N/A</v>
      </c>
      <c r="X12" s="131" t="e">
        <f>VLOOKUP($A12&amp;X$1,単価[],保育所単価!$M$1,FALSE)*加算率a*$C12</f>
        <v>#N/A</v>
      </c>
      <c r="Y12" s="131" t="e">
        <f>VLOOKUP($A12&amp;Y$1,単価[],保育所単価!$M$1,FALSE)*加算率a*$C12</f>
        <v>#N/A</v>
      </c>
      <c r="Z12" s="131" t="e">
        <f>VLOOKUP($A12&amp;Z$1,単価[],保育所単価!$M$1,FALSE)*加算率a*$C12</f>
        <v>#N/A</v>
      </c>
      <c r="AA12" s="131" t="e">
        <f>VLOOKUP($A12&amp;AA$1,単価[],保育所単価!$M$1,FALSE)*加算率a*$C12</f>
        <v>#N/A</v>
      </c>
    </row>
    <row r="13" spans="1:27">
      <c r="A13" s="140" t="e">
        <f>A12</f>
        <v>#N/A</v>
      </c>
      <c r="B13" s="116" t="s">
        <v>146</v>
      </c>
      <c r="C13" s="111">
        <f>IF('2_区分12加算額計算表'!$F$24&lt;&gt;"",1,0)</f>
        <v>0</v>
      </c>
      <c r="D13" s="129"/>
      <c r="E13" s="132"/>
      <c r="F13" s="132"/>
      <c r="G13" s="132"/>
      <c r="H13" s="131" t="e">
        <f>VLOOKUP($A13&amp;H$1,単価[],保育所単価!$O$1,FALSE)*加算率a*$C13</f>
        <v>#N/A</v>
      </c>
      <c r="I13" s="131" t="e">
        <f>VLOOKUP($A13&amp;I$1,単価[],保育所単価!$O$1,FALSE)*加算率a*$C13</f>
        <v>#N/A</v>
      </c>
      <c r="J13" s="131" t="e">
        <f>VLOOKUP($A13&amp;J$1,単価[],保育所単価!$O$1,FALSE)*加算率a*$C13</f>
        <v>#N/A</v>
      </c>
      <c r="K13" s="131" t="e">
        <f>VLOOKUP($A13&amp;K$1,単価[],保育所単価!$O$1,FALSE)*加算率a*$C13</f>
        <v>#N/A</v>
      </c>
      <c r="L13" s="132"/>
      <c r="M13" s="132"/>
      <c r="N13" s="132"/>
      <c r="O13" s="132"/>
      <c r="P13" s="132"/>
      <c r="Q13" s="132"/>
      <c r="R13" s="132"/>
      <c r="S13" s="132"/>
      <c r="T13" s="132"/>
      <c r="U13" s="132"/>
      <c r="V13" s="129"/>
      <c r="W13" s="132"/>
      <c r="X13" s="132"/>
      <c r="Y13" s="132"/>
      <c r="Z13" s="132"/>
      <c r="AA13" s="132"/>
    </row>
    <row r="14" spans="1:27">
      <c r="A14" s="140">
        <f>VLOOKUP(IF('2_区分12加算額計算表'!$F$25=【リスト】!$C$2,'2_区分12加算額計算表'!$I$25,"対象外"),休日保育[],保育所単価!$AC$1,FALSE)</f>
        <v>1</v>
      </c>
      <c r="B14" s="116" t="s">
        <v>163</v>
      </c>
      <c r="C14" s="111">
        <f>IF('2_区分12加算額計算表'!$F$25&lt;&gt;"",1,0)</f>
        <v>0</v>
      </c>
      <c r="D14" s="131" t="e">
        <f>ROUNDDOWN(VLOOKUP($A14,保育所単価!$AC$8:$AE$22,2,FALSE)*加算率a/'2_区分12加算額計算表'!$D$19,-1)*$C14</f>
        <v>#N/A</v>
      </c>
      <c r="E14" s="131" t="e">
        <f>ROUNDDOWN(VLOOKUP($A14,保育所単価!$AC$8:$AE$22,2,FALSE)*加算率a/'2_区分12加算額計算表'!$D$19,-1)*$C14</f>
        <v>#N/A</v>
      </c>
      <c r="F14" s="131" t="e">
        <f>ROUNDDOWN(VLOOKUP($A14,保育所単価!$AC$8:$AE$22,2,FALSE)*加算率a/'2_区分12加算額計算表'!$D$19,-1)*$C14</f>
        <v>#N/A</v>
      </c>
      <c r="G14" s="131" t="e">
        <f>ROUNDDOWN(VLOOKUP($A14,保育所単価!$AC$8:$AE$22,2,FALSE)*加算率a/'2_区分12加算額計算表'!$D$19,-1)*$C14</f>
        <v>#N/A</v>
      </c>
      <c r="H14" s="131" t="e">
        <f>ROUNDDOWN(VLOOKUP($A14,保育所単価!$AC$8:$AE$22,2,FALSE)*加算率a/'2_区分12加算額計算表'!$D$19,-1)*$C14</f>
        <v>#N/A</v>
      </c>
      <c r="I14" s="131" t="e">
        <f>ROUNDDOWN(VLOOKUP($A14,保育所単価!$AC$8:$AE$22,2,FALSE)*加算率a/'2_区分12加算額計算表'!$D$19,-1)*$C14</f>
        <v>#N/A</v>
      </c>
      <c r="J14" s="131" t="e">
        <f>ROUNDDOWN(VLOOKUP($A14,保育所単価!$AC$8:$AE$22,2,FALSE)*加算率a/'2_区分12加算額計算表'!$D$19,-1)*$C14</f>
        <v>#N/A</v>
      </c>
      <c r="K14" s="131" t="e">
        <f>ROUNDDOWN(VLOOKUP($A14,保育所単価!$AC$8:$AE$22,2,FALSE)*加算率a/'2_区分12加算額計算表'!$D$19,-1)*$C14</f>
        <v>#N/A</v>
      </c>
      <c r="L14" s="131" t="e">
        <f>ROUNDDOWN(VLOOKUP($A14,保育所単価!$AC$8:$AE$22,2,FALSE)*加算率a/'2_区分12加算額計算表'!$D$19,-1)*$C14</f>
        <v>#N/A</v>
      </c>
      <c r="M14" s="131" t="e">
        <f>ROUNDDOWN(VLOOKUP($A14,保育所単価!$AC$8:$AE$22,2,FALSE)*加算率a/'2_区分12加算額計算表'!$D$19,-1)*$C14</f>
        <v>#N/A</v>
      </c>
      <c r="N14" s="131" t="e">
        <f>ROUNDDOWN(VLOOKUP($A14,保育所単価!$AC$8:$AE$22,2,FALSE)*加算率a/'2_区分12加算額計算表'!$D$19,-1)*$C14</f>
        <v>#N/A</v>
      </c>
      <c r="O14" s="131" t="e">
        <f>ROUNDDOWN(VLOOKUP($A14,保育所単価!$AC$8:$AE$22,2,FALSE)*加算率a/'2_区分12加算額計算表'!$D$19,-1)*$C14</f>
        <v>#N/A</v>
      </c>
      <c r="P14" s="131" t="e">
        <f>ROUNDDOWN(VLOOKUP($A14,保育所単価!$AC$8:$AE$22,2,FALSE)*加算率a/'2_区分12加算額計算表'!$D$19,-1)*$C14</f>
        <v>#N/A</v>
      </c>
      <c r="Q14" s="131" t="e">
        <f>ROUNDDOWN(VLOOKUP($A14,保育所単価!$AC$8:$AE$22,2,FALSE)*加算率a/'2_区分12加算額計算表'!$D$19,-1)*$C14</f>
        <v>#N/A</v>
      </c>
      <c r="R14" s="131" t="e">
        <f>ROUNDDOWN(VLOOKUP($A14,保育所単価!$AC$8:$AE$22,2,FALSE)*加算率a/'2_区分12加算額計算表'!$D$19,-1)*$C14</f>
        <v>#N/A</v>
      </c>
      <c r="S14" s="131" t="e">
        <f>ROUNDDOWN(VLOOKUP($A14,保育所単価!$AC$8:$AE$22,2,FALSE)*加算率a/'2_区分12加算額計算表'!$D$19,-1)*$C14</f>
        <v>#N/A</v>
      </c>
      <c r="T14" s="131" t="e">
        <f>ROUNDDOWN(VLOOKUP($A14,保育所単価!$AC$8:$AE$22,2,FALSE)*加算率a/'2_区分12加算額計算表'!$D$19,-1)*$C14</f>
        <v>#N/A</v>
      </c>
      <c r="U14" s="131" t="e">
        <f>ROUNDDOWN(VLOOKUP($A14,保育所単価!$AC$8:$AE$22,2,FALSE)*加算率a/'2_区分12加算額計算表'!$D$19,-1)*$C14</f>
        <v>#N/A</v>
      </c>
      <c r="V14" s="131" t="e">
        <f>ROUNDDOWN(VLOOKUP($A14,保育所単価!$AC$8:$AE$22,2,FALSE)*加算率a/'2_区分12加算額計算表'!$D$19,-1)*$C14</f>
        <v>#N/A</v>
      </c>
      <c r="W14" s="131" t="e">
        <f>ROUNDDOWN(VLOOKUP($A14,保育所単価!$AC$8:$AE$22,2,FALSE)*加算率a/'2_区分12加算額計算表'!$D$19,-1)*$C14</f>
        <v>#N/A</v>
      </c>
      <c r="X14" s="131" t="e">
        <f>ROUNDDOWN(VLOOKUP($A14,保育所単価!$AC$8:$AE$22,2,FALSE)*加算率a/'2_区分12加算額計算表'!$D$19,-1)*$C14</f>
        <v>#N/A</v>
      </c>
      <c r="Y14" s="131" t="e">
        <f>ROUNDDOWN(VLOOKUP($A14,保育所単価!$AC$8:$AE$22,2,FALSE)*加算率a/'2_区分12加算額計算表'!$D$19,-1)*$C14</f>
        <v>#N/A</v>
      </c>
      <c r="Z14" s="131" t="e">
        <f>ROUNDDOWN(VLOOKUP($A14,保育所単価!$AC$8:$AE$22,2,FALSE)*加算率a/'2_区分12加算額計算表'!$D$19,-1)*$C14</f>
        <v>#N/A</v>
      </c>
      <c r="AA14" s="131" t="e">
        <f>ROUNDDOWN(VLOOKUP($A14,保育所単価!$AC$8:$AE$22,2,FALSE)*加算率a/'2_区分12加算額計算表'!$D$19,-1)*$C14</f>
        <v>#N/A</v>
      </c>
    </row>
    <row r="15" spans="1:27">
      <c r="A15" s="140" t="e">
        <f>A13</f>
        <v>#N/A</v>
      </c>
      <c r="B15" s="116" t="s">
        <v>165</v>
      </c>
      <c r="C15" s="111">
        <f>IF('2_区分12加算額計算表'!$F$26&lt;&gt;"",1,0)</f>
        <v>0</v>
      </c>
      <c r="D15" s="131" t="e">
        <f>VLOOKUP($A15&amp;D$1,単価[],保育所単価!$Q$1,FALSE)*加算率a*$C15</f>
        <v>#N/A</v>
      </c>
      <c r="E15" s="131" t="e">
        <f>VLOOKUP($A15&amp;E$1,単価[],保育所単価!$Q$1,FALSE)*加算率a*$C15</f>
        <v>#N/A</v>
      </c>
      <c r="F15" s="131" t="e">
        <f>VLOOKUP($A15&amp;F$1,単価[],保育所単価!$Q$1,FALSE)*加算率a*$C15</f>
        <v>#N/A</v>
      </c>
      <c r="G15" s="131" t="e">
        <f>VLOOKUP($A15&amp;G$1,単価[],保育所単価!$Q$1,FALSE)*加算率a*$C15</f>
        <v>#N/A</v>
      </c>
      <c r="H15" s="131" t="e">
        <f>VLOOKUP($A15&amp;H$1,単価[],保育所単価!$Q$1,FALSE)*加算率a*$C15</f>
        <v>#N/A</v>
      </c>
      <c r="I15" s="131" t="e">
        <f>VLOOKUP($A15&amp;I$1,単価[],保育所単価!$Q$1,FALSE)*加算率a*$C15</f>
        <v>#N/A</v>
      </c>
      <c r="J15" s="131" t="e">
        <f>VLOOKUP($A15&amp;J$1,単価[],保育所単価!$Q$1,FALSE)*加算率a*$C15</f>
        <v>#N/A</v>
      </c>
      <c r="K15" s="131" t="e">
        <f>VLOOKUP($A15&amp;K$1,単価[],保育所単価!$Q$1,FALSE)*加算率a*$C15</f>
        <v>#N/A</v>
      </c>
      <c r="L15" s="131" t="e">
        <f>VLOOKUP($A15&amp;L$1,単価[],保育所単価!$Q$1,FALSE)*加算率a*$C15</f>
        <v>#N/A</v>
      </c>
      <c r="M15" s="131" t="e">
        <f>VLOOKUP($A15&amp;M$1,単価[],保育所単価!$Q$1,FALSE)*加算率a*$C15</f>
        <v>#N/A</v>
      </c>
      <c r="N15" s="131" t="e">
        <f>VLOOKUP($A15&amp;N$1,単価[],保育所単価!$Q$1,FALSE)*加算率a*$C15</f>
        <v>#N/A</v>
      </c>
      <c r="O15" s="131" t="e">
        <f>VLOOKUP($A15&amp;O$1,単価[],保育所単価!$Q$1,FALSE)*加算率a*$C15</f>
        <v>#N/A</v>
      </c>
      <c r="P15" s="131" t="e">
        <f>VLOOKUP($A15&amp;P$1,単価[],保育所単価!$Q$1,FALSE)*加算率a*$C15</f>
        <v>#N/A</v>
      </c>
      <c r="Q15" s="131" t="e">
        <f>VLOOKUP($A15&amp;Q$1,単価[],保育所単価!$Q$1,FALSE)*加算率a*$C15</f>
        <v>#N/A</v>
      </c>
      <c r="R15" s="131" t="e">
        <f>VLOOKUP($A15&amp;R$1,単価[],保育所単価!$Q$1,FALSE)*加算率a*$C15</f>
        <v>#N/A</v>
      </c>
      <c r="S15" s="131" t="e">
        <f>VLOOKUP($A15&amp;S$1,単価[],保育所単価!$Q$1,FALSE)*加算率a*$C15</f>
        <v>#N/A</v>
      </c>
      <c r="T15" s="131" t="e">
        <f>VLOOKUP($A15&amp;T$1,単価[],保育所単価!$Q$1,FALSE)*加算率a*$C15</f>
        <v>#N/A</v>
      </c>
      <c r="U15" s="131" t="e">
        <f>VLOOKUP($A15&amp;U$1,単価[],保育所単価!$Q$1,FALSE)*加算率a*$C15</f>
        <v>#N/A</v>
      </c>
      <c r="V15" s="131" t="e">
        <f>VLOOKUP($A15&amp;V$1,単価[],保育所単価!$Q$1,FALSE)*加算率a*$C15</f>
        <v>#N/A</v>
      </c>
      <c r="W15" s="131" t="e">
        <f>VLOOKUP($A15&amp;W$1,単価[],保育所単価!$Q$1,FALSE)*加算率a*$C15</f>
        <v>#N/A</v>
      </c>
      <c r="X15" s="131" t="e">
        <f>VLOOKUP($A15&amp;X$1,単価[],保育所単価!$Q$1,FALSE)*加算率a*$C15</f>
        <v>#N/A</v>
      </c>
      <c r="Y15" s="131" t="e">
        <f>VLOOKUP($A15&amp;Y$1,単価[],保育所単価!$Q$1,FALSE)*加算率a*$C15</f>
        <v>#N/A</v>
      </c>
      <c r="Z15" s="131" t="e">
        <f>VLOOKUP($A15&amp;Z$1,単価[],保育所単価!$Q$1,FALSE)*加算率a*$C15</f>
        <v>#N/A</v>
      </c>
      <c r="AA15" s="131" t="e">
        <f>VLOOKUP($A15&amp;AA$1,単価[],保育所単価!$Q$1,FALSE)*加算率a*$C15</f>
        <v>#N/A</v>
      </c>
    </row>
    <row r="16" spans="1:27">
      <c r="A16" s="140" t="e">
        <f>A15</f>
        <v>#N/A</v>
      </c>
      <c r="B16" s="116" t="s">
        <v>166</v>
      </c>
      <c r="C16" s="111">
        <f>IF('2_区分12加算額計算表'!$F$27&lt;&gt;"",'2_区分12加算額計算表'!$I$27,0)</f>
        <v>0</v>
      </c>
      <c r="D16" s="131" t="e">
        <f>VLOOKUP($A16&amp;D$1,単価[],保育所単価!$S$1,FALSE)*加算率a*$C16</f>
        <v>#N/A</v>
      </c>
      <c r="E16" s="131" t="e">
        <f>VLOOKUP($A16&amp;E$1,単価[],保育所単価!$S$1,FALSE)*加算率a*$C16</f>
        <v>#N/A</v>
      </c>
      <c r="F16" s="131" t="e">
        <f>VLOOKUP($A16&amp;F$1,単価[],保育所単価!$S$1,FALSE)*加算率a*$C16</f>
        <v>#N/A</v>
      </c>
      <c r="G16" s="131" t="e">
        <f>VLOOKUP($A16&amp;G$1,単価[],保育所単価!$S$1,FALSE)*加算率a*$C16</f>
        <v>#N/A</v>
      </c>
      <c r="H16" s="131" t="e">
        <f>VLOOKUP($A16&amp;H$1,単価[],保育所単価!$S$1,FALSE)*加算率a*$C16</f>
        <v>#N/A</v>
      </c>
      <c r="I16" s="131" t="e">
        <f>VLOOKUP($A16&amp;I$1,単価[],保育所単価!$S$1,FALSE)*加算率a*$C16</f>
        <v>#N/A</v>
      </c>
      <c r="J16" s="131" t="e">
        <f>VLOOKUP($A16&amp;J$1,単価[],保育所単価!$S$1,FALSE)*加算率a*$C16</f>
        <v>#N/A</v>
      </c>
      <c r="K16" s="131" t="e">
        <f>VLOOKUP($A16&amp;K$1,単価[],保育所単価!$S$1,FALSE)*加算率a*$C16</f>
        <v>#N/A</v>
      </c>
      <c r="L16" s="131" t="e">
        <f>VLOOKUP($A16&amp;L$1,単価[],保育所単価!$S$1,FALSE)*加算率a*$C16</f>
        <v>#N/A</v>
      </c>
      <c r="M16" s="131" t="e">
        <f>VLOOKUP($A16&amp;M$1,単価[],保育所単価!$S$1,FALSE)*加算率a*$C16</f>
        <v>#N/A</v>
      </c>
      <c r="N16" s="131" t="e">
        <f>VLOOKUP($A16&amp;N$1,単価[],保育所単価!$S$1,FALSE)*加算率a*$C16</f>
        <v>#N/A</v>
      </c>
      <c r="O16" s="131" t="e">
        <f>VLOOKUP($A16&amp;O$1,単価[],保育所単価!$S$1,FALSE)*加算率a*$C16</f>
        <v>#N/A</v>
      </c>
      <c r="P16" s="131" t="e">
        <f>VLOOKUP($A16&amp;P$1,単価[],保育所単価!$S$1,FALSE)*加算率a*$C16</f>
        <v>#N/A</v>
      </c>
      <c r="Q16" s="131" t="e">
        <f>VLOOKUP($A16&amp;Q$1,単価[],保育所単価!$S$1,FALSE)*加算率a*$C16</f>
        <v>#N/A</v>
      </c>
      <c r="R16" s="131" t="e">
        <f>VLOOKUP($A16&amp;R$1,単価[],保育所単価!$S$1,FALSE)*加算率a*$C16</f>
        <v>#N/A</v>
      </c>
      <c r="S16" s="131" t="e">
        <f>VLOOKUP($A16&amp;S$1,単価[],保育所単価!$S$1,FALSE)*加算率a*$C16</f>
        <v>#N/A</v>
      </c>
      <c r="T16" s="131" t="e">
        <f>VLOOKUP($A16&amp;T$1,単価[],保育所単価!$S$1,FALSE)*加算率a*$C16</f>
        <v>#N/A</v>
      </c>
      <c r="U16" s="131" t="e">
        <f>VLOOKUP($A16&amp;U$1,単価[],保育所単価!$S$1,FALSE)*加算率a*$C16</f>
        <v>#N/A</v>
      </c>
      <c r="V16" s="131" t="e">
        <f>VLOOKUP($A16&amp;V$1,単価[],保育所単価!$S$1,FALSE)*加算率a*$C16</f>
        <v>#N/A</v>
      </c>
      <c r="W16" s="131" t="e">
        <f>VLOOKUP($A16&amp;W$1,単価[],保育所単価!$S$1,FALSE)*加算率a*$C16</f>
        <v>#N/A</v>
      </c>
      <c r="X16" s="131" t="e">
        <f>VLOOKUP($A16&amp;X$1,単価[],保育所単価!$S$1,FALSE)*加算率a*$C16</f>
        <v>#N/A</v>
      </c>
      <c r="Y16" s="131" t="e">
        <f>VLOOKUP($A16&amp;Y$1,単価[],保育所単価!$S$1,FALSE)*加算率a*$C16</f>
        <v>#N/A</v>
      </c>
      <c r="Z16" s="131" t="e">
        <f>VLOOKUP($A16&amp;Z$1,単価[],保育所単価!$S$1,FALSE)*加算率a*$C16</f>
        <v>#N/A</v>
      </c>
      <c r="AA16" s="131" t="e">
        <f>VLOOKUP($A16&amp;AA$1,単価[],保育所単価!$S$1,FALSE)*加算率a*$C16</f>
        <v>#N/A</v>
      </c>
    </row>
    <row r="17" spans="1:27">
      <c r="A17" s="140"/>
      <c r="B17" s="116" t="s">
        <v>167</v>
      </c>
      <c r="C17" s="111"/>
      <c r="D17" s="129"/>
      <c r="E17" s="132"/>
      <c r="F17" s="131" t="e">
        <f>ROUNDDOWN(SUM(F9:F10)/10,-1)*-1</f>
        <v>#N/A</v>
      </c>
      <c r="G17" s="131" t="e">
        <f>ROUNDDOWN(SUM(G9:G10)/10,-1)*-1</f>
        <v>#N/A</v>
      </c>
      <c r="H17" s="129"/>
      <c r="I17" s="132"/>
      <c r="J17" s="131" t="e">
        <f>ROUNDDOWN(SUM(J9:J10)/10,-1)*-1</f>
        <v>#N/A</v>
      </c>
      <c r="K17" s="131" t="e">
        <f>ROUNDDOWN(SUM(K9:K10)/10,-1)*-1</f>
        <v>#N/A</v>
      </c>
      <c r="L17" s="132"/>
      <c r="M17" s="132"/>
      <c r="N17" s="131" t="e">
        <f>ROUNDDOWN(SUM(N9:N10)/10,-1)*-1</f>
        <v>#N/A</v>
      </c>
      <c r="O17" s="131" t="e">
        <f>ROUNDDOWN(SUM(O9:O10)/10,-1)*-1</f>
        <v>#N/A</v>
      </c>
      <c r="P17" s="132"/>
      <c r="Q17" s="132"/>
      <c r="R17" s="131" t="e">
        <f>ROUNDDOWN(SUM(R9:R10)/10,-1)*-1</f>
        <v>#N/A</v>
      </c>
      <c r="S17" s="131" t="e">
        <f>ROUNDDOWN(SUM(S9:S10)/10,-1)*-1</f>
        <v>#N/A</v>
      </c>
      <c r="T17" s="132"/>
      <c r="U17" s="132"/>
      <c r="V17" s="135" t="e">
        <f>ROUNDDOWN(SUM(V9:V10)/10,-1)*-1</f>
        <v>#N/A</v>
      </c>
      <c r="W17" s="131" t="e">
        <f>ROUNDDOWN(SUM(W9:W10)/10,-1)*-1</f>
        <v>#N/A</v>
      </c>
      <c r="X17" s="132"/>
      <c r="Y17" s="132"/>
      <c r="Z17" s="131" t="e">
        <f>ROUNDDOWN(SUM(Z9:Z10)/10,-1)*-1</f>
        <v>#N/A</v>
      </c>
      <c r="AA17" s="131" t="e">
        <f>ROUNDDOWN(SUM(AA9:AA10)/10,-1)*-1</f>
        <v>#N/A</v>
      </c>
    </row>
    <row r="18" spans="1:27">
      <c r="A18" s="140" t="e">
        <f>A8</f>
        <v>#N/A</v>
      </c>
      <c r="B18" s="116" t="s">
        <v>194</v>
      </c>
      <c r="C18" s="111">
        <f>IF('2_区分12加算額計算表'!$F$28&lt;&gt;"",1,0)</f>
        <v>0</v>
      </c>
      <c r="D18" s="131" t="e">
        <f>VLOOKUP($A18&amp;D$1,単価[],保育所単価!$U$1,FALSE)*加算率a*-1*$C18</f>
        <v>#N/A</v>
      </c>
      <c r="E18" s="131" t="e">
        <f>VLOOKUP($A18&amp;E$1,単価[],保育所単価!$U$1,FALSE)*加算率a*-1*$C18</f>
        <v>#N/A</v>
      </c>
      <c r="F18" s="129"/>
      <c r="G18" s="129"/>
      <c r="H18" s="131" t="e">
        <f>VLOOKUP($A18&amp;H$1,単価[],保育所単価!$U$1,FALSE)*加算率a*-1*$C18</f>
        <v>#N/A</v>
      </c>
      <c r="I18" s="131" t="e">
        <f>VLOOKUP($A18&amp;I$1,単価[],保育所単価!$U$1,FALSE)*加算率a*-1*$C18</f>
        <v>#N/A</v>
      </c>
      <c r="J18" s="129"/>
      <c r="K18" s="129"/>
      <c r="L18" s="131" t="e">
        <f>VLOOKUP($A18&amp;L$1,単価[],保育所単価!$U$1,FALSE)*加算率a*-1*$C18</f>
        <v>#N/A</v>
      </c>
      <c r="M18" s="131" t="e">
        <f>VLOOKUP($A18&amp;M$1,単価[],保育所単価!$U$1,FALSE)*加算率a*-1*$C18</f>
        <v>#N/A</v>
      </c>
      <c r="N18" s="129"/>
      <c r="O18" s="129"/>
      <c r="P18" s="131" t="e">
        <f>VLOOKUP($A18&amp;P$1,単価[],保育所単価!$U$1,FALSE)*加算率a*-1*$C18</f>
        <v>#N/A</v>
      </c>
      <c r="Q18" s="131" t="e">
        <f>VLOOKUP($A18&amp;Q$1,単価[],保育所単価!$U$1,FALSE)*加算率a*-1*$C18</f>
        <v>#N/A</v>
      </c>
      <c r="R18" s="129"/>
      <c r="S18" s="129"/>
      <c r="T18" s="131" t="e">
        <f>VLOOKUP($A18&amp;T$1,単価[],保育所単価!$U$1,FALSE)*加算率a*-1*$C18</f>
        <v>#N/A</v>
      </c>
      <c r="U18" s="131" t="e">
        <f>VLOOKUP($A18&amp;U$1,単価[],保育所単価!$U$1,FALSE)*加算率a*-1*$C18</f>
        <v>#N/A</v>
      </c>
      <c r="V18" s="129"/>
      <c r="W18" s="129"/>
      <c r="X18" s="131" t="e">
        <f>VLOOKUP($A18&amp;X$1,単価[],保育所単価!$U$1,FALSE)*加算率a*-1*$C18</f>
        <v>#N/A</v>
      </c>
      <c r="Y18" s="131" t="e">
        <f>VLOOKUP($A18&amp;Y$1,単価[],保育所単価!$U$1,FALSE)*加算率a*-1*$C18</f>
        <v>#N/A</v>
      </c>
      <c r="Z18" s="129"/>
      <c r="AA18" s="129"/>
    </row>
    <row r="19" spans="1:27">
      <c r="A19" s="140">
        <f>A9</f>
        <v>0</v>
      </c>
      <c r="B19" s="116" t="s">
        <v>195</v>
      </c>
      <c r="C19" s="111">
        <f>C18</f>
        <v>0</v>
      </c>
      <c r="D19" s="129"/>
      <c r="E19" s="129"/>
      <c r="F19" s="131" t="e">
        <f>VLOOKUP($A19&amp;F$1,単価[],保育所単価!$U$1,FALSE)*加算率a*-1*$C19</f>
        <v>#N/A</v>
      </c>
      <c r="G19" s="131" t="e">
        <f>VLOOKUP($A19&amp;G$1,単価[],保育所単価!$U$1,FALSE)*加算率a*-1*$C19</f>
        <v>#N/A</v>
      </c>
      <c r="H19" s="129"/>
      <c r="I19" s="129"/>
      <c r="J19" s="131" t="e">
        <f>VLOOKUP($A19&amp;J$1,単価[],保育所単価!$U$1,FALSE)*加算率a*-1*$C19</f>
        <v>#N/A</v>
      </c>
      <c r="K19" s="131" t="e">
        <f>VLOOKUP($A19&amp;K$1,単価[],保育所単価!$U$1,FALSE)*加算率a*-1*$C19</f>
        <v>#N/A</v>
      </c>
      <c r="L19" s="129"/>
      <c r="M19" s="129"/>
      <c r="N19" s="131" t="e">
        <f>VLOOKUP($A19&amp;N$1,単価[],保育所単価!$U$1,FALSE)*加算率a*-1*$C19</f>
        <v>#N/A</v>
      </c>
      <c r="O19" s="131" t="e">
        <f>VLOOKUP($A19&amp;O$1,単価[],保育所単価!$U$1,FALSE)*加算率a*-1*$C19</f>
        <v>#N/A</v>
      </c>
      <c r="P19" s="129"/>
      <c r="Q19" s="129"/>
      <c r="R19" s="131" t="e">
        <f>VLOOKUP($A19&amp;R$1,単価[],保育所単価!$U$1,FALSE)*加算率a*-1*$C19</f>
        <v>#N/A</v>
      </c>
      <c r="S19" s="131" t="e">
        <f>VLOOKUP($A19&amp;S$1,単価[],保育所単価!$U$1,FALSE)*加算率a*-1*$C19</f>
        <v>#N/A</v>
      </c>
      <c r="T19" s="129"/>
      <c r="U19" s="129"/>
      <c r="V19" s="131" t="e">
        <f>VLOOKUP($A19&amp;V$1,単価[],保育所単価!$U$1,FALSE)*加算率a*-1*$C19</f>
        <v>#N/A</v>
      </c>
      <c r="W19" s="131" t="e">
        <f>VLOOKUP($A19&amp;W$1,単価[],保育所単価!$U$1,FALSE)*加算率a*-1*$C19</f>
        <v>#N/A</v>
      </c>
      <c r="X19" s="129"/>
      <c r="Y19" s="129"/>
      <c r="Z19" s="131" t="e">
        <f>VLOOKUP($A19&amp;Z$1,単価[],保育所単価!$U$1,FALSE)*加算率a*-1*$C19</f>
        <v>#N/A</v>
      </c>
      <c r="AA19" s="131" t="e">
        <f>VLOOKUP($A19&amp;AA$1,単価[],保育所単価!$U$1,FALSE)*加算率a*-1*$C19</f>
        <v>#N/A</v>
      </c>
    </row>
    <row r="20" spans="1:27">
      <c r="A20" s="140"/>
      <c r="B20" s="116" t="s">
        <v>169</v>
      </c>
      <c r="C20" s="111">
        <f>IF('2_区分12加算額計算表'!$F$29&lt;&gt;"",1,0)</f>
        <v>0</v>
      </c>
      <c r="D20" s="131" t="e">
        <f>ROUNDDOWN(保育所単価!$AJ15*加算率a/'2_区分12加算額計算表'!$D$19,-1)*$C20</f>
        <v>#N/A</v>
      </c>
      <c r="E20" s="131" t="e">
        <f>ROUNDDOWN(保育所単価!$AJ15*加算率a/'2_区分12加算額計算表'!$D$19,-1)*$C20</f>
        <v>#N/A</v>
      </c>
      <c r="F20" s="131" t="e">
        <f>ROUNDDOWN(保育所単価!$AJ15*加算率a/'2_区分12加算額計算表'!$D$19,-1)*$C20</f>
        <v>#N/A</v>
      </c>
      <c r="G20" s="131" t="e">
        <f>ROUNDDOWN(保育所単価!$AJ15*加算率a/'2_区分12加算額計算表'!$D$19,-1)*$C20</f>
        <v>#N/A</v>
      </c>
      <c r="H20" s="131" t="e">
        <f>ROUNDDOWN(保育所単価!$AJ15*加算率a/'2_区分12加算額計算表'!$D$19,-1)*$C20</f>
        <v>#N/A</v>
      </c>
      <c r="I20" s="131" t="e">
        <f>ROUNDDOWN(保育所単価!$AJ15*加算率a/'2_区分12加算額計算表'!$D$19,-1)*$C20</f>
        <v>#N/A</v>
      </c>
      <c r="J20" s="131" t="e">
        <f>ROUNDDOWN(保育所単価!$AJ15*加算率a/'2_区分12加算額計算表'!$D$19,-1)*$C20</f>
        <v>#N/A</v>
      </c>
      <c r="K20" s="131" t="e">
        <f>ROUNDDOWN(保育所単価!$AJ15*加算率a/'2_区分12加算額計算表'!$D$19,-1)*$C20</f>
        <v>#N/A</v>
      </c>
      <c r="L20" s="131" t="e">
        <f>ROUNDDOWN(保育所単価!$AJ15*加算率a/'2_区分12加算額計算表'!$D$19,-1)*$C20</f>
        <v>#N/A</v>
      </c>
      <c r="M20" s="131" t="e">
        <f>ROUNDDOWN(保育所単価!$AJ15*加算率a/'2_区分12加算額計算表'!$D$19,-1)*$C20</f>
        <v>#N/A</v>
      </c>
      <c r="N20" s="131" t="e">
        <f>ROUNDDOWN(保育所単価!$AJ15*加算率a/'2_区分12加算額計算表'!$D$19,-1)*$C20</f>
        <v>#N/A</v>
      </c>
      <c r="O20" s="131" t="e">
        <f>ROUNDDOWN(保育所単価!$AJ15*加算率a/'2_区分12加算額計算表'!$D$19,-1)*$C20</f>
        <v>#N/A</v>
      </c>
      <c r="P20" s="131" t="e">
        <f>ROUNDDOWN(保育所単価!$AJ15*加算率a/'2_区分12加算額計算表'!$D$19,-1)*$C20</f>
        <v>#N/A</v>
      </c>
      <c r="Q20" s="131" t="e">
        <f>ROUNDDOWN(保育所単価!$AJ15*加算率a/'2_区分12加算額計算表'!$D$19,-1)*$C20</f>
        <v>#N/A</v>
      </c>
      <c r="R20" s="131" t="e">
        <f>ROUNDDOWN(保育所単価!$AJ15*加算率a/'2_区分12加算額計算表'!$D$19,-1)*$C20</f>
        <v>#N/A</v>
      </c>
      <c r="S20" s="131" t="e">
        <f>ROUNDDOWN(保育所単価!$AJ15*加算率a/'2_区分12加算額計算表'!$D$19,-1)*$C20</f>
        <v>#N/A</v>
      </c>
      <c r="T20" s="131" t="e">
        <f>ROUNDDOWN(保育所単価!$AJ15*加算率a/'2_区分12加算額計算表'!$D$19,-1)*$C20</f>
        <v>#N/A</v>
      </c>
      <c r="U20" s="131" t="e">
        <f>ROUNDDOWN(保育所単価!$AJ15*加算率a/'2_区分12加算額計算表'!$D$19,-1)*$C20</f>
        <v>#N/A</v>
      </c>
      <c r="V20" s="131" t="e">
        <f>ROUNDDOWN(保育所単価!$AJ15*加算率a/'2_区分12加算額計算表'!$D$19,-1)*$C20</f>
        <v>#N/A</v>
      </c>
      <c r="W20" s="131" t="e">
        <f>ROUNDDOWN(保育所単価!$AJ15*加算率a/'2_区分12加算額計算表'!$D$19,-1)*$C20</f>
        <v>#N/A</v>
      </c>
      <c r="X20" s="131" t="e">
        <f>ROUNDDOWN(保育所単価!$AJ15*加算率a/'2_区分12加算額計算表'!$D$19,-1)*$C20</f>
        <v>#N/A</v>
      </c>
      <c r="Y20" s="131" t="e">
        <f>ROUNDDOWN(保育所単価!$AJ15*加算率a/'2_区分12加算額計算表'!$D$19,-1)*$C20</f>
        <v>#N/A</v>
      </c>
      <c r="Z20" s="131" t="e">
        <f>ROUNDDOWN(保育所単価!$AJ15*加算率a/'2_区分12加算額計算表'!$D$19,-1)*$C20</f>
        <v>#N/A</v>
      </c>
      <c r="AA20" s="131" t="e">
        <f>ROUNDDOWN(保育所単価!$AJ15*加算率a/'2_区分12加算額計算表'!$D$19,-1)*$C20</f>
        <v>#N/A</v>
      </c>
    </row>
    <row r="21" spans="1:27">
      <c r="A21" s="140">
        <f>IF('2_区分12加算額計算表'!$F$30=【リスト】!$D$2,2,IF('2_区分12加算額計算表'!$F$30=【リスト】!$D$3,3,1))</f>
        <v>1</v>
      </c>
      <c r="B21" s="116" t="s">
        <v>171</v>
      </c>
      <c r="C21" s="111">
        <f>IF('2_区分12加算額計算表'!$F$30&lt;&gt;"",1,0)</f>
        <v>0</v>
      </c>
      <c r="D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E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F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G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H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I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J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K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L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M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N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O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P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Q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R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S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T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U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V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W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X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Y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Z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AA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row>
    <row r="22" spans="1:27">
      <c r="A22" s="140"/>
      <c r="B22" s="116" t="s">
        <v>170</v>
      </c>
      <c r="C22" s="111">
        <f>IF('2_区分12加算額計算表'!$F$31&lt;&gt;"",1,0)</f>
        <v>0</v>
      </c>
      <c r="D22" s="131" t="e">
        <f>IF(保育所単価!$AJ16*加算率a/'2_区分12加算額計算表'!$D$19&gt;=10,
ROUNDDOWN(保育所単価!$AJ16*加算率a/'2_区分12加算額計算表'!$D$19,-1),
ROUNDDOWN(保育所単価!$AJ16*加算率a/'2_区分12加算額計算表'!$D$19,0))*$C22</f>
        <v>#N/A</v>
      </c>
      <c r="E22" s="131" t="e">
        <f>IF(保育所単価!$AJ16*加算率a/'2_区分12加算額計算表'!$D$19&gt;=10,
ROUNDDOWN(保育所単価!$AJ16*加算率a/'2_区分12加算額計算表'!$D$19,-1),
ROUNDDOWN(保育所単価!$AJ16*加算率a/'2_区分12加算額計算表'!$D$19,0))*$C22</f>
        <v>#N/A</v>
      </c>
      <c r="F22" s="131" t="e">
        <f>IF(保育所単価!$AJ16*加算率a/'2_区分12加算額計算表'!$D$19&gt;=10,
ROUNDDOWN(保育所単価!$AJ16*加算率a/'2_区分12加算額計算表'!$D$19,-1),
ROUNDDOWN(保育所単価!$AJ16*加算率a/'2_区分12加算額計算表'!$D$19,0))*$C22</f>
        <v>#N/A</v>
      </c>
      <c r="G22" s="131" t="e">
        <f>IF(保育所単価!$AJ16*加算率a/'2_区分12加算額計算表'!$D$19&gt;=10,
ROUNDDOWN(保育所単価!$AJ16*加算率a/'2_区分12加算額計算表'!$D$19,-1),
ROUNDDOWN(保育所単価!$AJ16*加算率a/'2_区分12加算額計算表'!$D$19,0))*$C22</f>
        <v>#N/A</v>
      </c>
      <c r="H22" s="131" t="e">
        <f>IF(保育所単価!$AJ16*加算率a/'2_区分12加算額計算表'!$D$19&gt;=10,
ROUNDDOWN(保育所単価!$AJ16*加算率a/'2_区分12加算額計算表'!$D$19,-1),
ROUNDDOWN(保育所単価!$AJ16*加算率a/'2_区分12加算額計算表'!$D$19,0))*$C22</f>
        <v>#N/A</v>
      </c>
      <c r="I22" s="131" t="e">
        <f>IF(保育所単価!$AJ16*加算率a/'2_区分12加算額計算表'!$D$19&gt;=10,
ROUNDDOWN(保育所単価!$AJ16*加算率a/'2_区分12加算額計算表'!$D$19,-1),
ROUNDDOWN(保育所単価!$AJ16*加算率a/'2_区分12加算額計算表'!$D$19,0))*$C22</f>
        <v>#N/A</v>
      </c>
      <c r="J22" s="131" t="e">
        <f>IF(保育所単価!$AJ16*加算率a/'2_区分12加算額計算表'!$D$19&gt;=10,
ROUNDDOWN(保育所単価!$AJ16*加算率a/'2_区分12加算額計算表'!$D$19,-1),
ROUNDDOWN(保育所単価!$AJ16*加算率a/'2_区分12加算額計算表'!$D$19,0))*$C22</f>
        <v>#N/A</v>
      </c>
      <c r="K22" s="131" t="e">
        <f>IF(保育所単価!$AJ16*加算率a/'2_区分12加算額計算表'!$D$19&gt;=10,
ROUNDDOWN(保育所単価!$AJ16*加算率a/'2_区分12加算額計算表'!$D$19,-1),
ROUNDDOWN(保育所単価!$AJ16*加算率a/'2_区分12加算額計算表'!$D$19,0))*$C22</f>
        <v>#N/A</v>
      </c>
      <c r="L22" s="131" t="e">
        <f>IF(保育所単価!$AJ16*加算率a/'2_区分12加算額計算表'!$D$19&gt;=10,
ROUNDDOWN(保育所単価!$AJ16*加算率a/'2_区分12加算額計算表'!$D$19,-1),
ROUNDDOWN(保育所単価!$AJ16*加算率a/'2_区分12加算額計算表'!$D$19,0))*$C22</f>
        <v>#N/A</v>
      </c>
      <c r="M22" s="131" t="e">
        <f>IF(保育所単価!$AJ16*加算率a/'2_区分12加算額計算表'!$D$19&gt;=10,
ROUNDDOWN(保育所単価!$AJ16*加算率a/'2_区分12加算額計算表'!$D$19,-1),
ROUNDDOWN(保育所単価!$AJ16*加算率a/'2_区分12加算額計算表'!$D$19,0))*$C22</f>
        <v>#N/A</v>
      </c>
      <c r="N22" s="131" t="e">
        <f>IF(保育所単価!$AJ16*加算率a/'2_区分12加算額計算表'!$D$19&gt;=10,
ROUNDDOWN(保育所単価!$AJ16*加算率a/'2_区分12加算額計算表'!$D$19,-1),
ROUNDDOWN(保育所単価!$AJ16*加算率a/'2_区分12加算額計算表'!$D$19,0))*$C22</f>
        <v>#N/A</v>
      </c>
      <c r="O22" s="131" t="e">
        <f>IF(保育所単価!$AJ16*加算率a/'2_区分12加算額計算表'!$D$19&gt;=10,
ROUNDDOWN(保育所単価!$AJ16*加算率a/'2_区分12加算額計算表'!$D$19,-1),
ROUNDDOWN(保育所単価!$AJ16*加算率a/'2_区分12加算額計算表'!$D$19,0))*$C22</f>
        <v>#N/A</v>
      </c>
      <c r="P22" s="131" t="e">
        <f>IF(保育所単価!$AJ16*加算率a/'2_区分12加算額計算表'!$D$19&gt;=10,
ROUNDDOWN(保育所単価!$AJ16*加算率a/'2_区分12加算額計算表'!$D$19,-1),
ROUNDDOWN(保育所単価!$AJ16*加算率a/'2_区分12加算額計算表'!$D$19,0))*$C22</f>
        <v>#N/A</v>
      </c>
      <c r="Q22" s="131" t="e">
        <f>IF(保育所単価!$AJ16*加算率a/'2_区分12加算額計算表'!$D$19&gt;=10,
ROUNDDOWN(保育所単価!$AJ16*加算率a/'2_区分12加算額計算表'!$D$19,-1),
ROUNDDOWN(保育所単価!$AJ16*加算率a/'2_区分12加算額計算表'!$D$19,0))*$C22</f>
        <v>#N/A</v>
      </c>
      <c r="R22" s="131" t="e">
        <f>IF(保育所単価!$AJ16*加算率a/'2_区分12加算額計算表'!$D$19&gt;=10,
ROUNDDOWN(保育所単価!$AJ16*加算率a/'2_区分12加算額計算表'!$D$19,-1),
ROUNDDOWN(保育所単価!$AJ16*加算率a/'2_区分12加算額計算表'!$D$19,0))*$C22</f>
        <v>#N/A</v>
      </c>
      <c r="S22" s="131" t="e">
        <f>IF(保育所単価!$AJ16*加算率a/'2_区分12加算額計算表'!$D$19&gt;=10,
ROUNDDOWN(保育所単価!$AJ16*加算率a/'2_区分12加算額計算表'!$D$19,-1),
ROUNDDOWN(保育所単価!$AJ16*加算率a/'2_区分12加算額計算表'!$D$19,0))*$C22</f>
        <v>#N/A</v>
      </c>
      <c r="T22" s="131" t="e">
        <f>IF(保育所単価!$AJ16*加算率a/'2_区分12加算額計算表'!$D$19&gt;=10,
ROUNDDOWN(保育所単価!$AJ16*加算率a/'2_区分12加算額計算表'!$D$19,-1),
ROUNDDOWN(保育所単価!$AJ16*加算率a/'2_区分12加算額計算表'!$D$19,0))*$C22</f>
        <v>#N/A</v>
      </c>
      <c r="U22" s="131" t="e">
        <f>IF(保育所単価!$AJ16*加算率a/'2_区分12加算額計算表'!$D$19&gt;=10,
ROUNDDOWN(保育所単価!$AJ16*加算率a/'2_区分12加算額計算表'!$D$19,-1),
ROUNDDOWN(保育所単価!$AJ16*加算率a/'2_区分12加算額計算表'!$D$19,0))*$C22</f>
        <v>#N/A</v>
      </c>
      <c r="V22" s="131" t="e">
        <f>IF(保育所単価!$AJ16*加算率a/'2_区分12加算額計算表'!$D$19&gt;=10,
ROUNDDOWN(保育所単価!$AJ16*加算率a/'2_区分12加算額計算表'!$D$19,-1),
ROUNDDOWN(保育所単価!$AJ16*加算率a/'2_区分12加算額計算表'!$D$19,0))*$C22</f>
        <v>#N/A</v>
      </c>
      <c r="W22" s="131" t="e">
        <f>IF(保育所単価!$AJ16*加算率a/'2_区分12加算額計算表'!$D$19&gt;=10,
ROUNDDOWN(保育所単価!$AJ16*加算率a/'2_区分12加算額計算表'!$D$19,-1),
ROUNDDOWN(保育所単価!$AJ16*加算率a/'2_区分12加算額計算表'!$D$19,0))*$C22</f>
        <v>#N/A</v>
      </c>
      <c r="X22" s="131" t="e">
        <f>IF(保育所単価!$AJ16*加算率a/'2_区分12加算額計算表'!$D$19&gt;=10,
ROUNDDOWN(保育所単価!$AJ16*加算率a/'2_区分12加算額計算表'!$D$19,-1),
ROUNDDOWN(保育所単価!$AJ16*加算率a/'2_区分12加算額計算表'!$D$19,0))*$C22</f>
        <v>#N/A</v>
      </c>
      <c r="Y22" s="131" t="e">
        <f>IF(保育所単価!$AJ16*加算率a/'2_区分12加算額計算表'!$D$19&gt;=10,
ROUNDDOWN(保育所単価!$AJ16*加算率a/'2_区分12加算額計算表'!$D$19,-1),
ROUNDDOWN(保育所単価!$AJ16*加算率a/'2_区分12加算額計算表'!$D$19,0))*$C22</f>
        <v>#N/A</v>
      </c>
      <c r="Z22" s="131" t="e">
        <f>IF(保育所単価!$AJ16*加算率a/'2_区分12加算額計算表'!$D$19&gt;=10,
ROUNDDOWN(保育所単価!$AJ16*加算率a/'2_区分12加算額計算表'!$D$19,-1),
ROUNDDOWN(保育所単価!$AJ16*加算率a/'2_区分12加算額計算表'!$D$19,0))*$C22</f>
        <v>#N/A</v>
      </c>
      <c r="AA22" s="131" t="e">
        <f>IF(保育所単価!$AJ16*加算率a/'2_区分12加算額計算表'!$D$19&gt;=10,
ROUNDDOWN(保育所単価!$AJ16*加算率a/'2_区分12加算額計算表'!$D$19,-1),
ROUNDDOWN(保育所単価!$AJ16*加算率a/'2_区分12加算額計算表'!$D$19,0))*$C22</f>
        <v>#N/A</v>
      </c>
    </row>
    <row r="23" spans="1:27">
      <c r="A23" s="140">
        <f>IF('2_区分12加算額計算表'!$F$32=【リスト】!$E$2,1,IF('2_区分12加算額計算表'!$F$32=【リスト】!$E$3,2,IF('2_区分12加算額計算表'!$F$32=【リスト】!$E$4,3,0)))</f>
        <v>0</v>
      </c>
      <c r="B23" s="117" t="s">
        <v>172</v>
      </c>
      <c r="C23" s="112">
        <f>IF('2_区分12加算額計算表'!$F$32&lt;&gt;"",1,0)</f>
        <v>0</v>
      </c>
      <c r="D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E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F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G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H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I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J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K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L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M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N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O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P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Q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R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S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T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U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V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W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X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Y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Z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AA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row>
    <row r="24" spans="1:27">
      <c r="A24" s="140" t="e">
        <f>A18</f>
        <v>#N/A</v>
      </c>
      <c r="B24" s="116" t="s">
        <v>193</v>
      </c>
      <c r="C24" s="111" t="str">
        <f>IF('2_区分12加算額計算表'!$F$34=【リスト】!$H$2,0,IF('2_区分12加算額計算表'!$F$34=【リスト】!$H$3,1,IF('2_区分12加算額計算表'!$F$34=【リスト】!$H$4,2,IF('2_区分12加算額計算表'!$F$34=【リスト】!$H$5,3,"Q"))))</f>
        <v>Q</v>
      </c>
      <c r="D24" s="131">
        <f>IF($C24="Q",0,ROUNDDOWN(SUM(D7:D13,D15)*VLOOKUP($A24&amp;D$1,単価[],保育所単価!$W$1+$C24,FALSE),-1))*-1</f>
        <v>0</v>
      </c>
      <c r="E24" s="131">
        <f>IF($C24="Q",0,ROUNDDOWN(SUM(E7:E13,E15)*VLOOKUP($A24&amp;E$1,単価[],保育所単価!$W$1+$C24,FALSE),-1))*-1</f>
        <v>0</v>
      </c>
      <c r="F24" s="131">
        <f>IF($C24="Q",0,ROUNDDOWN(SUM(F7:F13,F15)*VLOOKUP($A24&amp;F$1,単価[],保育所単価!$W$1+$C24,FALSE),-1))*-1</f>
        <v>0</v>
      </c>
      <c r="G24" s="131">
        <f>IF($C24="Q",0,ROUNDDOWN(SUM(G7:G13,G15)*VLOOKUP($A24&amp;G$1,単価[],保育所単価!$W$1+$C24,FALSE),-1))*-1</f>
        <v>0</v>
      </c>
      <c r="H24" s="131">
        <f>IF($C24="Q",0,ROUNDDOWN(SUM(H7:H13,H15)*VLOOKUP($A24&amp;H$1,単価[],保育所単価!$W$1+$C24,FALSE),-1))*-1</f>
        <v>0</v>
      </c>
      <c r="I24" s="131">
        <f>IF($C24="Q",0,ROUNDDOWN(SUM(I7:I13,I15)*VLOOKUP($A24&amp;I$1,単価[],保育所単価!$W$1+$C24,FALSE),-1))*-1</f>
        <v>0</v>
      </c>
      <c r="J24" s="131">
        <f>IF($C24="Q",0,ROUNDDOWN(SUM(J7:J13,J15)*VLOOKUP($A24&amp;J$1,単価[],保育所単価!$W$1+$C24,FALSE),-1))*-1</f>
        <v>0</v>
      </c>
      <c r="K24" s="131">
        <f>IF($C24="Q",0,ROUNDDOWN(SUM(K7:K13,K15)*VLOOKUP($A24&amp;K$1,単価[],保育所単価!$W$1+$C24,FALSE),-1))*-1</f>
        <v>0</v>
      </c>
      <c r="L24" s="131">
        <f>IF($C24="Q",0,ROUNDDOWN(SUM(L7:L13,L15)*VLOOKUP($A24&amp;L$1,単価[],保育所単価!$W$1+$C24,FALSE),-1))*-1</f>
        <v>0</v>
      </c>
      <c r="M24" s="131">
        <f>IF($C24="Q",0,ROUNDDOWN(SUM(M7:M13,M15)*VLOOKUP($A24&amp;M$1,単価[],保育所単価!$W$1+$C24,FALSE),-1))*-1</f>
        <v>0</v>
      </c>
      <c r="N24" s="131">
        <f>IF($C24="Q",0,ROUNDDOWN(SUM(N7:N13,N15)*VLOOKUP($A24&amp;N$1,単価[],保育所単価!$W$1+$C24,FALSE),-1))*-1</f>
        <v>0</v>
      </c>
      <c r="O24" s="131">
        <f>IF($C24="Q",0,ROUNDDOWN(SUM(O7:O13,O15)*VLOOKUP($A24&amp;O$1,単価[],保育所単価!$W$1+$C24,FALSE),-1))*-1</f>
        <v>0</v>
      </c>
      <c r="P24" s="131">
        <f>IF($C24="Q",0,ROUNDDOWN(SUM(P7:P13,P15)*VLOOKUP($A24&amp;P$1,単価[],保育所単価!$W$1+$C24,FALSE),-1))*-1</f>
        <v>0</v>
      </c>
      <c r="Q24" s="131">
        <f>IF($C24="Q",0,ROUNDDOWN(SUM(Q7:Q13,Q15)*VLOOKUP($A24&amp;Q$1,単価[],保育所単価!$W$1+$C24,FALSE),-1))*-1</f>
        <v>0</v>
      </c>
      <c r="R24" s="131">
        <f>IF($C24="Q",0,ROUNDDOWN(SUM(R7:R13,R15)*VLOOKUP($A24&amp;R$1,単価[],保育所単価!$W$1+$C24,FALSE),-1))*-1</f>
        <v>0</v>
      </c>
      <c r="S24" s="131">
        <f>IF($C24="Q",0,ROUNDDOWN(SUM(S7:S13,S15)*VLOOKUP($A24&amp;S$1,単価[],保育所単価!$W$1+$C24,FALSE),-1))*-1</f>
        <v>0</v>
      </c>
      <c r="T24" s="131">
        <f>IF($C24="Q",0,ROUNDDOWN(SUM(T7:T13,T15)*VLOOKUP($A24&amp;T$1,単価[],保育所単価!$W$1+$C24,FALSE),-1))*-1</f>
        <v>0</v>
      </c>
      <c r="U24" s="131">
        <f>IF($C24="Q",0,ROUNDDOWN(SUM(U7:U13,U15)*VLOOKUP($A24&amp;U$1,単価[],保育所単価!$W$1+$C24,FALSE),-1))*-1</f>
        <v>0</v>
      </c>
      <c r="V24" s="131">
        <f>IF($C24="Q",0,ROUNDDOWN(SUM(V7:V13,V15)*VLOOKUP($A24&amp;V$1,単価[],保育所単価!$W$1+$C24,FALSE),-1))*-1</f>
        <v>0</v>
      </c>
      <c r="W24" s="131">
        <f>IF($C24="Q",0,ROUNDDOWN(SUM(W7:W13,W15)*VLOOKUP($A24&amp;W$1,単価[],保育所単価!$W$1+$C24,FALSE),-1))*-1</f>
        <v>0</v>
      </c>
      <c r="X24" s="131">
        <f>IF($C24="Q",0,ROUNDDOWN(SUM(X7:X13,X15)*VLOOKUP($A24&amp;X$1,単価[],保育所単価!$W$1+$C24,FALSE),-1))*-1</f>
        <v>0</v>
      </c>
      <c r="Y24" s="131">
        <f>IF($C24="Q",0,ROUNDDOWN(SUM(Y7:Y13,Y15)*VLOOKUP($A24&amp;Y$1,単価[],保育所単価!$W$1+$C24,FALSE),-1))*-1</f>
        <v>0</v>
      </c>
      <c r="Z24" s="131">
        <f>IF($C24="Q",0,ROUNDDOWN(SUM(Z7:Z13,Z15)*VLOOKUP($A24&amp;Z$1,単価[],保育所単価!$W$1+$C24,FALSE),-1))*-1</f>
        <v>0</v>
      </c>
      <c r="AA24" s="131">
        <f>IF($C24="Q",0,ROUNDDOWN(SUM(AA7:AA13,AA15)*VLOOKUP($A24&amp;AA$1,単価[],保育所単価!$W$1+$C24,FALSE),-1))*-1</f>
        <v>0</v>
      </c>
    </row>
    <row r="25" spans="1:27">
      <c r="A25" s="141"/>
      <c r="B25" s="114" t="s">
        <v>175</v>
      </c>
      <c r="C25" s="109"/>
      <c r="D25" s="145" t="e">
        <f t="shared" ref="D25:AA25" si="0">SUM(D7:D24)</f>
        <v>#N/A</v>
      </c>
      <c r="E25" s="145" t="e">
        <f t="shared" si="0"/>
        <v>#N/A</v>
      </c>
      <c r="F25" s="145" t="e">
        <f t="shared" si="0"/>
        <v>#N/A</v>
      </c>
      <c r="G25" s="145" t="e">
        <f t="shared" si="0"/>
        <v>#N/A</v>
      </c>
      <c r="H25" s="145" t="e">
        <f t="shared" si="0"/>
        <v>#N/A</v>
      </c>
      <c r="I25" s="145" t="e">
        <f t="shared" si="0"/>
        <v>#N/A</v>
      </c>
      <c r="J25" s="145" t="e">
        <f t="shared" si="0"/>
        <v>#N/A</v>
      </c>
      <c r="K25" s="145" t="e">
        <f t="shared" si="0"/>
        <v>#N/A</v>
      </c>
      <c r="L25" s="145" t="e">
        <f t="shared" si="0"/>
        <v>#N/A</v>
      </c>
      <c r="M25" s="145" t="e">
        <f t="shared" si="0"/>
        <v>#N/A</v>
      </c>
      <c r="N25" s="145" t="e">
        <f t="shared" si="0"/>
        <v>#N/A</v>
      </c>
      <c r="O25" s="145" t="e">
        <f t="shared" si="0"/>
        <v>#N/A</v>
      </c>
      <c r="P25" s="145" t="e">
        <f t="shared" si="0"/>
        <v>#N/A</v>
      </c>
      <c r="Q25" s="145" t="e">
        <f t="shared" si="0"/>
        <v>#N/A</v>
      </c>
      <c r="R25" s="145" t="e">
        <f t="shared" si="0"/>
        <v>#N/A</v>
      </c>
      <c r="S25" s="145" t="e">
        <f t="shared" si="0"/>
        <v>#N/A</v>
      </c>
      <c r="T25" s="145" t="e">
        <f t="shared" si="0"/>
        <v>#N/A</v>
      </c>
      <c r="U25" s="145" t="e">
        <f t="shared" si="0"/>
        <v>#N/A</v>
      </c>
      <c r="V25" s="145" t="e">
        <f t="shared" si="0"/>
        <v>#N/A</v>
      </c>
      <c r="W25" s="145" t="e">
        <f t="shared" si="0"/>
        <v>#N/A</v>
      </c>
      <c r="X25" s="145" t="e">
        <f t="shared" si="0"/>
        <v>#N/A</v>
      </c>
      <c r="Y25" s="145" t="e">
        <f t="shared" si="0"/>
        <v>#N/A</v>
      </c>
      <c r="Z25" s="145" t="e">
        <f t="shared" si="0"/>
        <v>#N/A</v>
      </c>
      <c r="AA25" s="145" t="e">
        <f t="shared" si="0"/>
        <v>#N/A</v>
      </c>
    </row>
    <row r="26" spans="1:27">
      <c r="B26" s="118" t="s">
        <v>176</v>
      </c>
      <c r="C26" s="113"/>
      <c r="D26" s="145" t="e">
        <f>D$6*D25</f>
        <v>#N/A</v>
      </c>
      <c r="E26" s="146" t="e">
        <f t="shared" ref="E26:AA26" si="1">E$6*E25</f>
        <v>#N/A</v>
      </c>
      <c r="F26" s="146" t="e">
        <f t="shared" si="1"/>
        <v>#N/A</v>
      </c>
      <c r="G26" s="146" t="e">
        <f t="shared" si="1"/>
        <v>#N/A</v>
      </c>
      <c r="H26" s="145" t="e">
        <f t="shared" si="1"/>
        <v>#N/A</v>
      </c>
      <c r="I26" s="146" t="e">
        <f t="shared" si="1"/>
        <v>#N/A</v>
      </c>
      <c r="J26" s="146" t="e">
        <f t="shared" si="1"/>
        <v>#N/A</v>
      </c>
      <c r="K26" s="146" t="e">
        <f t="shared" si="1"/>
        <v>#N/A</v>
      </c>
      <c r="L26" s="146" t="e">
        <f t="shared" si="1"/>
        <v>#N/A</v>
      </c>
      <c r="M26" s="146" t="e">
        <f t="shared" si="1"/>
        <v>#N/A</v>
      </c>
      <c r="N26" s="146" t="e">
        <f t="shared" si="1"/>
        <v>#N/A</v>
      </c>
      <c r="O26" s="146" t="e">
        <f t="shared" si="1"/>
        <v>#N/A</v>
      </c>
      <c r="P26" s="146" t="e">
        <f t="shared" si="1"/>
        <v>#N/A</v>
      </c>
      <c r="Q26" s="146" t="e">
        <f t="shared" si="1"/>
        <v>#N/A</v>
      </c>
      <c r="R26" s="146" t="e">
        <f t="shared" si="1"/>
        <v>#N/A</v>
      </c>
      <c r="S26" s="146" t="e">
        <f t="shared" si="1"/>
        <v>#N/A</v>
      </c>
      <c r="T26" s="146" t="e">
        <f t="shared" si="1"/>
        <v>#N/A</v>
      </c>
      <c r="U26" s="146" t="e">
        <f t="shared" si="1"/>
        <v>#N/A</v>
      </c>
      <c r="V26" s="145" t="e">
        <f t="shared" si="1"/>
        <v>#N/A</v>
      </c>
      <c r="W26" s="146" t="e">
        <f t="shared" si="1"/>
        <v>#N/A</v>
      </c>
      <c r="X26" s="146" t="e">
        <f t="shared" si="1"/>
        <v>#N/A</v>
      </c>
      <c r="Y26" s="146" t="e">
        <f t="shared" si="1"/>
        <v>#N/A</v>
      </c>
      <c r="Z26" s="146" t="e">
        <f t="shared" si="1"/>
        <v>#N/A</v>
      </c>
      <c r="AA26" s="146" t="e">
        <f t="shared" si="1"/>
        <v>#N/A</v>
      </c>
    </row>
    <row r="27" spans="1:27">
      <c r="A27" s="141"/>
    </row>
    <row r="28" spans="1:27">
      <c r="A28" s="141" t="s">
        <v>177</v>
      </c>
    </row>
    <row r="29" spans="1:27">
      <c r="A29" s="140" t="e">
        <f t="shared" ref="A29:C44" si="2">A7</f>
        <v>#N/A</v>
      </c>
      <c r="B29" s="119" t="str">
        <f t="shared" si="2"/>
        <v>処遇改善等加算（本園/標準時間）単価</v>
      </c>
      <c r="C29" s="122">
        <f t="shared" si="2"/>
        <v>0</v>
      </c>
      <c r="D29" s="136" t="e">
        <f>ROUNDDOWN(VLOOKUP($A29&amp;D$1,単価[],保育所単価!$G$1,FALSE)*(加算率b+VLOOKUP($A29&amp;D$1,単価[],保育所単価!$H$1,FALSE)),-1)</f>
        <v>#N/A</v>
      </c>
      <c r="E29" s="137"/>
      <c r="F29" s="137"/>
      <c r="G29" s="137"/>
      <c r="H29" s="136" t="e">
        <f>ROUNDDOWN(VLOOKUP($A29&amp;H$1,単価[],保育所単価!$G$1,FALSE)*(加算率b+VLOOKUP($A29&amp;H$1,単価[],保育所単価!$H$1,FALSE)),-1)</f>
        <v>#N/A</v>
      </c>
      <c r="I29" s="137"/>
      <c r="J29" s="137"/>
      <c r="K29" s="137"/>
      <c r="L29" s="138" t="e">
        <f>ROUNDDOWN(VLOOKUP($A29&amp;L$1,単価[],保育所単価!$G$1,FALSE)*(加算率b+VLOOKUP($A29&amp;L$1,単価[],保育所単価!$H$1,FALSE)),-1)</f>
        <v>#N/A</v>
      </c>
      <c r="M29" s="137"/>
      <c r="N29" s="137"/>
      <c r="O29" s="137"/>
      <c r="P29" s="138" t="e">
        <f>ROUNDDOWN(VLOOKUP($A29&amp;P$1,単価[],保育所単価!$G$1,FALSE)*(加算率b+VLOOKUP($A29&amp;P$1,単価[],保育所単価!$H$1,FALSE)),-1)</f>
        <v>#N/A</v>
      </c>
      <c r="Q29" s="137"/>
      <c r="R29" s="137"/>
      <c r="S29" s="137"/>
      <c r="T29" s="138" t="e">
        <f>ROUNDDOWN(VLOOKUP($A29&amp;T$1,単価[],保育所単価!$G$1,FALSE)*(加算率b+VLOOKUP($A29&amp;T$1,単価[],保育所単価!$H$1,FALSE)),-1)</f>
        <v>#N/A</v>
      </c>
      <c r="U29" s="137"/>
      <c r="V29" s="139"/>
      <c r="W29" s="137"/>
      <c r="X29" s="138" t="e">
        <f>ROUNDDOWN(VLOOKUP($A29&amp;X$1,単価[],保育所単価!$G$1,FALSE)*(加算率b+VLOOKUP($A29&amp;X$1,単価[],保育所単価!$H$1,FALSE)),-1)</f>
        <v>#N/A</v>
      </c>
      <c r="Y29" s="137"/>
      <c r="Z29" s="137"/>
      <c r="AA29" s="137"/>
    </row>
    <row r="30" spans="1:27">
      <c r="A30" s="140" t="e">
        <f t="shared" si="2"/>
        <v>#N/A</v>
      </c>
      <c r="B30" s="120" t="str">
        <f t="shared" si="2"/>
        <v>処遇改善等加算（本園/短時間）単価</v>
      </c>
      <c r="C30" s="123">
        <f t="shared" si="2"/>
        <v>0</v>
      </c>
      <c r="D30" s="129"/>
      <c r="E30" s="131" t="e">
        <f>ROUNDDOWN(VLOOKUP($A30&amp;E$1,単価[],保育所単価!$I$1,FALSE)*(加算率b+VLOOKUP($A30&amp;E$1,単価[],保育所単価!$J$1,FALSE)),-1)</f>
        <v>#N/A</v>
      </c>
      <c r="F30" s="132"/>
      <c r="G30" s="132"/>
      <c r="H30" s="129"/>
      <c r="I30" s="131" t="e">
        <f>ROUNDDOWN(VLOOKUP($A30&amp;I$1,単価[],保育所単価!$I$1,FALSE)*(加算率b+VLOOKUP($A30&amp;I$1,単価[],保育所単価!$J$1,FALSE)),-1)</f>
        <v>#N/A</v>
      </c>
      <c r="J30" s="132"/>
      <c r="K30" s="132"/>
      <c r="L30" s="132"/>
      <c r="M30" s="131" t="e">
        <f>ROUNDDOWN(VLOOKUP($A30&amp;M$1,単価[],保育所単価!$I$1,FALSE)*(加算率b+VLOOKUP($A30&amp;M$1,単価[],保育所単価!$J$1,FALSE)),-1)</f>
        <v>#N/A</v>
      </c>
      <c r="N30" s="132"/>
      <c r="O30" s="132"/>
      <c r="P30" s="132"/>
      <c r="Q30" s="131" t="e">
        <f>ROUNDDOWN(VLOOKUP($A30&amp;Q$1,単価[],保育所単価!$I$1,FALSE)*(加算率b+VLOOKUP($A30&amp;Q$1,単価[],保育所単価!$J$1,FALSE)),-1)</f>
        <v>#N/A</v>
      </c>
      <c r="R30" s="132"/>
      <c r="S30" s="132"/>
      <c r="T30" s="132"/>
      <c r="U30" s="131" t="e">
        <f>ROUNDDOWN(VLOOKUP($A30&amp;U$1,単価[],保育所単価!$I$1,FALSE)*(加算率b+VLOOKUP($A30&amp;U$1,単価[],保育所単価!$J$1,FALSE)),-1)</f>
        <v>#N/A</v>
      </c>
      <c r="V30" s="129"/>
      <c r="W30" s="132"/>
      <c r="X30" s="132"/>
      <c r="Y30" s="131" t="e">
        <f>ROUNDDOWN(VLOOKUP($A30&amp;Y$1,単価[],保育所単価!$I$1,FALSE)*(加算率b+VLOOKUP($A30&amp;Y$1,単価[],保育所単価!$J$1,FALSE)),-1)</f>
        <v>#N/A</v>
      </c>
      <c r="Z30" s="132"/>
      <c r="AA30" s="132"/>
    </row>
    <row r="31" spans="1:27">
      <c r="A31" s="140">
        <f t="shared" si="2"/>
        <v>0</v>
      </c>
      <c r="B31" s="120" t="str">
        <f t="shared" si="2"/>
        <v>処遇改善等加算（分園/標準時間）単価</v>
      </c>
      <c r="C31" s="123">
        <f t="shared" si="2"/>
        <v>0</v>
      </c>
      <c r="D31" s="129"/>
      <c r="E31" s="132"/>
      <c r="F31" s="131" t="e">
        <f>ROUNDDOWN(VLOOKUP($A31&amp;F$1,単価[],保育所単価!$G$1,FALSE)*(加算率b+VLOOKUP($A31&amp;F$1,単価[],保育所単価!$H$1,FALSE)),-1)</f>
        <v>#N/A</v>
      </c>
      <c r="G31" s="132"/>
      <c r="H31" s="129"/>
      <c r="I31" s="132"/>
      <c r="J31" s="131" t="e">
        <f>ROUNDDOWN(VLOOKUP($A31&amp;J$1,単価[],保育所単価!$G$1,FALSE)*(加算率b+VLOOKUP($A31&amp;J$1,単価[],保育所単価!$H$1,FALSE)),-1)</f>
        <v>#N/A</v>
      </c>
      <c r="K31" s="132"/>
      <c r="L31" s="132"/>
      <c r="M31" s="132"/>
      <c r="N31" s="131" t="e">
        <f>ROUNDDOWN(VLOOKUP($A31&amp;N$1,単価[],保育所単価!$G$1,FALSE)*(加算率b+VLOOKUP($A31&amp;N$1,単価[],保育所単価!$H$1,FALSE)),-1)</f>
        <v>#N/A</v>
      </c>
      <c r="O31" s="132"/>
      <c r="P31" s="132"/>
      <c r="Q31" s="132"/>
      <c r="R31" s="131" t="e">
        <f>ROUNDDOWN(VLOOKUP($A31&amp;R$1,単価[],保育所単価!$G$1,FALSE)*(加算率b+VLOOKUP($A31&amp;R$1,単価[],保育所単価!$H$1,FALSE)),-1)</f>
        <v>#N/A</v>
      </c>
      <c r="S31" s="132"/>
      <c r="T31" s="132"/>
      <c r="U31" s="132"/>
      <c r="V31" s="135" t="e">
        <f>ROUNDDOWN(VLOOKUP($A31&amp;V$1,単価[],保育所単価!$G$1,FALSE)*(加算率b+VLOOKUP($A31&amp;V$1,単価[],保育所単価!$H$1,FALSE)),-1)</f>
        <v>#N/A</v>
      </c>
      <c r="W31" s="132"/>
      <c r="X31" s="132"/>
      <c r="Y31" s="132"/>
      <c r="Z31" s="131" t="e">
        <f>ROUNDDOWN(VLOOKUP($A31&amp;Z$1,単価[],保育所単価!$G$1,FALSE)*(加算率b+VLOOKUP($A31&amp;Z$1,単価[],保育所単価!$H$1,FALSE)),-1)</f>
        <v>#N/A</v>
      </c>
      <c r="AA31" s="132"/>
    </row>
    <row r="32" spans="1:27">
      <c r="A32" s="140">
        <f t="shared" si="2"/>
        <v>0</v>
      </c>
      <c r="B32" s="120" t="str">
        <f t="shared" si="2"/>
        <v>処遇改善等加算（分園/短時間）単価</v>
      </c>
      <c r="C32" s="123">
        <f t="shared" si="2"/>
        <v>0</v>
      </c>
      <c r="D32" s="129"/>
      <c r="E32" s="132"/>
      <c r="F32" s="132"/>
      <c r="G32" s="131" t="e">
        <f>ROUNDDOWN(VLOOKUP($A32&amp;G$1,単価[],保育所単価!$I$1,FALSE)*(加算率b+VLOOKUP($A32&amp;G$1,単価[],保育所単価!$J$1,FALSE)),-1)</f>
        <v>#N/A</v>
      </c>
      <c r="H32" s="129"/>
      <c r="I32" s="132"/>
      <c r="J32" s="132"/>
      <c r="K32" s="131" t="e">
        <f>ROUNDDOWN(VLOOKUP($A32&amp;K$1,単価[],保育所単価!$I$1,FALSE)*(加算率b+VLOOKUP($A32&amp;K$1,単価[],保育所単価!$J$1,FALSE)),-1)</f>
        <v>#N/A</v>
      </c>
      <c r="L32" s="132"/>
      <c r="M32" s="132"/>
      <c r="N32" s="132"/>
      <c r="O32" s="131" t="e">
        <f>ROUNDDOWN(VLOOKUP($A32&amp;O$1,単価[],保育所単価!$I$1,FALSE)*(加算率b+VLOOKUP($A32&amp;O$1,単価[],保育所単価!$J$1,FALSE)),-1)</f>
        <v>#N/A</v>
      </c>
      <c r="P32" s="132"/>
      <c r="Q32" s="132"/>
      <c r="R32" s="132"/>
      <c r="S32" s="131" t="e">
        <f>ROUNDDOWN(VLOOKUP($A32&amp;S$1,単価[],保育所単価!$I$1,FALSE)*(加算率b+VLOOKUP($A32&amp;S$1,単価[],保育所単価!$J$1,FALSE)),-1)</f>
        <v>#N/A</v>
      </c>
      <c r="T32" s="132"/>
      <c r="U32" s="132"/>
      <c r="V32" s="129"/>
      <c r="W32" s="131" t="e">
        <f>ROUNDDOWN(VLOOKUP($A32&amp;W$1,単価[],保育所単価!$I$1,FALSE)*(加算率b+VLOOKUP($A32&amp;W$1,単価[],保育所単価!$J$1,FALSE)),-1)</f>
        <v>#N/A</v>
      </c>
      <c r="X32" s="132"/>
      <c r="Y32" s="132"/>
      <c r="Z32" s="132"/>
      <c r="AA32" s="131" t="e">
        <f>ROUNDDOWN(VLOOKUP($A32&amp;AA$1,単価[],保育所単価!$I$1,FALSE)*(加算率b+VLOOKUP($A32&amp;AA$1,単価[],保育所単価!$J$1,FALSE)),-1)</f>
        <v>#N/A</v>
      </c>
    </row>
    <row r="33" spans="1:27">
      <c r="A33" s="140" t="e">
        <f t="shared" si="2"/>
        <v>#N/A</v>
      </c>
      <c r="B33" s="120" t="str">
        <f t="shared" si="2"/>
        <v>3歳児配置改善加算単価</v>
      </c>
      <c r="C33" s="123">
        <f t="shared" si="2"/>
        <v>0</v>
      </c>
      <c r="D33" s="129"/>
      <c r="E33" s="132"/>
      <c r="F33" s="132"/>
      <c r="G33" s="132"/>
      <c r="H33" s="129"/>
      <c r="I33" s="132"/>
      <c r="J33" s="132"/>
      <c r="K33" s="132"/>
      <c r="L33" s="132"/>
      <c r="M33" s="132"/>
      <c r="N33" s="132"/>
      <c r="O33" s="132"/>
      <c r="P33" s="131" t="e">
        <f>ROUNDDOWN(VLOOKUP($A33&amp;P$1,単価[],保育所単価!$K$1,FALSE)*(加算率b+VLOOKUP($A33&amp;P$1,単価[],保育所単価!$L$1,FALSE)),-1)*$C33</f>
        <v>#N/A</v>
      </c>
      <c r="Q33" s="131" t="e">
        <f>ROUNDDOWN(VLOOKUP($A33&amp;Q$1,単価[],保育所単価!$K$1,FALSE)*(加算率b+VLOOKUP($A33&amp;Q$1,単価[],保育所単価!$L$1,FALSE)),-1)*$C33</f>
        <v>#N/A</v>
      </c>
      <c r="R33" s="131" t="e">
        <f>ROUNDDOWN(VLOOKUP($A33&amp;R$1,単価[],保育所単価!$K$1,FALSE)*(加算率b+VLOOKUP($A33&amp;R$1,単価[],保育所単価!$L$1,FALSE)),-1)*$C33</f>
        <v>#N/A</v>
      </c>
      <c r="S33" s="131" t="e">
        <f>ROUNDDOWN(VLOOKUP($A33&amp;S$1,単価[],保育所単価!$K$1,FALSE)*(加算率b+VLOOKUP($A33&amp;S$1,単価[],保育所単価!$L$1,FALSE)),-1)*$C33</f>
        <v>#N/A</v>
      </c>
      <c r="T33" s="132"/>
      <c r="U33" s="132"/>
      <c r="V33" s="129"/>
      <c r="W33" s="132"/>
      <c r="X33" s="132"/>
      <c r="Y33" s="132"/>
      <c r="Z33" s="132"/>
      <c r="AA33" s="132"/>
    </row>
    <row r="34" spans="1:27">
      <c r="A34" s="140" t="e">
        <f t="shared" si="2"/>
        <v>#N/A</v>
      </c>
      <c r="B34" s="120" t="str">
        <f t="shared" si="2"/>
        <v>4歳以上児配置改善加算単価</v>
      </c>
      <c r="C34" s="123">
        <f t="shared" si="2"/>
        <v>0</v>
      </c>
      <c r="D34" s="129"/>
      <c r="E34" s="132"/>
      <c r="F34" s="132"/>
      <c r="G34" s="132"/>
      <c r="H34" s="129"/>
      <c r="I34" s="132"/>
      <c r="J34" s="132"/>
      <c r="K34" s="132"/>
      <c r="L34" s="132"/>
      <c r="M34" s="132"/>
      <c r="N34" s="132"/>
      <c r="O34" s="132"/>
      <c r="P34" s="132"/>
      <c r="Q34" s="132"/>
      <c r="R34" s="132"/>
      <c r="S34" s="132"/>
      <c r="T34" s="131" t="e">
        <f>ROUNDDOWN(VLOOKUP($A34&amp;T$1,単価[],保育所単価!$M$1,FALSE)*(加算率b+VLOOKUP($A34&amp;T$1,単価[],保育所単価!$N$1,FALSE)),-1)*$C34</f>
        <v>#N/A</v>
      </c>
      <c r="U34" s="131" t="e">
        <f>ROUNDDOWN(VLOOKUP($A34&amp;U$1,単価[],保育所単価!$M$1,FALSE)*(加算率b+VLOOKUP($A34&amp;U$1,単価[],保育所単価!$N$1,FALSE)),-1)*$C34</f>
        <v>#N/A</v>
      </c>
      <c r="V34" s="131" t="e">
        <f>ROUNDDOWN(VLOOKUP($A34&amp;V$1,単価[],保育所単価!$M$1,FALSE)*(加算率b+VLOOKUP($A34&amp;V$1,単価[],保育所単価!$N$1,FALSE)),-1)*$C34</f>
        <v>#N/A</v>
      </c>
      <c r="W34" s="131" t="e">
        <f>ROUNDDOWN(VLOOKUP($A34&amp;W$1,単価[],保育所単価!$M$1,FALSE)*(加算率b+VLOOKUP($A34&amp;W$1,単価[],保育所単価!$N$1,FALSE)),-1)*$C34</f>
        <v>#N/A</v>
      </c>
      <c r="X34" s="131" t="e">
        <f>ROUNDDOWN(VLOOKUP($A34&amp;X$1,単価[],保育所単価!$M$1,FALSE)*(加算率b+VLOOKUP($A34&amp;X$1,単価[],保育所単価!$N$1,FALSE)),-1)*$C34</f>
        <v>#N/A</v>
      </c>
      <c r="Y34" s="131" t="e">
        <f>ROUNDDOWN(VLOOKUP($A34&amp;Y$1,単価[],保育所単価!$M$1,FALSE)*(加算率b+VLOOKUP($A34&amp;Y$1,単価[],保育所単価!$N$1,FALSE)),-1)*$C34</f>
        <v>#N/A</v>
      </c>
      <c r="Z34" s="131" t="e">
        <f>ROUNDDOWN(VLOOKUP($A34&amp;Z$1,単価[],保育所単価!$M$1,FALSE)*(加算率b+VLOOKUP($A34&amp;Z$1,単価[],保育所単価!$N$1,FALSE)),-1)*$C34</f>
        <v>#N/A</v>
      </c>
      <c r="AA34" s="131" t="e">
        <f>ROUNDDOWN(VLOOKUP($A34&amp;AA$1,単価[],保育所単価!$M$1,FALSE)*(加算率b+VLOOKUP($A34&amp;AA$1,単価[],保育所単価!$N$1,FALSE)),-1)*$C34</f>
        <v>#N/A</v>
      </c>
    </row>
    <row r="35" spans="1:27">
      <c r="A35" s="140" t="e">
        <f t="shared" si="2"/>
        <v>#N/A</v>
      </c>
      <c r="B35" s="120" t="str">
        <f t="shared" si="2"/>
        <v>1歳児配置改善加算単価</v>
      </c>
      <c r="C35" s="123">
        <f t="shared" si="2"/>
        <v>0</v>
      </c>
      <c r="D35" s="129"/>
      <c r="E35" s="132"/>
      <c r="F35" s="132"/>
      <c r="G35" s="132"/>
      <c r="H35" s="131" t="e">
        <f>ROUNDDOWN(VLOOKUP($A35&amp;H$1,単価[],保育所単価!$O$1,FALSE)*(加算率b+VLOOKUP($A35&amp;H$1,単価[],保育所単価!$P$1,FALSE)),-1)*$C35</f>
        <v>#N/A</v>
      </c>
      <c r="I35" s="131" t="e">
        <f>ROUNDDOWN(VLOOKUP($A35&amp;I$1,単価[],保育所単価!$O$1,FALSE)*(加算率b+VLOOKUP($A35&amp;I$1,単価[],保育所単価!$P$1,FALSE)),-1)*$C35</f>
        <v>#N/A</v>
      </c>
      <c r="J35" s="131" t="e">
        <f>ROUNDDOWN(VLOOKUP($A35&amp;J$1,単価[],保育所単価!$O$1,FALSE)*(加算率b+VLOOKUP($A35&amp;J$1,単価[],保育所単価!$P$1,FALSE)),-1)*$C35</f>
        <v>#N/A</v>
      </c>
      <c r="K35" s="131" t="e">
        <f>ROUNDDOWN(VLOOKUP($A35&amp;K$1,単価[],保育所単価!$O$1,FALSE)*(加算率b+VLOOKUP($A35&amp;K$1,単価[],保育所単価!$P$1,FALSE)),-1)*$C35</f>
        <v>#N/A</v>
      </c>
      <c r="L35" s="132"/>
      <c r="M35" s="132"/>
      <c r="N35" s="132"/>
      <c r="O35" s="132"/>
      <c r="P35" s="132"/>
      <c r="Q35" s="132"/>
      <c r="R35" s="132"/>
      <c r="S35" s="132"/>
      <c r="T35" s="132"/>
      <c r="U35" s="132"/>
      <c r="V35" s="129"/>
      <c r="W35" s="132"/>
      <c r="X35" s="132"/>
      <c r="Y35" s="132"/>
      <c r="Z35" s="132"/>
      <c r="AA35" s="132"/>
    </row>
    <row r="36" spans="1:27">
      <c r="A36" s="140">
        <f t="shared" si="2"/>
        <v>1</v>
      </c>
      <c r="B36" s="120" t="str">
        <f t="shared" si="2"/>
        <v>休日保育加算単価</v>
      </c>
      <c r="C36" s="123">
        <f t="shared" si="2"/>
        <v>0</v>
      </c>
      <c r="D36" s="131" t="e">
        <f>ROUNDDOWN(VLOOKUP($A36,保育所単価!$AC$8:$AE$22,2,FALSE)*(加算率b+VLOOKUP($A36,保育所単価!$AC$8:$AE$22,3,FALSE))/'2_区分12加算額計算表'!$D$19,-1)*$C36</f>
        <v>#N/A</v>
      </c>
      <c r="E36" s="131" t="e">
        <f>ROUNDDOWN(VLOOKUP($A36,保育所単価!$AC$8:$AE$22,2,FALSE)*(加算率b+VLOOKUP($A36,保育所単価!$AC$8:$AE$22,3,FALSE))/'2_区分12加算額計算表'!$D$19,-1)*$C36</f>
        <v>#N/A</v>
      </c>
      <c r="F36" s="131" t="e">
        <f>ROUNDDOWN(VLOOKUP($A36,保育所単価!$AC$8:$AE$22,2,FALSE)*(加算率b+VLOOKUP($A36,保育所単価!$AC$8:$AE$22,3,FALSE))/'2_区分12加算額計算表'!$D$19,-1)*$C36</f>
        <v>#N/A</v>
      </c>
      <c r="G36" s="131" t="e">
        <f>ROUNDDOWN(VLOOKUP($A36,保育所単価!$AC$8:$AE$22,2,FALSE)*(加算率b+VLOOKUP($A36,保育所単価!$AC$8:$AE$22,3,FALSE))/'2_区分12加算額計算表'!$D$19,-1)*$C36</f>
        <v>#N/A</v>
      </c>
      <c r="H36" s="131" t="e">
        <f>ROUNDDOWN(VLOOKUP($A36,保育所単価!$AC$8:$AE$22,2,FALSE)*(加算率b+VLOOKUP($A36,保育所単価!$AC$8:$AE$22,3,FALSE))/'2_区分12加算額計算表'!$D$19,-1)*$C36</f>
        <v>#N/A</v>
      </c>
      <c r="I36" s="131" t="e">
        <f>ROUNDDOWN(VLOOKUP($A36,保育所単価!$AC$8:$AE$22,2,FALSE)*(加算率b+VLOOKUP($A36,保育所単価!$AC$8:$AE$22,3,FALSE))/'2_区分12加算額計算表'!$D$19,-1)*$C36</f>
        <v>#N/A</v>
      </c>
      <c r="J36" s="131" t="e">
        <f>ROUNDDOWN(VLOOKUP($A36,保育所単価!$AC$8:$AE$22,2,FALSE)*(加算率b+VLOOKUP($A36,保育所単価!$AC$8:$AE$22,3,FALSE))/'2_区分12加算額計算表'!$D$19,-1)*$C36</f>
        <v>#N/A</v>
      </c>
      <c r="K36" s="131" t="e">
        <f>ROUNDDOWN(VLOOKUP($A36,保育所単価!$AC$8:$AE$22,2,FALSE)*(加算率b+VLOOKUP($A36,保育所単価!$AC$8:$AE$22,3,FALSE))/'2_区分12加算額計算表'!$D$19,-1)*$C36</f>
        <v>#N/A</v>
      </c>
      <c r="L36" s="131" t="e">
        <f>ROUNDDOWN(VLOOKUP($A36,保育所単価!$AC$8:$AE$22,2,FALSE)*(加算率b+VLOOKUP($A36,保育所単価!$AC$8:$AE$22,3,FALSE))/'2_区分12加算額計算表'!$D$19,-1)*$C36</f>
        <v>#N/A</v>
      </c>
      <c r="M36" s="131" t="e">
        <f>ROUNDDOWN(VLOOKUP($A36,保育所単価!$AC$8:$AE$22,2,FALSE)*(加算率b+VLOOKUP($A36,保育所単価!$AC$8:$AE$22,3,FALSE))/'2_区分12加算額計算表'!$D$19,-1)*$C36</f>
        <v>#N/A</v>
      </c>
      <c r="N36" s="131" t="e">
        <f>ROUNDDOWN(VLOOKUP($A36,保育所単価!$AC$8:$AE$22,2,FALSE)*(加算率b+VLOOKUP($A36,保育所単価!$AC$8:$AE$22,3,FALSE))/'2_区分12加算額計算表'!$D$19,-1)*$C36</f>
        <v>#N/A</v>
      </c>
      <c r="O36" s="131" t="e">
        <f>ROUNDDOWN(VLOOKUP($A36,保育所単価!$AC$8:$AE$22,2,FALSE)*(加算率b+VLOOKUP($A36,保育所単価!$AC$8:$AE$22,3,FALSE))/'2_区分12加算額計算表'!$D$19,-1)*$C36</f>
        <v>#N/A</v>
      </c>
      <c r="P36" s="131" t="e">
        <f>ROUNDDOWN(VLOOKUP($A36,保育所単価!$AC$8:$AE$22,2,FALSE)*(加算率b+VLOOKUP($A36,保育所単価!$AC$8:$AE$22,3,FALSE))/'2_区分12加算額計算表'!$D$19,-1)*$C36</f>
        <v>#N/A</v>
      </c>
      <c r="Q36" s="131" t="e">
        <f>ROUNDDOWN(VLOOKUP($A36,保育所単価!$AC$8:$AE$22,2,FALSE)*(加算率b+VLOOKUP($A36,保育所単価!$AC$8:$AE$22,3,FALSE))/'2_区分12加算額計算表'!$D$19,-1)*$C36</f>
        <v>#N/A</v>
      </c>
      <c r="R36" s="131" t="e">
        <f>ROUNDDOWN(VLOOKUP($A36,保育所単価!$AC$8:$AE$22,2,FALSE)*(加算率b+VLOOKUP($A36,保育所単価!$AC$8:$AE$22,3,FALSE))/'2_区分12加算額計算表'!$D$19,-1)*$C36</f>
        <v>#N/A</v>
      </c>
      <c r="S36" s="131" t="e">
        <f>ROUNDDOWN(VLOOKUP($A36,保育所単価!$AC$8:$AE$22,2,FALSE)*(加算率b+VLOOKUP($A36,保育所単価!$AC$8:$AE$22,3,FALSE))/'2_区分12加算額計算表'!$D$19,-1)*$C36</f>
        <v>#N/A</v>
      </c>
      <c r="T36" s="131" t="e">
        <f>ROUNDDOWN(VLOOKUP($A36,保育所単価!$AC$8:$AE$22,2,FALSE)*(加算率b+VLOOKUP($A36,保育所単価!$AC$8:$AE$22,3,FALSE))/'2_区分12加算額計算表'!$D$19,-1)*$C36</f>
        <v>#N/A</v>
      </c>
      <c r="U36" s="131" t="e">
        <f>ROUNDDOWN(VLOOKUP($A36,保育所単価!$AC$8:$AE$22,2,FALSE)*(加算率b+VLOOKUP($A36,保育所単価!$AC$8:$AE$22,3,FALSE))/'2_区分12加算額計算表'!$D$19,-1)*$C36</f>
        <v>#N/A</v>
      </c>
      <c r="V36" s="131" t="e">
        <f>ROUNDDOWN(VLOOKUP($A36,保育所単価!$AC$8:$AE$22,2,FALSE)*(加算率b+VLOOKUP($A36,保育所単価!$AC$8:$AE$22,3,FALSE))/'2_区分12加算額計算表'!$D$19,-1)*$C36</f>
        <v>#N/A</v>
      </c>
      <c r="W36" s="131" t="e">
        <f>ROUNDDOWN(VLOOKUP($A36,保育所単価!$AC$8:$AE$22,2,FALSE)*(加算率b+VLOOKUP($A36,保育所単価!$AC$8:$AE$22,3,FALSE))/'2_区分12加算額計算表'!$D$19,-1)*$C36</f>
        <v>#N/A</v>
      </c>
      <c r="X36" s="131" t="e">
        <f>ROUNDDOWN(VLOOKUP($A36,保育所単価!$AC$8:$AE$22,2,FALSE)*(加算率b+VLOOKUP($A36,保育所単価!$AC$8:$AE$22,3,FALSE))/'2_区分12加算額計算表'!$D$19,-1)*$C36</f>
        <v>#N/A</v>
      </c>
      <c r="Y36" s="131" t="e">
        <f>ROUNDDOWN(VLOOKUP($A36,保育所単価!$AC$8:$AE$22,2,FALSE)*(加算率b+VLOOKUP($A36,保育所単価!$AC$8:$AE$22,3,FALSE))/'2_区分12加算額計算表'!$D$19,-1)*$C36</f>
        <v>#N/A</v>
      </c>
      <c r="Z36" s="131" t="e">
        <f>ROUNDDOWN(VLOOKUP($A36,保育所単価!$AC$8:$AE$22,2,FALSE)*(加算率b+VLOOKUP($A36,保育所単価!$AC$8:$AE$22,3,FALSE))/'2_区分12加算額計算表'!$D$19,-1)*$C36</f>
        <v>#N/A</v>
      </c>
      <c r="AA36" s="131" t="e">
        <f>ROUNDDOWN(VLOOKUP($A36,保育所単価!$AC$8:$AE$22,2,FALSE)*(加算率b+VLOOKUP($A36,保育所単価!$AC$8:$AE$22,3,FALSE))/'2_区分12加算額計算表'!$D$19,-1)*$C36</f>
        <v>#N/A</v>
      </c>
    </row>
    <row r="37" spans="1:27">
      <c r="A37" s="140" t="e">
        <f t="shared" si="2"/>
        <v>#N/A</v>
      </c>
      <c r="B37" s="120" t="str">
        <f t="shared" si="2"/>
        <v>夜間保育加算単価</v>
      </c>
      <c r="C37" s="123">
        <f t="shared" si="2"/>
        <v>0</v>
      </c>
      <c r="D37" s="131" t="e">
        <f>ROUNDDOWN(VLOOKUP($A37&amp;D$1,単価[],保育所単価!$Q$1,FALSE)*(加算率b+VLOOKUP($A37&amp;D$1,単価[],保育所単価!$R$1,FALSE)),-1)*$C37</f>
        <v>#N/A</v>
      </c>
      <c r="E37" s="131" t="e">
        <f>ROUNDDOWN(VLOOKUP($A37&amp;E$1,単価[],保育所単価!$Q$1,FALSE)*(加算率b+VLOOKUP($A37&amp;E$1,単価[],保育所単価!$R$1,FALSE)),-1)*$C37</f>
        <v>#N/A</v>
      </c>
      <c r="F37" s="131" t="e">
        <f>ROUNDDOWN(VLOOKUP($A37&amp;F$1,単価[],保育所単価!$Q$1,FALSE)*(加算率b+VLOOKUP($A37&amp;F$1,単価[],保育所単価!$R$1,FALSE)),-1)*$C37</f>
        <v>#N/A</v>
      </c>
      <c r="G37" s="131" t="e">
        <f>ROUNDDOWN(VLOOKUP($A37&amp;G$1,単価[],保育所単価!$Q$1,FALSE)*(加算率b+VLOOKUP($A37&amp;G$1,単価[],保育所単価!$R$1,FALSE)),-1)*$C37</f>
        <v>#N/A</v>
      </c>
      <c r="H37" s="131" t="e">
        <f>ROUNDDOWN(VLOOKUP($A37&amp;H$1,単価[],保育所単価!$Q$1,FALSE)*(加算率b+VLOOKUP($A37&amp;H$1,単価[],保育所単価!$R$1,FALSE)),-1)*$C37</f>
        <v>#N/A</v>
      </c>
      <c r="I37" s="131" t="e">
        <f>ROUNDDOWN(VLOOKUP($A37&amp;I$1,単価[],保育所単価!$Q$1,FALSE)*(加算率b+VLOOKUP($A37&amp;I$1,単価[],保育所単価!$R$1,FALSE)),-1)*$C37</f>
        <v>#N/A</v>
      </c>
      <c r="J37" s="131" t="e">
        <f>ROUNDDOWN(VLOOKUP($A37&amp;J$1,単価[],保育所単価!$Q$1,FALSE)*(加算率b+VLOOKUP($A37&amp;J$1,単価[],保育所単価!$R$1,FALSE)),-1)*$C37</f>
        <v>#N/A</v>
      </c>
      <c r="K37" s="131" t="e">
        <f>ROUNDDOWN(VLOOKUP($A37&amp;K$1,単価[],保育所単価!$Q$1,FALSE)*(加算率b+VLOOKUP($A37&amp;K$1,単価[],保育所単価!$R$1,FALSE)),-1)*$C37</f>
        <v>#N/A</v>
      </c>
      <c r="L37" s="131" t="e">
        <f>ROUNDDOWN(VLOOKUP($A37&amp;L$1,単価[],保育所単価!$Q$1,FALSE)*(加算率b+VLOOKUP($A37&amp;L$1,単価[],保育所単価!$R$1,FALSE)),-1)*$C37</f>
        <v>#N/A</v>
      </c>
      <c r="M37" s="131" t="e">
        <f>ROUNDDOWN(VLOOKUP($A37&amp;M$1,単価[],保育所単価!$Q$1,FALSE)*(加算率b+VLOOKUP($A37&amp;M$1,単価[],保育所単価!$R$1,FALSE)),-1)*$C37</f>
        <v>#N/A</v>
      </c>
      <c r="N37" s="131" t="e">
        <f>ROUNDDOWN(VLOOKUP($A37&amp;N$1,単価[],保育所単価!$Q$1,FALSE)*(加算率b+VLOOKUP($A37&amp;N$1,単価[],保育所単価!$R$1,FALSE)),-1)*$C37</f>
        <v>#N/A</v>
      </c>
      <c r="O37" s="131" t="e">
        <f>ROUNDDOWN(VLOOKUP($A37&amp;O$1,単価[],保育所単価!$Q$1,FALSE)*(加算率b+VLOOKUP($A37&amp;O$1,単価[],保育所単価!$R$1,FALSE)),-1)*$C37</f>
        <v>#N/A</v>
      </c>
      <c r="P37" s="131" t="e">
        <f>ROUNDDOWN(VLOOKUP($A37&amp;P$1,単価[],保育所単価!$Q$1,FALSE)*(加算率b+VLOOKUP($A37&amp;P$1,単価[],保育所単価!$R$1,FALSE)),-1)*$C37</f>
        <v>#N/A</v>
      </c>
      <c r="Q37" s="131" t="e">
        <f>ROUNDDOWN(VLOOKUP($A37&amp;Q$1,単価[],保育所単価!$Q$1,FALSE)*(加算率b+VLOOKUP($A37&amp;Q$1,単価[],保育所単価!$R$1,FALSE)),-1)*$C37</f>
        <v>#N/A</v>
      </c>
      <c r="R37" s="131" t="e">
        <f>ROUNDDOWN(VLOOKUP($A37&amp;R$1,単価[],保育所単価!$Q$1,FALSE)*(加算率b+VLOOKUP($A37&amp;R$1,単価[],保育所単価!$R$1,FALSE)),-1)*$C37</f>
        <v>#N/A</v>
      </c>
      <c r="S37" s="131" t="e">
        <f>ROUNDDOWN(VLOOKUP($A37&amp;S$1,単価[],保育所単価!$Q$1,FALSE)*(加算率b+VLOOKUP($A37&amp;S$1,単価[],保育所単価!$R$1,FALSE)),-1)*$C37</f>
        <v>#N/A</v>
      </c>
      <c r="T37" s="131" t="e">
        <f>ROUNDDOWN(VLOOKUP($A37&amp;T$1,単価[],保育所単価!$Q$1,FALSE)*(加算率b+VLOOKUP($A37&amp;T$1,単価[],保育所単価!$R$1,FALSE)),-1)*$C37</f>
        <v>#N/A</v>
      </c>
      <c r="U37" s="131" t="e">
        <f>ROUNDDOWN(VLOOKUP($A37&amp;U$1,単価[],保育所単価!$Q$1,FALSE)*(加算率b+VLOOKUP($A37&amp;U$1,単価[],保育所単価!$R$1,FALSE)),-1)*$C37</f>
        <v>#N/A</v>
      </c>
      <c r="V37" s="131" t="e">
        <f>ROUNDDOWN(VLOOKUP($A37&amp;V$1,単価[],保育所単価!$Q$1,FALSE)*(加算率b+VLOOKUP($A37&amp;V$1,単価[],保育所単価!$R$1,FALSE)),-1)*$C37</f>
        <v>#N/A</v>
      </c>
      <c r="W37" s="131" t="e">
        <f>ROUNDDOWN(VLOOKUP($A37&amp;W$1,単価[],保育所単価!$Q$1,FALSE)*(加算率b+VLOOKUP($A37&amp;W$1,単価[],保育所単価!$R$1,FALSE)),-1)*$C37</f>
        <v>#N/A</v>
      </c>
      <c r="X37" s="131" t="e">
        <f>ROUNDDOWN(VLOOKUP($A37&amp;X$1,単価[],保育所単価!$Q$1,FALSE)*(加算率b+VLOOKUP($A37&amp;X$1,単価[],保育所単価!$R$1,FALSE)),-1)*$C37</f>
        <v>#N/A</v>
      </c>
      <c r="Y37" s="131" t="e">
        <f>ROUNDDOWN(VLOOKUP($A37&amp;Y$1,単価[],保育所単価!$Q$1,FALSE)*(加算率b+VLOOKUP($A37&amp;Y$1,単価[],保育所単価!$R$1,FALSE)),-1)*$C37</f>
        <v>#N/A</v>
      </c>
      <c r="Z37" s="131" t="e">
        <f>ROUNDDOWN(VLOOKUP($A37&amp;Z$1,単価[],保育所単価!$Q$1,FALSE)*(加算率b+VLOOKUP($A37&amp;Z$1,単価[],保育所単価!$R$1,FALSE)),-1)*$C37</f>
        <v>#N/A</v>
      </c>
      <c r="AA37" s="131" t="e">
        <f>ROUNDDOWN(VLOOKUP($A37&amp;AA$1,単価[],保育所単価!$Q$1,FALSE)*(加算率b+VLOOKUP($A37&amp;AA$1,単価[],保育所単価!$R$1,FALSE)),-1)*$C37</f>
        <v>#N/A</v>
      </c>
    </row>
    <row r="38" spans="1:27">
      <c r="A38" s="140" t="e">
        <f t="shared" si="2"/>
        <v>#N/A</v>
      </c>
      <c r="B38" s="120" t="str">
        <f t="shared" si="2"/>
        <v>チーム保育推進加算単価</v>
      </c>
      <c r="C38" s="123">
        <f t="shared" si="2"/>
        <v>0</v>
      </c>
      <c r="D38" s="131" t="e">
        <f>ROUNDDOWN(VLOOKUP($A38&amp;D$1,単価[],保育所単価!$S$1,FALSE)*(加算率b+VLOOKUP($A38&amp;D$1,単価[],保育所単価!$T$1,FALSE)),-1)*$C38</f>
        <v>#N/A</v>
      </c>
      <c r="E38" s="131" t="e">
        <f>ROUNDDOWN(VLOOKUP($A38&amp;E$1,単価[],保育所単価!$S$1,FALSE)*(加算率b+VLOOKUP($A38&amp;E$1,単価[],保育所単価!$T$1,FALSE)),-1)*$C38</f>
        <v>#N/A</v>
      </c>
      <c r="F38" s="131" t="e">
        <f>ROUNDDOWN(VLOOKUP($A38&amp;F$1,単価[],保育所単価!$S$1,FALSE)*(加算率b+VLOOKUP($A38&amp;F$1,単価[],保育所単価!$T$1,FALSE)),-1)*$C38</f>
        <v>#N/A</v>
      </c>
      <c r="G38" s="131" t="e">
        <f>ROUNDDOWN(VLOOKUP($A38&amp;G$1,単価[],保育所単価!$S$1,FALSE)*(加算率b+VLOOKUP($A38&amp;G$1,単価[],保育所単価!$T$1,FALSE)),-1)*$C38</f>
        <v>#N/A</v>
      </c>
      <c r="H38" s="131" t="e">
        <f>ROUNDDOWN(VLOOKUP($A38&amp;H$1,単価[],保育所単価!$S$1,FALSE)*(加算率b+VLOOKUP($A38&amp;H$1,単価[],保育所単価!$T$1,FALSE)),-1)*$C38</f>
        <v>#N/A</v>
      </c>
      <c r="I38" s="131" t="e">
        <f>ROUNDDOWN(VLOOKUP($A38&amp;I$1,単価[],保育所単価!$S$1,FALSE)*(加算率b+VLOOKUP($A38&amp;I$1,単価[],保育所単価!$T$1,FALSE)),-1)*$C38</f>
        <v>#N/A</v>
      </c>
      <c r="J38" s="131" t="e">
        <f>ROUNDDOWN(VLOOKUP($A38&amp;J$1,単価[],保育所単価!$S$1,FALSE)*(加算率b+VLOOKUP($A38&amp;J$1,単価[],保育所単価!$T$1,FALSE)),-1)*$C38</f>
        <v>#N/A</v>
      </c>
      <c r="K38" s="131" t="e">
        <f>ROUNDDOWN(VLOOKUP($A38&amp;K$1,単価[],保育所単価!$S$1,FALSE)*(加算率b+VLOOKUP($A38&amp;K$1,単価[],保育所単価!$T$1,FALSE)),-1)*$C38</f>
        <v>#N/A</v>
      </c>
      <c r="L38" s="131" t="e">
        <f>ROUNDDOWN(VLOOKUP($A38&amp;L$1,単価[],保育所単価!$S$1,FALSE)*(加算率b+VLOOKUP($A38&amp;L$1,単価[],保育所単価!$T$1,FALSE)),-1)*$C38</f>
        <v>#N/A</v>
      </c>
      <c r="M38" s="131" t="e">
        <f>ROUNDDOWN(VLOOKUP($A38&amp;M$1,単価[],保育所単価!$S$1,FALSE)*(加算率b+VLOOKUP($A38&amp;M$1,単価[],保育所単価!$T$1,FALSE)),-1)*$C38</f>
        <v>#N/A</v>
      </c>
      <c r="N38" s="131" t="e">
        <f>ROUNDDOWN(VLOOKUP($A38&amp;N$1,単価[],保育所単価!$S$1,FALSE)*(加算率b+VLOOKUP($A38&amp;N$1,単価[],保育所単価!$T$1,FALSE)),-1)*$C38</f>
        <v>#N/A</v>
      </c>
      <c r="O38" s="131" t="e">
        <f>ROUNDDOWN(VLOOKUP($A38&amp;O$1,単価[],保育所単価!$S$1,FALSE)*(加算率b+VLOOKUP($A38&amp;O$1,単価[],保育所単価!$T$1,FALSE)),-1)*$C38</f>
        <v>#N/A</v>
      </c>
      <c r="P38" s="131" t="e">
        <f>ROUNDDOWN(VLOOKUP($A38&amp;P$1,単価[],保育所単価!$S$1,FALSE)*(加算率b+VLOOKUP($A38&amp;P$1,単価[],保育所単価!$T$1,FALSE)),-1)*$C38</f>
        <v>#N/A</v>
      </c>
      <c r="Q38" s="131" t="e">
        <f>ROUNDDOWN(VLOOKUP($A38&amp;Q$1,単価[],保育所単価!$S$1,FALSE)*(加算率b+VLOOKUP($A38&amp;Q$1,単価[],保育所単価!$T$1,FALSE)),-1)*$C38</f>
        <v>#N/A</v>
      </c>
      <c r="R38" s="131" t="e">
        <f>ROUNDDOWN(VLOOKUP($A38&amp;R$1,単価[],保育所単価!$S$1,FALSE)*(加算率b+VLOOKUP($A38&amp;R$1,単価[],保育所単価!$T$1,FALSE)),-1)*$C38</f>
        <v>#N/A</v>
      </c>
      <c r="S38" s="131" t="e">
        <f>ROUNDDOWN(VLOOKUP($A38&amp;S$1,単価[],保育所単価!$S$1,FALSE)*(加算率b+VLOOKUP($A38&amp;S$1,単価[],保育所単価!$T$1,FALSE)),-1)*$C38</f>
        <v>#N/A</v>
      </c>
      <c r="T38" s="131" t="e">
        <f>ROUNDDOWN(VLOOKUP($A38&amp;T$1,単価[],保育所単価!$S$1,FALSE)*(加算率b+VLOOKUP($A38&amp;T$1,単価[],保育所単価!$T$1,FALSE)),-1)*$C38</f>
        <v>#N/A</v>
      </c>
      <c r="U38" s="131" t="e">
        <f>ROUNDDOWN(VLOOKUP($A38&amp;U$1,単価[],保育所単価!$S$1,FALSE)*(加算率b+VLOOKUP($A38&amp;U$1,単価[],保育所単価!$T$1,FALSE)),-1)*$C38</f>
        <v>#N/A</v>
      </c>
      <c r="V38" s="131" t="e">
        <f>ROUNDDOWN(VLOOKUP($A38&amp;V$1,単価[],保育所単価!$S$1,FALSE)*(加算率b+VLOOKUP($A38&amp;V$1,単価[],保育所単価!$T$1,FALSE)),-1)*$C38</f>
        <v>#N/A</v>
      </c>
      <c r="W38" s="131" t="e">
        <f>ROUNDDOWN(VLOOKUP($A38&amp;W$1,単価[],保育所単価!$S$1,FALSE)*(加算率b+VLOOKUP($A38&amp;W$1,単価[],保育所単価!$T$1,FALSE)),-1)*$C38</f>
        <v>#N/A</v>
      </c>
      <c r="X38" s="131" t="e">
        <f>ROUNDDOWN(VLOOKUP($A38&amp;X$1,単価[],保育所単価!$S$1,FALSE)*(加算率b+VLOOKUP($A38&amp;X$1,単価[],保育所単価!$T$1,FALSE)),-1)*$C38</f>
        <v>#N/A</v>
      </c>
      <c r="Y38" s="131" t="e">
        <f>ROUNDDOWN(VLOOKUP($A38&amp;Y$1,単価[],保育所単価!$S$1,FALSE)*(加算率b+VLOOKUP($A38&amp;Y$1,単価[],保育所単価!$T$1,FALSE)),-1)*$C38</f>
        <v>#N/A</v>
      </c>
      <c r="Z38" s="131" t="e">
        <f>ROUNDDOWN(VLOOKUP($A38&amp;Z$1,単価[],保育所単価!$S$1,FALSE)*(加算率b+VLOOKUP($A38&amp;Z$1,単価[],保育所単価!$T$1,FALSE)),-1)*$C38</f>
        <v>#N/A</v>
      </c>
      <c r="AA38" s="131" t="e">
        <f>ROUNDDOWN(VLOOKUP($A38&amp;AA$1,単価[],保育所単価!$S$1,FALSE)*(加算率b+VLOOKUP($A38&amp;AA$1,単価[],保育所単価!$T$1,FALSE)),-1)*$C38</f>
        <v>#N/A</v>
      </c>
    </row>
    <row r="39" spans="1:27">
      <c r="A39" s="140">
        <f t="shared" si="2"/>
        <v>0</v>
      </c>
      <c r="B39" s="120" t="str">
        <f t="shared" si="2"/>
        <v>分園の調整</v>
      </c>
      <c r="C39" s="123">
        <f t="shared" si="2"/>
        <v>0</v>
      </c>
      <c r="D39" s="129"/>
      <c r="E39" s="132"/>
      <c r="F39" s="131" t="e">
        <f>ROUNDDOWN(SUM(F31:F32)/10,-1)*-1</f>
        <v>#N/A</v>
      </c>
      <c r="G39" s="131" t="e">
        <f>ROUNDDOWN(SUM(G31:G32)/10,-1)*-1</f>
        <v>#N/A</v>
      </c>
      <c r="H39" s="129"/>
      <c r="I39" s="132"/>
      <c r="J39" s="131" t="e">
        <f>ROUNDDOWN(SUM(J31:J32)/10,-1)*-1</f>
        <v>#N/A</v>
      </c>
      <c r="K39" s="131" t="e">
        <f>ROUNDDOWN(SUM(K31:K32)/10,-1)*-1</f>
        <v>#N/A</v>
      </c>
      <c r="L39" s="132"/>
      <c r="M39" s="132"/>
      <c r="N39" s="131" t="e">
        <f>ROUNDDOWN(SUM(N31:N32)/10,-1)*-1</f>
        <v>#N/A</v>
      </c>
      <c r="O39" s="131" t="e">
        <f>ROUNDDOWN(SUM(O31:O32)/10,-1)*-1</f>
        <v>#N/A</v>
      </c>
      <c r="P39" s="132"/>
      <c r="Q39" s="132"/>
      <c r="R39" s="131" t="e">
        <f>ROUNDDOWN(SUM(R31:R32)/10,-1)*-1</f>
        <v>#N/A</v>
      </c>
      <c r="S39" s="131" t="e">
        <f>ROUNDDOWN(SUM(S31:S32)/10,-1)*-1</f>
        <v>#N/A</v>
      </c>
      <c r="T39" s="132"/>
      <c r="U39" s="132"/>
      <c r="V39" s="135" t="e">
        <f>ROUNDDOWN(SUM(V31:V32)/10,-1)*-1</f>
        <v>#N/A</v>
      </c>
      <c r="W39" s="131" t="e">
        <f>ROUNDDOWN(SUM(W31:W32)/10,-1)*-1</f>
        <v>#N/A</v>
      </c>
      <c r="X39" s="132"/>
      <c r="Y39" s="132"/>
      <c r="Z39" s="131" t="e">
        <f>ROUNDDOWN(SUM(Z31:Z32)/10,-1)*-1</f>
        <v>#N/A</v>
      </c>
      <c r="AA39" s="131" t="e">
        <f>ROUNDDOWN(SUM(AA31:AA32)/10,-1)*-1</f>
        <v>#N/A</v>
      </c>
    </row>
    <row r="40" spans="1:27">
      <c r="A40" s="140" t="e">
        <f t="shared" si="2"/>
        <v>#N/A</v>
      </c>
      <c r="B40" s="120" t="str">
        <f t="shared" si="2"/>
        <v>施設長を設置していない場合の調整（本園）</v>
      </c>
      <c r="C40" s="123">
        <f t="shared" si="2"/>
        <v>0</v>
      </c>
      <c r="D40" s="131" t="e">
        <f>ROUNDDOWN(VLOOKUP($A40&amp;D$1,単価[],保育所単価!$U$1,FALSE)*(加算率b+VLOOKUP($A40&amp;D$1,単価[],保育所単価!$V$1,FALSE))*-1*$C40,-1)</f>
        <v>#N/A</v>
      </c>
      <c r="E40" s="131" t="e">
        <f>ROUNDDOWN(VLOOKUP($A40&amp;E$1,単価[],保育所単価!$U$1,FALSE)*(加算率b+VLOOKUP($A40&amp;E$1,単価[],保育所単価!$V$1,FALSE))*-1*$C40,-1)</f>
        <v>#N/A</v>
      </c>
      <c r="F40" s="129"/>
      <c r="G40" s="132"/>
      <c r="H40" s="131" t="e">
        <f>ROUNDDOWN(VLOOKUP($A40&amp;H$1,単価[],保育所単価!$U$1,FALSE)*(加算率b+VLOOKUP($A40&amp;H$1,単価[],保育所単価!$V$1,FALSE))*-1*$C40,-1)</f>
        <v>#N/A</v>
      </c>
      <c r="I40" s="131" t="e">
        <f>ROUNDDOWN(VLOOKUP($A40&amp;I$1,単価[],保育所単価!$U$1,FALSE)*(加算率b+VLOOKUP($A40&amp;I$1,単価[],保育所単価!$V$1,FALSE))*-1*$C40,-1)</f>
        <v>#N/A</v>
      </c>
      <c r="J40" s="129"/>
      <c r="K40" s="132"/>
      <c r="L40" s="131" t="e">
        <f>ROUNDDOWN(VLOOKUP($A40&amp;L$1,単価[],保育所単価!$U$1,FALSE)*(加算率b+VLOOKUP($A40&amp;L$1,単価[],保育所単価!$V$1,FALSE))*-1*$C40,-1)</f>
        <v>#N/A</v>
      </c>
      <c r="M40" s="131" t="e">
        <f>ROUNDDOWN(VLOOKUP($A40&amp;M$1,単価[],保育所単価!$U$1,FALSE)*(加算率b+VLOOKUP($A40&amp;M$1,単価[],保育所単価!$V$1,FALSE))*-1*$C40,-1)</f>
        <v>#N/A</v>
      </c>
      <c r="N40" s="129"/>
      <c r="O40" s="132"/>
      <c r="P40" s="131" t="e">
        <f>ROUNDDOWN(VLOOKUP($A40&amp;P$1,単価[],保育所単価!$U$1,FALSE)*(加算率b+VLOOKUP($A40&amp;P$1,単価[],保育所単価!$V$1,FALSE))*-1*$C40,-1)</f>
        <v>#N/A</v>
      </c>
      <c r="Q40" s="131" t="e">
        <f>ROUNDDOWN(VLOOKUP($A40&amp;Q$1,単価[],保育所単価!$U$1,FALSE)*(加算率b+VLOOKUP($A40&amp;Q$1,単価[],保育所単価!$V$1,FALSE))*-1*$C40,-1)</f>
        <v>#N/A</v>
      </c>
      <c r="R40" s="129"/>
      <c r="S40" s="132"/>
      <c r="T40" s="131" t="e">
        <f>ROUNDDOWN(VLOOKUP($A40&amp;T$1,単価[],保育所単価!$U$1,FALSE)*(加算率b+VLOOKUP($A40&amp;T$1,単価[],保育所単価!$V$1,FALSE))*-1*$C40,-1)</f>
        <v>#N/A</v>
      </c>
      <c r="U40" s="131" t="e">
        <f>ROUNDDOWN(VLOOKUP($A40&amp;U$1,単価[],保育所単価!$U$1,FALSE)*(加算率b+VLOOKUP($A40&amp;U$1,単価[],保育所単価!$V$1,FALSE))*-1*$C40,-1)</f>
        <v>#N/A</v>
      </c>
      <c r="V40" s="129"/>
      <c r="W40" s="132"/>
      <c r="X40" s="131" t="e">
        <f>ROUNDDOWN(VLOOKUP($A40&amp;X$1,単価[],保育所単価!$U$1,FALSE)*(加算率b+VLOOKUP($A40&amp;X$1,単価[],保育所単価!$V$1,FALSE))*-1*$C40,-1)</f>
        <v>#N/A</v>
      </c>
      <c r="Y40" s="131" t="e">
        <f>ROUNDDOWN(VLOOKUP($A40&amp;Y$1,単価[],保育所単価!$U$1,FALSE)*(加算率b+VLOOKUP($A40&amp;Y$1,単価[],保育所単価!$V$1,FALSE))*-1*$C40,-1)</f>
        <v>#N/A</v>
      </c>
      <c r="Z40" s="129"/>
      <c r="AA40" s="132"/>
    </row>
    <row r="41" spans="1:27">
      <c r="A41" s="140">
        <f t="shared" si="2"/>
        <v>0</v>
      </c>
      <c r="B41" s="120" t="str">
        <f t="shared" si="2"/>
        <v>施設長を設置していない場合の調整（分園）</v>
      </c>
      <c r="C41" s="123">
        <f t="shared" si="2"/>
        <v>0</v>
      </c>
      <c r="D41" s="129"/>
      <c r="E41" s="132"/>
      <c r="F41" s="131" t="e">
        <f>ROUNDDOWN(VLOOKUP($A41&amp;F$1,単価[],保育所単価!$U$1,FALSE)*(加算率b+VLOOKUP($A41&amp;F$1,単価[],保育所単価!$V$1,FALSE))*-1*$C41,-1)</f>
        <v>#N/A</v>
      </c>
      <c r="G41" s="131" t="e">
        <f>ROUNDDOWN(VLOOKUP($A41&amp;G$1,単価[],保育所単価!$U$1,FALSE)*(加算率b+VLOOKUP($A41&amp;G$1,単価[],保育所単価!$V$1,FALSE))*-1*$C41,-1)</f>
        <v>#N/A</v>
      </c>
      <c r="H41" s="129"/>
      <c r="I41" s="132"/>
      <c r="J41" s="131" t="e">
        <f>ROUNDDOWN(VLOOKUP($A41&amp;J$1,単価[],保育所単価!$U$1,FALSE)*(加算率b+VLOOKUP($A41&amp;J$1,単価[],保育所単価!$V$1,FALSE))*-1*$C41,-1)</f>
        <v>#N/A</v>
      </c>
      <c r="K41" s="131" t="e">
        <f>ROUNDDOWN(VLOOKUP($A41&amp;K$1,単価[],保育所単価!$U$1,FALSE)*(加算率b+VLOOKUP($A41&amp;K$1,単価[],保育所単価!$V$1,FALSE))*-1*$C41,-1)</f>
        <v>#N/A</v>
      </c>
      <c r="L41" s="129"/>
      <c r="M41" s="132"/>
      <c r="N41" s="131" t="e">
        <f>ROUNDDOWN(VLOOKUP($A41&amp;N$1,単価[],保育所単価!$U$1,FALSE)*(加算率b+VLOOKUP($A41&amp;N$1,単価[],保育所単価!$V$1,FALSE))*-1*$C41,-1)</f>
        <v>#N/A</v>
      </c>
      <c r="O41" s="131" t="e">
        <f>ROUNDDOWN(VLOOKUP($A41&amp;O$1,単価[],保育所単価!$U$1,FALSE)*(加算率b+VLOOKUP($A41&amp;O$1,単価[],保育所単価!$V$1,FALSE))*-1*$C41,-1)</f>
        <v>#N/A</v>
      </c>
      <c r="P41" s="129"/>
      <c r="Q41" s="132"/>
      <c r="R41" s="131" t="e">
        <f>ROUNDDOWN(VLOOKUP($A41&amp;R$1,単価[],保育所単価!$U$1,FALSE)*(加算率b+VLOOKUP($A41&amp;R$1,単価[],保育所単価!$V$1,FALSE))*-1*$C41,-1)</f>
        <v>#N/A</v>
      </c>
      <c r="S41" s="131" t="e">
        <f>ROUNDDOWN(VLOOKUP($A41&amp;S$1,単価[],保育所単価!$U$1,FALSE)*(加算率b+VLOOKUP($A41&amp;S$1,単価[],保育所単価!$V$1,FALSE))*-1*$C41,-1)</f>
        <v>#N/A</v>
      </c>
      <c r="T41" s="129"/>
      <c r="U41" s="132"/>
      <c r="V41" s="131" t="e">
        <f>ROUNDDOWN(VLOOKUP($A41&amp;V$1,単価[],保育所単価!$U$1,FALSE)*(加算率b+VLOOKUP($A41&amp;V$1,単価[],保育所単価!$V$1,FALSE))*-1*$C41,-1)</f>
        <v>#N/A</v>
      </c>
      <c r="W41" s="131" t="e">
        <f>ROUNDDOWN(VLOOKUP($A41&amp;W$1,単価[],保育所単価!$U$1,FALSE)*(加算率b+VLOOKUP($A41&amp;W$1,単価[],保育所単価!$V$1,FALSE))*-1*$C41,-1)</f>
        <v>#N/A</v>
      </c>
      <c r="X41" s="129"/>
      <c r="Y41" s="132"/>
      <c r="Z41" s="131" t="e">
        <f>ROUNDDOWN(VLOOKUP($A41&amp;Z$1,単価[],保育所単価!$U$1,FALSE)*(加算率b+VLOOKUP($A41&amp;Z$1,単価[],保育所単価!$V$1,FALSE))*-1*$C41,-1)</f>
        <v>#N/A</v>
      </c>
      <c r="AA41" s="131" t="e">
        <f>ROUNDDOWN(VLOOKUP($A41&amp;AA$1,単価[],保育所単価!$U$1,FALSE)*(加算率b+VLOOKUP($A41&amp;AA$1,単価[],保育所単価!$V$1,FALSE))*-1*$C41,-1)</f>
        <v>#N/A</v>
      </c>
    </row>
    <row r="42" spans="1:27">
      <c r="A42" s="140">
        <f t="shared" si="2"/>
        <v>0</v>
      </c>
      <c r="B42" s="120" t="str">
        <f t="shared" si="2"/>
        <v>主任保育士専任加算単価</v>
      </c>
      <c r="C42" s="123">
        <f t="shared" si="2"/>
        <v>0</v>
      </c>
      <c r="D42" s="131" t="e">
        <f>ROUNDDOWN(保育所単価!$AJ15*(加算率b+保育所単価!$AK15)/'2_区分12加算額計算表'!$D$19,-1)*$C42</f>
        <v>#N/A</v>
      </c>
      <c r="E42" s="131" t="e">
        <f>ROUNDDOWN(保育所単価!$AJ15*(加算率b+保育所単価!$AK15)/'2_区分12加算額計算表'!$D$19,-1)*$C42</f>
        <v>#N/A</v>
      </c>
      <c r="F42" s="131" t="e">
        <f>ROUNDDOWN(保育所単価!$AJ15*(加算率b+保育所単価!$AK15)/'2_区分12加算額計算表'!$D$19,-1)*$C42</f>
        <v>#N/A</v>
      </c>
      <c r="G42" s="131" t="e">
        <f>ROUNDDOWN(保育所単価!$AJ15*(加算率b+保育所単価!$AK15)/'2_区分12加算額計算表'!$D$19,-1)*$C42</f>
        <v>#N/A</v>
      </c>
      <c r="H42" s="131" t="e">
        <f>ROUNDDOWN(保育所単価!$AJ15*(加算率b+保育所単価!$AK15)/'2_区分12加算額計算表'!$D$19,-1)*$C42</f>
        <v>#N/A</v>
      </c>
      <c r="I42" s="131" t="e">
        <f>ROUNDDOWN(保育所単価!$AJ15*(加算率b+保育所単価!$AK15)/'2_区分12加算額計算表'!$D$19,-1)*$C42</f>
        <v>#N/A</v>
      </c>
      <c r="J42" s="131" t="e">
        <f>ROUNDDOWN(保育所単価!$AJ15*(加算率b+保育所単価!$AK15)/'2_区分12加算額計算表'!$D$19,-1)*$C42</f>
        <v>#N/A</v>
      </c>
      <c r="K42" s="131" t="e">
        <f>ROUNDDOWN(保育所単価!$AJ15*(加算率b+保育所単価!$AK15)/'2_区分12加算額計算表'!$D$19,-1)*$C42</f>
        <v>#N/A</v>
      </c>
      <c r="L42" s="131" t="e">
        <f>ROUNDDOWN(保育所単価!$AJ15*(加算率b+保育所単価!$AK15)/'2_区分12加算額計算表'!$D$19,-1)*$C42</f>
        <v>#N/A</v>
      </c>
      <c r="M42" s="131" t="e">
        <f>ROUNDDOWN(保育所単価!$AJ15*(加算率b+保育所単価!$AK15)/'2_区分12加算額計算表'!$D$19,-1)*$C42</f>
        <v>#N/A</v>
      </c>
      <c r="N42" s="131" t="e">
        <f>ROUNDDOWN(保育所単価!$AJ15*(加算率b+保育所単価!$AK15)/'2_区分12加算額計算表'!$D$19,-1)*$C42</f>
        <v>#N/A</v>
      </c>
      <c r="O42" s="131" t="e">
        <f>ROUNDDOWN(保育所単価!$AJ15*(加算率b+保育所単価!$AK15)/'2_区分12加算額計算表'!$D$19,-1)*$C42</f>
        <v>#N/A</v>
      </c>
      <c r="P42" s="131" t="e">
        <f>ROUNDDOWN(保育所単価!$AJ15*(加算率b+保育所単価!$AK15)/'2_区分12加算額計算表'!$D$19,-1)*$C42</f>
        <v>#N/A</v>
      </c>
      <c r="Q42" s="131" t="e">
        <f>ROUNDDOWN(保育所単価!$AJ15*(加算率b+保育所単価!$AK15)/'2_区分12加算額計算表'!$D$19,-1)*$C42</f>
        <v>#N/A</v>
      </c>
      <c r="R42" s="131" t="e">
        <f>ROUNDDOWN(保育所単価!$AJ15*(加算率b+保育所単価!$AK15)/'2_区分12加算額計算表'!$D$19,-1)*$C42</f>
        <v>#N/A</v>
      </c>
      <c r="S42" s="131" t="e">
        <f>ROUNDDOWN(保育所単価!$AJ15*(加算率b+保育所単価!$AK15)/'2_区分12加算額計算表'!$D$19,-1)*$C42</f>
        <v>#N/A</v>
      </c>
      <c r="T42" s="131" t="e">
        <f>ROUNDDOWN(保育所単価!$AJ15*(加算率b+保育所単価!$AK15)/'2_区分12加算額計算表'!$D$19,-1)*$C42</f>
        <v>#N/A</v>
      </c>
      <c r="U42" s="131" t="e">
        <f>ROUNDDOWN(保育所単価!$AJ15*(加算率b+保育所単価!$AK15)/'2_区分12加算額計算表'!$D$19,-1)*$C42</f>
        <v>#N/A</v>
      </c>
      <c r="V42" s="131" t="e">
        <f>ROUNDDOWN(保育所単価!$AJ15*(加算率b+保育所単価!$AK15)/'2_区分12加算額計算表'!$D$19,-1)*$C42</f>
        <v>#N/A</v>
      </c>
      <c r="W42" s="131" t="e">
        <f>ROUNDDOWN(保育所単価!$AJ15*(加算率b+保育所単価!$AK15)/'2_区分12加算額計算表'!$D$19,-1)*$C42</f>
        <v>#N/A</v>
      </c>
      <c r="X42" s="131" t="e">
        <f>ROUNDDOWN(保育所単価!$AJ15*(加算率b+保育所単価!$AK15)/'2_区分12加算額計算表'!$D$19,-1)*$C42</f>
        <v>#N/A</v>
      </c>
      <c r="Y42" s="131" t="e">
        <f>ROUNDDOWN(保育所単価!$AJ15*(加算率b+保育所単価!$AK15)/'2_区分12加算額計算表'!$D$19,-1)*$C42</f>
        <v>#N/A</v>
      </c>
      <c r="Z42" s="131" t="e">
        <f>ROUNDDOWN(保育所単価!$AJ15*(加算率b+保育所単価!$AK15)/'2_区分12加算額計算表'!$D$19,-1)*$C42</f>
        <v>#N/A</v>
      </c>
      <c r="AA42" s="131" t="e">
        <f>ROUNDDOWN(保育所単価!$AJ15*(加算率b+保育所単価!$AK15)/'2_区分12加算額計算表'!$D$19,-1)*$C42</f>
        <v>#N/A</v>
      </c>
    </row>
    <row r="43" spans="1:27">
      <c r="A43" s="140">
        <f t="shared" si="2"/>
        <v>1</v>
      </c>
      <c r="B43" s="120" t="str">
        <f t="shared" si="2"/>
        <v>療育支援加算単価</v>
      </c>
      <c r="C43" s="123">
        <f t="shared" si="2"/>
        <v>0</v>
      </c>
      <c r="D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E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F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G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H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I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J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K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L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M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N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O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P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Q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R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S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T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U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V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W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X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Y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Z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AA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row>
    <row r="44" spans="1:27">
      <c r="A44" s="140">
        <f t="shared" si="2"/>
        <v>0</v>
      </c>
      <c r="B44" s="120" t="str">
        <f t="shared" si="2"/>
        <v>事務職員雇上費加算単価</v>
      </c>
      <c r="C44" s="123">
        <f t="shared" si="2"/>
        <v>0</v>
      </c>
      <c r="D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E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F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G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H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I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J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K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L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M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N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O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P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Q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R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S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T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U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V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W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X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Y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Z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AA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row>
    <row r="45" spans="1:27">
      <c r="A45" s="140">
        <f t="shared" ref="A45:C46" si="3">A23</f>
        <v>0</v>
      </c>
      <c r="B45" s="121" t="str">
        <f t="shared" si="3"/>
        <v>栄養管理加算単価</v>
      </c>
      <c r="C45" s="124">
        <f t="shared" si="3"/>
        <v>0</v>
      </c>
      <c r="D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E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F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G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H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I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J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K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L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M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N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O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P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Q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R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S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T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U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V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W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X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Y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Z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AA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row>
    <row r="46" spans="1:27">
      <c r="A46" s="140" t="e">
        <f t="shared" si="3"/>
        <v>#N/A</v>
      </c>
      <c r="B46" s="116" t="str">
        <f>B24</f>
        <v>土曜閉所減算単価</v>
      </c>
      <c r="C46" s="111" t="str">
        <f>C24</f>
        <v>Q</v>
      </c>
      <c r="D46" s="131">
        <f>IF($C46="Q",0,ROUNDDOWN(SUM(D29:D35,D37)*VLOOKUP($A46&amp;D$1,単価[],保育所単価!$W$1+$C46,FALSE),-1))*-1</f>
        <v>0</v>
      </c>
      <c r="E46" s="131">
        <f>IF($C46="Q",0,ROUNDDOWN(SUM(E29:E35,E37)*VLOOKUP($A46&amp;E$1,単価[],保育所単価!$W$1+$C46,FALSE),-1))*-1</f>
        <v>0</v>
      </c>
      <c r="F46" s="131">
        <f>IF($C46="Q",0,ROUNDDOWN(SUM(F29:F35,F37)*VLOOKUP($A46&amp;F$1,単価[],保育所単価!$W$1+$C46,FALSE),-1))*-1</f>
        <v>0</v>
      </c>
      <c r="G46" s="131">
        <f>IF($C46="Q",0,ROUNDDOWN(SUM(G29:G35,G37)*VLOOKUP($A46&amp;G$1,単価[],保育所単価!$W$1+$C46,FALSE),-1))*-1</f>
        <v>0</v>
      </c>
      <c r="H46" s="131">
        <f>IF($C46="Q",0,ROUNDDOWN(SUM(H29:H35,H37)*VLOOKUP($A46&amp;H$1,単価[],保育所単価!$W$1+$C46,FALSE),-1))*-1</f>
        <v>0</v>
      </c>
      <c r="I46" s="131">
        <f>IF($C46="Q",0,ROUNDDOWN(SUM(I29:I35,I37)*VLOOKUP($A46&amp;I$1,単価[],保育所単価!$W$1+$C46,FALSE),-1))*-1</f>
        <v>0</v>
      </c>
      <c r="J46" s="131">
        <f>IF($C46="Q",0,ROUNDDOWN(SUM(J29:J35,J37)*VLOOKUP($A46&amp;J$1,単価[],保育所単価!$W$1+$C46,FALSE),-1))*-1</f>
        <v>0</v>
      </c>
      <c r="K46" s="131">
        <f>IF($C46="Q",0,ROUNDDOWN(SUM(K29:K35,K37)*VLOOKUP($A46&amp;K$1,単価[],保育所単価!$W$1+$C46,FALSE),-1))*-1</f>
        <v>0</v>
      </c>
      <c r="L46" s="131">
        <f>IF($C46="Q",0,ROUNDDOWN(SUM(L29:L35,L37)*VLOOKUP($A46&amp;L$1,単価[],保育所単価!$W$1+$C46,FALSE),-1))*-1</f>
        <v>0</v>
      </c>
      <c r="M46" s="131">
        <f>IF($C46="Q",0,ROUNDDOWN(SUM(M29:M35,M37)*VLOOKUP($A46&amp;M$1,単価[],保育所単価!$W$1+$C46,FALSE),-1))*-1</f>
        <v>0</v>
      </c>
      <c r="N46" s="131">
        <f>IF($C46="Q",0,ROUNDDOWN(SUM(N29:N35,N37)*VLOOKUP($A46&amp;N$1,単価[],保育所単価!$W$1+$C46,FALSE),-1))*-1</f>
        <v>0</v>
      </c>
      <c r="O46" s="131">
        <f>IF($C46="Q",0,ROUNDDOWN(SUM(O29:O35,O37)*VLOOKUP($A46&amp;O$1,単価[],保育所単価!$W$1+$C46,FALSE),-1))*-1</f>
        <v>0</v>
      </c>
      <c r="P46" s="131">
        <f>IF($C46="Q",0,ROUNDDOWN(SUM(P29:P35,P37)*VLOOKUP($A46&amp;P$1,単価[],保育所単価!$W$1+$C46,FALSE),-1))*-1</f>
        <v>0</v>
      </c>
      <c r="Q46" s="131">
        <f>IF($C46="Q",0,ROUNDDOWN(SUM(Q29:Q35,Q37)*VLOOKUP($A46&amp;Q$1,単価[],保育所単価!$W$1+$C46,FALSE),-1))*-1</f>
        <v>0</v>
      </c>
      <c r="R46" s="131">
        <f>IF($C46="Q",0,ROUNDDOWN(SUM(R29:R35,R37)*VLOOKUP($A46&amp;R$1,単価[],保育所単価!$W$1+$C46,FALSE),-1))*-1</f>
        <v>0</v>
      </c>
      <c r="S46" s="131">
        <f>IF($C46="Q",0,ROUNDDOWN(SUM(S29:S35,S37)*VLOOKUP($A46&amp;S$1,単価[],保育所単価!$W$1+$C46,FALSE),-1))*-1</f>
        <v>0</v>
      </c>
      <c r="T46" s="131">
        <f>IF($C46="Q",0,ROUNDDOWN(SUM(T29:T35,T37)*VLOOKUP($A46&amp;T$1,単価[],保育所単価!$W$1+$C46,FALSE),-1))*-1</f>
        <v>0</v>
      </c>
      <c r="U46" s="131">
        <f>IF($C46="Q",0,ROUNDDOWN(SUM(U29:U35,U37)*VLOOKUP($A46&amp;U$1,単価[],保育所単価!$W$1+$C46,FALSE),-1))*-1</f>
        <v>0</v>
      </c>
      <c r="V46" s="131">
        <f>IF($C46="Q",0,ROUNDDOWN(SUM(V29:V35,V37)*VLOOKUP($A46&amp;V$1,単価[],保育所単価!$W$1+$C46,FALSE),-1))*-1</f>
        <v>0</v>
      </c>
      <c r="W46" s="131">
        <f>IF($C46="Q",0,ROUNDDOWN(SUM(W29:W35,W37)*VLOOKUP($A46&amp;W$1,単価[],保育所単価!$W$1+$C46,FALSE),-1))*-1</f>
        <v>0</v>
      </c>
      <c r="X46" s="131">
        <f>IF($C46="Q",0,ROUNDDOWN(SUM(X29:X35,X37)*VLOOKUP($A46&amp;X$1,単価[],保育所単価!$W$1+$C46,FALSE),-1))*-1</f>
        <v>0</v>
      </c>
      <c r="Y46" s="131">
        <f>IF($C46="Q",0,ROUNDDOWN(SUM(Y29:Y35,Y37)*VLOOKUP($A46&amp;Y$1,単価[],保育所単価!$W$1+$C46,FALSE),-1))*-1</f>
        <v>0</v>
      </c>
      <c r="Z46" s="131">
        <f>IF($C46="Q",0,ROUNDDOWN(SUM(Z29:Z35,Z37)*VLOOKUP($A46&amp;Z$1,単価[],保育所単価!$W$1+$C46,FALSE),-1))*-1</f>
        <v>0</v>
      </c>
      <c r="AA46" s="131">
        <f>IF($C46="Q",0,ROUNDDOWN(SUM(AA29:AA35,AA37)*VLOOKUP($A46&amp;AA$1,単価[],保育所単価!$W$1+$C46,FALSE),-1))*-1</f>
        <v>0</v>
      </c>
    </row>
    <row r="47" spans="1:27">
      <c r="B47" s="94" t="str">
        <f>B25</f>
        <v>単価計（②）</v>
      </c>
      <c r="C47" s="96"/>
      <c r="D47" s="145" t="e">
        <f t="shared" ref="D47:AA47" si="4">SUM(D29:D46)</f>
        <v>#N/A</v>
      </c>
      <c r="E47" s="145" t="e">
        <f t="shared" si="4"/>
        <v>#N/A</v>
      </c>
      <c r="F47" s="145" t="e">
        <f t="shared" si="4"/>
        <v>#N/A</v>
      </c>
      <c r="G47" s="145" t="e">
        <f t="shared" si="4"/>
        <v>#N/A</v>
      </c>
      <c r="H47" s="145" t="e">
        <f t="shared" si="4"/>
        <v>#N/A</v>
      </c>
      <c r="I47" s="145" t="e">
        <f t="shared" si="4"/>
        <v>#N/A</v>
      </c>
      <c r="J47" s="145" t="e">
        <f t="shared" si="4"/>
        <v>#N/A</v>
      </c>
      <c r="K47" s="145" t="e">
        <f t="shared" si="4"/>
        <v>#N/A</v>
      </c>
      <c r="L47" s="145" t="e">
        <f t="shared" si="4"/>
        <v>#N/A</v>
      </c>
      <c r="M47" s="145" t="e">
        <f t="shared" si="4"/>
        <v>#N/A</v>
      </c>
      <c r="N47" s="145" t="e">
        <f t="shared" si="4"/>
        <v>#N/A</v>
      </c>
      <c r="O47" s="145" t="e">
        <f t="shared" si="4"/>
        <v>#N/A</v>
      </c>
      <c r="P47" s="145" t="e">
        <f t="shared" si="4"/>
        <v>#N/A</v>
      </c>
      <c r="Q47" s="145" t="e">
        <f t="shared" si="4"/>
        <v>#N/A</v>
      </c>
      <c r="R47" s="145" t="e">
        <f t="shared" si="4"/>
        <v>#N/A</v>
      </c>
      <c r="S47" s="145" t="e">
        <f t="shared" si="4"/>
        <v>#N/A</v>
      </c>
      <c r="T47" s="145" t="e">
        <f t="shared" si="4"/>
        <v>#N/A</v>
      </c>
      <c r="U47" s="145" t="e">
        <f t="shared" si="4"/>
        <v>#N/A</v>
      </c>
      <c r="V47" s="145" t="e">
        <f t="shared" si="4"/>
        <v>#N/A</v>
      </c>
      <c r="W47" s="145" t="e">
        <f t="shared" si="4"/>
        <v>#N/A</v>
      </c>
      <c r="X47" s="145" t="e">
        <f t="shared" si="4"/>
        <v>#N/A</v>
      </c>
      <c r="Y47" s="145" t="e">
        <f t="shared" si="4"/>
        <v>#N/A</v>
      </c>
      <c r="Z47" s="145" t="e">
        <f t="shared" si="4"/>
        <v>#N/A</v>
      </c>
      <c r="AA47" s="145" t="e">
        <f t="shared" si="4"/>
        <v>#N/A</v>
      </c>
    </row>
    <row r="48" spans="1:27">
      <c r="B48" s="94" t="str">
        <f>B26</f>
        <v>月額（①×②）</v>
      </c>
      <c r="C48" s="96"/>
      <c r="D48" s="145" t="e">
        <f t="shared" ref="D48:AA48" si="5">D$6*D47</f>
        <v>#N/A</v>
      </c>
      <c r="E48" s="146" t="e">
        <f t="shared" si="5"/>
        <v>#N/A</v>
      </c>
      <c r="F48" s="146" t="e">
        <f t="shared" si="5"/>
        <v>#N/A</v>
      </c>
      <c r="G48" s="146" t="e">
        <f t="shared" si="5"/>
        <v>#N/A</v>
      </c>
      <c r="H48" s="145" t="e">
        <f t="shared" si="5"/>
        <v>#N/A</v>
      </c>
      <c r="I48" s="146" t="e">
        <f t="shared" si="5"/>
        <v>#N/A</v>
      </c>
      <c r="J48" s="146" t="e">
        <f t="shared" si="5"/>
        <v>#N/A</v>
      </c>
      <c r="K48" s="146" t="e">
        <f t="shared" si="5"/>
        <v>#N/A</v>
      </c>
      <c r="L48" s="146" t="e">
        <f t="shared" si="5"/>
        <v>#N/A</v>
      </c>
      <c r="M48" s="146" t="e">
        <f t="shared" si="5"/>
        <v>#N/A</v>
      </c>
      <c r="N48" s="146" t="e">
        <f t="shared" si="5"/>
        <v>#N/A</v>
      </c>
      <c r="O48" s="146" t="e">
        <f t="shared" si="5"/>
        <v>#N/A</v>
      </c>
      <c r="P48" s="146" t="e">
        <f t="shared" si="5"/>
        <v>#N/A</v>
      </c>
      <c r="Q48" s="146" t="e">
        <f t="shared" si="5"/>
        <v>#N/A</v>
      </c>
      <c r="R48" s="146" t="e">
        <f t="shared" si="5"/>
        <v>#N/A</v>
      </c>
      <c r="S48" s="146" t="e">
        <f t="shared" si="5"/>
        <v>#N/A</v>
      </c>
      <c r="T48" s="146" t="e">
        <f t="shared" si="5"/>
        <v>#N/A</v>
      </c>
      <c r="U48" s="146" t="e">
        <f t="shared" si="5"/>
        <v>#N/A</v>
      </c>
      <c r="V48" s="145" t="e">
        <f t="shared" si="5"/>
        <v>#N/A</v>
      </c>
      <c r="W48" s="146" t="e">
        <f t="shared" si="5"/>
        <v>#N/A</v>
      </c>
      <c r="X48" s="146" t="e">
        <f t="shared" si="5"/>
        <v>#N/A</v>
      </c>
      <c r="Y48" s="146" t="e">
        <f t="shared" si="5"/>
        <v>#N/A</v>
      </c>
      <c r="Z48" s="146" t="e">
        <f t="shared" si="5"/>
        <v>#N/A</v>
      </c>
      <c r="AA48" s="146" t="e">
        <f t="shared" si="5"/>
        <v>#N/A</v>
      </c>
    </row>
  </sheetData>
  <sheetProtection algorithmName="SHA-512" hashValue="O9fGTBScqmU3bU+7+RVbGCkRCdGwveT3jYBpZDl/loeaz8CT9jScnjwciKuX8hhAbaaGSgLw8smAH9knYbFPNw==" saltValue="KDrpym1bYDky131Qtpr4CA==" spinCount="100000" sheet="1" objects="1" scenarios="1"/>
  <phoneticPr fontId="4"/>
  <pageMargins left="0.7" right="0.7" top="0.75" bottom="0.75" header="0.3" footer="0.3"/>
  <pageSetup paperSize="9"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8DE4-A105-45C1-ABB4-0D86C3BD3FFF}">
  <sheetPr>
    <tabColor theme="2" tint="-9.9978637043366805E-2"/>
    <pageSetUpPr fitToPage="1"/>
  </sheetPr>
  <dimension ref="B1:AQ95"/>
  <sheetViews>
    <sheetView view="pageBreakPreview" zoomScale="70" zoomScaleNormal="100" zoomScaleSheetLayoutView="70" workbookViewId="0"/>
  </sheetViews>
  <sheetFormatPr defaultColWidth="1.625" defaultRowHeight="15.75" customHeight="1"/>
  <cols>
    <col min="1" max="1" width="1.625" style="2"/>
    <col min="2" max="2" width="15.875" style="2" customWidth="1"/>
    <col min="3" max="3" width="9" style="2" bestFit="1" customWidth="1"/>
    <col min="4" max="4" width="4" style="2" customWidth="1"/>
    <col min="5" max="5" width="5" style="2" customWidth="1"/>
    <col min="6" max="6" width="5.125" style="2" customWidth="1"/>
    <col min="7" max="26" width="7.375" style="2" customWidth="1"/>
    <col min="27" max="27" width="1.625" style="2"/>
    <col min="28" max="28" width="12.125" style="2" customWidth="1"/>
    <col min="29" max="29" width="4.375" style="2" customWidth="1"/>
    <col min="30" max="31" width="7.5" style="2" customWidth="1"/>
    <col min="32" max="32" width="1.625" style="2"/>
    <col min="33" max="33" width="11.625" style="2" customWidth="1"/>
    <col min="34" max="34" width="4.375" style="2" customWidth="1"/>
    <col min="35" max="37" width="7.5" style="2" customWidth="1"/>
    <col min="38" max="38" width="1.625" style="2"/>
    <col min="39" max="39" width="11.625" style="2" customWidth="1"/>
    <col min="40" max="40" width="4.375" style="2" customWidth="1"/>
    <col min="41" max="43" width="7.5" style="2" customWidth="1"/>
    <col min="44" max="16384" width="1.625" style="2"/>
  </cols>
  <sheetData>
    <row r="1" spans="2:43" ht="15.75" customHeight="1">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B1" s="2">
        <f>COLUMNS($AB:AB)</f>
        <v>1</v>
      </c>
      <c r="AC1" s="2">
        <f>COLUMNS($AB:AC)</f>
        <v>2</v>
      </c>
      <c r="AD1" s="2">
        <f>COLUMNS($AB:AD)</f>
        <v>3</v>
      </c>
      <c r="AE1" s="2">
        <f>COLUMNS($AB:AE)</f>
        <v>4</v>
      </c>
      <c r="AH1" s="2">
        <f>COLUMNS($AH:AH)</f>
        <v>1</v>
      </c>
      <c r="AI1" s="2">
        <f>COLUMNS($AH:AI)</f>
        <v>2</v>
      </c>
      <c r="AJ1" s="2">
        <f>COLUMNS($AH:AJ)</f>
        <v>3</v>
      </c>
      <c r="AK1" s="2">
        <f>COLUMNS($AH:AK)</f>
        <v>4</v>
      </c>
      <c r="AN1" s="2">
        <f>COLUMNS($AN:AN)</f>
        <v>1</v>
      </c>
      <c r="AO1" s="2">
        <f>COLUMNS($AN:AO)</f>
        <v>2</v>
      </c>
      <c r="AP1" s="2">
        <f>COLUMNS($AN:AP)</f>
        <v>3</v>
      </c>
      <c r="AQ1" s="2">
        <f>COLUMNS($AN:AQ)</f>
        <v>4</v>
      </c>
    </row>
    <row r="2" spans="2:43" ht="15.75" customHeight="1">
      <c r="B2" s="1"/>
      <c r="F2" s="2" t="s">
        <v>197</v>
      </c>
      <c r="G2" s="2" t="s">
        <v>198</v>
      </c>
      <c r="H2" s="2" t="s">
        <v>199</v>
      </c>
      <c r="I2" s="2" t="s">
        <v>200</v>
      </c>
      <c r="J2" s="2" t="s">
        <v>201</v>
      </c>
      <c r="K2" s="2" t="s">
        <v>202</v>
      </c>
      <c r="L2" s="2" t="s">
        <v>203</v>
      </c>
      <c r="M2" s="2" t="s">
        <v>204</v>
      </c>
      <c r="N2" s="2" t="s">
        <v>205</v>
      </c>
      <c r="O2" s="2" t="s">
        <v>206</v>
      </c>
      <c r="P2" s="2" t="s">
        <v>207</v>
      </c>
      <c r="Q2" s="2" t="s">
        <v>208</v>
      </c>
      <c r="R2" s="2" t="s">
        <v>209</v>
      </c>
      <c r="S2" s="2" t="s">
        <v>210</v>
      </c>
      <c r="T2" s="2" t="s">
        <v>211</v>
      </c>
      <c r="U2" s="2" t="s">
        <v>212</v>
      </c>
      <c r="V2" s="2" t="s">
        <v>213</v>
      </c>
      <c r="W2" s="2" t="s">
        <v>214</v>
      </c>
      <c r="X2" s="2" t="s">
        <v>215</v>
      </c>
      <c r="Y2" s="2" t="s">
        <v>216</v>
      </c>
      <c r="Z2" s="2" t="s">
        <v>217</v>
      </c>
      <c r="AB2" s="2" t="s">
        <v>197</v>
      </c>
      <c r="AC2" s="2" t="s">
        <v>198</v>
      </c>
      <c r="AD2" s="2" t="s">
        <v>199</v>
      </c>
      <c r="AE2" s="2" t="s">
        <v>200</v>
      </c>
      <c r="AH2" s="2" t="s">
        <v>197</v>
      </c>
      <c r="AI2" s="2" t="s">
        <v>198</v>
      </c>
      <c r="AJ2" s="2" t="s">
        <v>199</v>
      </c>
      <c r="AK2" s="2" t="s">
        <v>200</v>
      </c>
      <c r="AN2" s="2" t="s">
        <v>197</v>
      </c>
      <c r="AO2" s="2" t="s">
        <v>198</v>
      </c>
      <c r="AP2" s="2" t="s">
        <v>199</v>
      </c>
      <c r="AQ2" s="2" t="s">
        <v>200</v>
      </c>
    </row>
    <row r="3" spans="2:43" ht="15.75" customHeight="1">
      <c r="B3" s="3" t="s">
        <v>0</v>
      </c>
      <c r="C3" s="3"/>
      <c r="D3" s="3"/>
      <c r="E3" s="3"/>
      <c r="F3" s="3"/>
      <c r="G3" s="3"/>
      <c r="H3" s="3"/>
      <c r="I3" s="3"/>
      <c r="J3" s="3"/>
      <c r="K3" s="3"/>
      <c r="L3" s="3"/>
      <c r="M3" s="3"/>
      <c r="N3" s="3"/>
      <c r="O3" s="3"/>
      <c r="P3" s="3"/>
      <c r="Q3" s="3"/>
      <c r="R3" s="3"/>
      <c r="S3" s="3"/>
      <c r="T3" s="3"/>
      <c r="U3" s="33"/>
      <c r="V3" s="33"/>
      <c r="W3" s="33"/>
      <c r="X3" s="33"/>
      <c r="Y3" s="33"/>
      <c r="Z3" s="33"/>
      <c r="AA3" s="3"/>
      <c r="AB3" s="89"/>
      <c r="AC3" s="3"/>
      <c r="AD3" s="3"/>
      <c r="AE3" s="3"/>
      <c r="AG3" s="4" t="s">
        <v>1</v>
      </c>
      <c r="AH3" s="4"/>
      <c r="AI3" s="4"/>
      <c r="AJ3" s="4"/>
      <c r="AK3" s="4"/>
      <c r="AL3" s="4"/>
      <c r="AM3" s="4"/>
      <c r="AN3" s="4"/>
      <c r="AO3" s="4"/>
      <c r="AP3" s="4"/>
      <c r="AQ3" s="4"/>
    </row>
    <row r="4" spans="2:43" ht="15.75" customHeight="1">
      <c r="B4" s="2" t="s">
        <v>2</v>
      </c>
      <c r="U4" s="41"/>
      <c r="V4" s="41"/>
      <c r="W4" s="41"/>
      <c r="X4" s="41"/>
      <c r="Y4" s="41"/>
      <c r="Z4" s="41"/>
      <c r="AB4" s="89" t="s">
        <v>3</v>
      </c>
      <c r="AG4" s="2" t="s">
        <v>4</v>
      </c>
    </row>
    <row r="5" spans="2:43" ht="15">
      <c r="B5" s="5"/>
      <c r="C5" s="6"/>
      <c r="D5" s="7" t="s">
        <v>5</v>
      </c>
      <c r="E5" s="8" t="s">
        <v>6</v>
      </c>
      <c r="F5" s="9" t="s">
        <v>7</v>
      </c>
      <c r="G5" s="12" t="s">
        <v>8</v>
      </c>
      <c r="H5" s="12"/>
      <c r="I5" s="12"/>
      <c r="J5" s="12"/>
      <c r="K5" s="10" t="s">
        <v>9</v>
      </c>
      <c r="L5" s="11"/>
      <c r="M5" s="10" t="s">
        <v>10</v>
      </c>
      <c r="N5" s="11"/>
      <c r="O5" s="10" t="s">
        <v>11</v>
      </c>
      <c r="P5" s="11"/>
      <c r="Q5" s="10" t="s">
        <v>12</v>
      </c>
      <c r="R5" s="11"/>
      <c r="S5" s="10" t="s">
        <v>13</v>
      </c>
      <c r="T5" s="11"/>
      <c r="U5" s="10" t="s">
        <v>168</v>
      </c>
      <c r="V5" s="11"/>
      <c r="W5" s="10" t="s">
        <v>191</v>
      </c>
      <c r="X5" s="10"/>
      <c r="Y5" s="10"/>
      <c r="Z5" s="10"/>
      <c r="AB5" s="89" t="s">
        <v>15</v>
      </c>
      <c r="AC5" s="6"/>
      <c r="AD5" s="14"/>
      <c r="AE5" s="15"/>
      <c r="AG5" s="13" t="s">
        <v>16</v>
      </c>
      <c r="AH5" s="6"/>
      <c r="AI5" s="14"/>
      <c r="AJ5" s="14"/>
      <c r="AK5" s="15"/>
      <c r="AM5" s="13" t="s">
        <v>17</v>
      </c>
      <c r="AN5" s="6"/>
      <c r="AO5" s="14"/>
      <c r="AP5" s="14"/>
      <c r="AQ5" s="15"/>
    </row>
    <row r="6" spans="2:43" s="22" customFormat="1" ht="15.75" customHeight="1">
      <c r="B6" s="16"/>
      <c r="C6" s="17"/>
      <c r="D6" s="18" t="s">
        <v>18</v>
      </c>
      <c r="E6" s="19" t="s">
        <v>18</v>
      </c>
      <c r="F6" s="16"/>
      <c r="G6" s="21" t="s">
        <v>19</v>
      </c>
      <c r="H6" s="21" t="s">
        <v>21</v>
      </c>
      <c r="I6" s="21" t="s">
        <v>20</v>
      </c>
      <c r="J6" s="21" t="s">
        <v>21</v>
      </c>
      <c r="K6" s="21" t="s">
        <v>23</v>
      </c>
      <c r="L6" s="21" t="s">
        <v>21</v>
      </c>
      <c r="M6" s="21" t="s">
        <v>23</v>
      </c>
      <c r="N6" s="21" t="s">
        <v>21</v>
      </c>
      <c r="O6" s="21" t="s">
        <v>23</v>
      </c>
      <c r="P6" s="21" t="s">
        <v>21</v>
      </c>
      <c r="Q6" s="21" t="s">
        <v>23</v>
      </c>
      <c r="R6" s="21" t="s">
        <v>21</v>
      </c>
      <c r="S6" s="21" t="s">
        <v>23</v>
      </c>
      <c r="T6" s="21" t="s">
        <v>21</v>
      </c>
      <c r="U6" s="21" t="s">
        <v>23</v>
      </c>
      <c r="V6" s="21" t="s">
        <v>21</v>
      </c>
      <c r="W6" s="21" t="s">
        <v>220</v>
      </c>
      <c r="X6" s="21" t="s">
        <v>221</v>
      </c>
      <c r="Y6" s="21" t="s">
        <v>222</v>
      </c>
      <c r="Z6" s="21" t="s">
        <v>223</v>
      </c>
      <c r="AB6" s="89"/>
      <c r="AC6" s="23" t="s">
        <v>24</v>
      </c>
      <c r="AD6" s="21" t="s">
        <v>23</v>
      </c>
      <c r="AE6" s="21" t="s">
        <v>21</v>
      </c>
      <c r="AG6" s="20"/>
      <c r="AH6" s="23" t="s">
        <v>24</v>
      </c>
      <c r="AI6" s="20" t="s">
        <v>22</v>
      </c>
      <c r="AJ6" s="21" t="s">
        <v>23</v>
      </c>
      <c r="AK6" s="21" t="s">
        <v>21</v>
      </c>
      <c r="AM6" s="20"/>
      <c r="AN6" s="23" t="s">
        <v>24</v>
      </c>
      <c r="AO6" s="20" t="s">
        <v>22</v>
      </c>
      <c r="AP6" s="21" t="s">
        <v>23</v>
      </c>
      <c r="AQ6" s="21" t="s">
        <v>21</v>
      </c>
    </row>
    <row r="7" spans="2:43" s="22" customFormat="1" ht="15.75" customHeight="1">
      <c r="B7" s="24"/>
      <c r="C7" s="25"/>
      <c r="D7" s="24"/>
      <c r="E7" s="26"/>
      <c r="F7" s="25"/>
      <c r="G7" s="27"/>
      <c r="H7" s="27"/>
      <c r="I7" s="27"/>
      <c r="J7" s="27"/>
      <c r="K7" s="27"/>
      <c r="L7" s="27"/>
      <c r="M7" s="27"/>
      <c r="N7" s="27"/>
      <c r="O7" s="27"/>
      <c r="P7" s="27"/>
      <c r="Q7" s="27"/>
      <c r="R7" s="27"/>
      <c r="S7" s="27"/>
      <c r="T7" s="27"/>
      <c r="U7" s="27"/>
      <c r="V7" s="27"/>
      <c r="W7" s="151"/>
      <c r="X7" s="151"/>
      <c r="Y7" s="151"/>
      <c r="Z7" s="151"/>
      <c r="AB7" s="89"/>
      <c r="AC7" s="27"/>
      <c r="AD7" s="27"/>
      <c r="AE7" s="27"/>
      <c r="AG7" s="27"/>
      <c r="AH7" s="27"/>
      <c r="AI7" s="24"/>
      <c r="AJ7" s="27"/>
      <c r="AK7" s="27"/>
      <c r="AM7" s="27"/>
      <c r="AN7" s="27"/>
      <c r="AO7" s="24"/>
      <c r="AP7" s="27"/>
      <c r="AQ7" s="27"/>
    </row>
    <row r="8" spans="2:43" s="22" customFormat="1" ht="15.75" customHeight="1">
      <c r="B8" s="28"/>
      <c r="C8" s="29" t="s">
        <v>25</v>
      </c>
      <c r="D8" s="30">
        <v>0</v>
      </c>
      <c r="E8" s="31" t="s">
        <v>26</v>
      </c>
      <c r="F8" s="32" t="str">
        <f t="shared" ref="F8:F39" si="0">D8&amp;E8</f>
        <v>0A</v>
      </c>
      <c r="G8" s="33"/>
      <c r="H8" s="33"/>
      <c r="I8" s="33"/>
      <c r="J8" s="33"/>
      <c r="K8" s="33"/>
      <c r="L8" s="33"/>
      <c r="M8" s="34"/>
      <c r="N8" s="33"/>
      <c r="O8" s="34"/>
      <c r="P8" s="33"/>
      <c r="Q8" s="33"/>
      <c r="R8" s="33"/>
      <c r="S8" s="33"/>
      <c r="T8" s="33"/>
      <c r="U8" s="41"/>
      <c r="V8" s="41"/>
      <c r="W8" s="41"/>
      <c r="X8" s="41"/>
      <c r="Y8" s="41"/>
      <c r="Z8" s="41"/>
      <c r="AB8" s="89" t="s">
        <v>27</v>
      </c>
      <c r="AC8" s="35">
        <v>1</v>
      </c>
      <c r="AD8" s="35">
        <v>0</v>
      </c>
      <c r="AE8" s="35">
        <v>0</v>
      </c>
      <c r="AG8" s="35" t="s">
        <v>27</v>
      </c>
      <c r="AH8" s="35">
        <v>1</v>
      </c>
      <c r="AI8" s="35">
        <v>0</v>
      </c>
      <c r="AJ8" s="35">
        <v>0</v>
      </c>
      <c r="AK8" s="35">
        <v>0</v>
      </c>
      <c r="AM8" s="35" t="s">
        <v>27</v>
      </c>
      <c r="AN8" s="35">
        <v>0</v>
      </c>
      <c r="AO8" s="35">
        <v>0</v>
      </c>
      <c r="AP8" s="35">
        <v>0</v>
      </c>
      <c r="AQ8" s="35">
        <v>0</v>
      </c>
    </row>
    <row r="9" spans="2:43" s="22" customFormat="1" ht="15.75" customHeight="1">
      <c r="B9" s="28"/>
      <c r="C9" s="37" t="s">
        <v>28</v>
      </c>
      <c r="D9" s="38">
        <f>D8</f>
        <v>0</v>
      </c>
      <c r="E9" s="39" t="s">
        <v>29</v>
      </c>
      <c r="F9" s="40" t="str">
        <f t="shared" si="0"/>
        <v>0B</v>
      </c>
      <c r="G9" s="41"/>
      <c r="H9" s="41"/>
      <c r="I9" s="41"/>
      <c r="J9" s="41"/>
      <c r="K9" s="41"/>
      <c r="L9" s="41"/>
      <c r="M9" s="42"/>
      <c r="N9" s="41"/>
      <c r="O9" s="42"/>
      <c r="P9" s="41"/>
      <c r="Q9" s="41"/>
      <c r="R9" s="41"/>
      <c r="S9" s="41"/>
      <c r="T9" s="41"/>
      <c r="U9" s="41"/>
      <c r="V9" s="41"/>
      <c r="W9" s="41"/>
      <c r="X9" s="41"/>
      <c r="Y9" s="41"/>
      <c r="Z9" s="41"/>
      <c r="AB9" s="89" t="s">
        <v>30</v>
      </c>
      <c r="AC9" s="35">
        <v>2</v>
      </c>
      <c r="AD9" s="43">
        <v>2840</v>
      </c>
      <c r="AE9" s="44">
        <v>1.9</v>
      </c>
      <c r="AG9" s="35" t="s">
        <v>31</v>
      </c>
      <c r="AH9" s="35">
        <v>2</v>
      </c>
      <c r="AI9" s="43">
        <v>52030</v>
      </c>
      <c r="AJ9" s="43">
        <v>520</v>
      </c>
      <c r="AK9" s="44">
        <v>8.5</v>
      </c>
      <c r="AM9" s="35" t="s">
        <v>32</v>
      </c>
      <c r="AN9" s="35">
        <v>1</v>
      </c>
      <c r="AO9" s="43">
        <v>79950</v>
      </c>
      <c r="AP9" s="43">
        <v>790</v>
      </c>
      <c r="AQ9" s="44">
        <v>8.4</v>
      </c>
    </row>
    <row r="10" spans="2:43" s="22" customFormat="1" ht="15.75" customHeight="1">
      <c r="B10" s="28"/>
      <c r="C10" s="37" t="s">
        <v>33</v>
      </c>
      <c r="D10" s="38">
        <f>D8</f>
        <v>0</v>
      </c>
      <c r="E10" s="39" t="s">
        <v>34</v>
      </c>
      <c r="F10" s="40" t="str">
        <f t="shared" si="0"/>
        <v>0C</v>
      </c>
      <c r="G10" s="41"/>
      <c r="H10" s="41"/>
      <c r="I10" s="41"/>
      <c r="J10" s="41"/>
      <c r="K10" s="41"/>
      <c r="L10" s="41"/>
      <c r="M10" s="42"/>
      <c r="N10" s="41"/>
      <c r="O10" s="42"/>
      <c r="P10" s="41"/>
      <c r="Q10" s="41"/>
      <c r="R10" s="41"/>
      <c r="S10" s="41"/>
      <c r="T10" s="41"/>
      <c r="U10" s="41"/>
      <c r="V10" s="41"/>
      <c r="W10" s="41"/>
      <c r="X10" s="41"/>
      <c r="Y10" s="41"/>
      <c r="Z10" s="41"/>
      <c r="AB10" s="89" t="s">
        <v>35</v>
      </c>
      <c r="AC10" s="35">
        <v>3</v>
      </c>
      <c r="AD10" s="43">
        <v>3040</v>
      </c>
      <c r="AE10" s="44">
        <v>1.8</v>
      </c>
      <c r="AG10" s="45" t="s">
        <v>36</v>
      </c>
      <c r="AH10" s="87">
        <v>3</v>
      </c>
      <c r="AI10" s="77">
        <v>34680</v>
      </c>
      <c r="AJ10" s="77">
        <v>340</v>
      </c>
      <c r="AK10" s="78">
        <v>9.6999999999999993</v>
      </c>
      <c r="AM10" s="35" t="s">
        <v>37</v>
      </c>
      <c r="AN10" s="35">
        <v>2</v>
      </c>
      <c r="AO10" s="43">
        <v>50000</v>
      </c>
      <c r="AP10" s="43">
        <v>500</v>
      </c>
      <c r="AQ10" s="44">
        <v>0</v>
      </c>
    </row>
    <row r="11" spans="2:43" s="22" customFormat="1" ht="15.75" customHeight="1">
      <c r="B11" s="48"/>
      <c r="C11" s="49" t="s">
        <v>38</v>
      </c>
      <c r="D11" s="50">
        <f>D8</f>
        <v>0</v>
      </c>
      <c r="E11" s="51" t="s">
        <v>39</v>
      </c>
      <c r="F11" s="52" t="str">
        <f t="shared" si="0"/>
        <v>0D</v>
      </c>
      <c r="G11" s="53"/>
      <c r="H11" s="53"/>
      <c r="I11" s="53"/>
      <c r="J11" s="53"/>
      <c r="K11" s="53"/>
      <c r="L11" s="53"/>
      <c r="M11" s="54"/>
      <c r="N11" s="53"/>
      <c r="O11" s="54"/>
      <c r="P11" s="53"/>
      <c r="Q11" s="53"/>
      <c r="R11" s="53"/>
      <c r="S11" s="53"/>
      <c r="T11" s="53"/>
      <c r="U11" s="41"/>
      <c r="V11" s="41"/>
      <c r="W11" s="41"/>
      <c r="X11" s="41"/>
      <c r="Y11" s="41"/>
      <c r="Z11" s="41"/>
      <c r="AB11" s="89" t="s">
        <v>40</v>
      </c>
      <c r="AC11" s="35">
        <v>4</v>
      </c>
      <c r="AD11" s="43">
        <v>3450</v>
      </c>
      <c r="AE11" s="44">
        <v>1.9</v>
      </c>
      <c r="AM11" s="45" t="s">
        <v>41</v>
      </c>
      <c r="AN11" s="87">
        <v>3</v>
      </c>
      <c r="AO11" s="77">
        <v>10000</v>
      </c>
      <c r="AP11" s="77">
        <v>0</v>
      </c>
      <c r="AQ11" s="78">
        <v>0</v>
      </c>
    </row>
    <row r="12" spans="2:43" s="22" customFormat="1" ht="15.75" customHeight="1">
      <c r="B12" s="28" t="s">
        <v>42</v>
      </c>
      <c r="C12" s="55" t="str">
        <f>C$8</f>
        <v>４歳以上児</v>
      </c>
      <c r="D12" s="30">
        <v>1</v>
      </c>
      <c r="E12" s="34" t="str">
        <f>E$8</f>
        <v>A</v>
      </c>
      <c r="F12" s="32" t="str">
        <f t="shared" si="0"/>
        <v>1A</v>
      </c>
      <c r="G12" s="36">
        <v>1310</v>
      </c>
      <c r="H12" s="56">
        <v>3</v>
      </c>
      <c r="I12" s="36">
        <v>1030</v>
      </c>
      <c r="J12" s="56">
        <v>2.9</v>
      </c>
      <c r="K12" s="36">
        <v>0</v>
      </c>
      <c r="L12" s="56">
        <v>0</v>
      </c>
      <c r="M12" s="57">
        <v>30</v>
      </c>
      <c r="N12" s="56">
        <v>3.7</v>
      </c>
      <c r="O12" s="57">
        <v>0</v>
      </c>
      <c r="P12" s="56">
        <v>0</v>
      </c>
      <c r="Q12" s="36">
        <v>230</v>
      </c>
      <c r="R12" s="56">
        <v>6.5</v>
      </c>
      <c r="S12" s="36">
        <v>250</v>
      </c>
      <c r="T12" s="56">
        <v>2.9</v>
      </c>
      <c r="U12" s="36">
        <v>270</v>
      </c>
      <c r="V12" s="56">
        <v>2</v>
      </c>
      <c r="W12" s="143">
        <v>0.01</v>
      </c>
      <c r="X12" s="143">
        <v>0.03</v>
      </c>
      <c r="Y12" s="143">
        <v>0.04</v>
      </c>
      <c r="Z12" s="143">
        <v>0.05</v>
      </c>
      <c r="AB12" s="89" t="s">
        <v>43</v>
      </c>
      <c r="AC12" s="35">
        <v>5</v>
      </c>
      <c r="AD12" s="43">
        <v>3860</v>
      </c>
      <c r="AE12" s="44">
        <v>2</v>
      </c>
    </row>
    <row r="13" spans="2:43" s="22" customFormat="1" ht="15.75" customHeight="1">
      <c r="B13" s="28"/>
      <c r="C13" s="58" t="str">
        <f>C$9</f>
        <v>３歳児</v>
      </c>
      <c r="D13" s="38">
        <f>D12</f>
        <v>1</v>
      </c>
      <c r="E13" s="42" t="str">
        <f>E$9</f>
        <v>B</v>
      </c>
      <c r="F13" s="40" t="str">
        <f t="shared" si="0"/>
        <v>1B</v>
      </c>
      <c r="G13" s="43">
        <v>1390</v>
      </c>
      <c r="H13" s="44">
        <v>3</v>
      </c>
      <c r="I13" s="43">
        <v>1110</v>
      </c>
      <c r="J13" s="44">
        <v>2.9</v>
      </c>
      <c r="K13" s="43">
        <v>80</v>
      </c>
      <c r="L13" s="44">
        <v>2.8</v>
      </c>
      <c r="M13" s="59">
        <v>0</v>
      </c>
      <c r="N13" s="44">
        <v>0</v>
      </c>
      <c r="O13" s="59">
        <v>0</v>
      </c>
      <c r="P13" s="44">
        <v>0</v>
      </c>
      <c r="Q13" s="41">
        <f>Q12</f>
        <v>230</v>
      </c>
      <c r="R13" s="60">
        <f>R12</f>
        <v>6.5</v>
      </c>
      <c r="S13" s="41">
        <f t="shared" ref="S13:Z15" si="1">S$12</f>
        <v>250</v>
      </c>
      <c r="T13" s="60">
        <f t="shared" si="1"/>
        <v>2.9</v>
      </c>
      <c r="U13" s="41">
        <f t="shared" si="1"/>
        <v>270</v>
      </c>
      <c r="V13" s="60">
        <f t="shared" si="1"/>
        <v>2</v>
      </c>
      <c r="W13" s="142">
        <f t="shared" si="1"/>
        <v>0.01</v>
      </c>
      <c r="X13" s="142">
        <f t="shared" si="1"/>
        <v>0.03</v>
      </c>
      <c r="Y13" s="142">
        <f t="shared" si="1"/>
        <v>0.04</v>
      </c>
      <c r="Z13" s="142">
        <f t="shared" si="1"/>
        <v>0.05</v>
      </c>
      <c r="AB13" s="89" t="s">
        <v>44</v>
      </c>
      <c r="AC13" s="35">
        <v>6</v>
      </c>
      <c r="AD13" s="43">
        <v>4260</v>
      </c>
      <c r="AE13" s="44">
        <v>2.1</v>
      </c>
      <c r="AG13" s="22" t="s">
        <v>45</v>
      </c>
    </row>
    <row r="14" spans="2:43" s="22" customFormat="1" ht="15.75" customHeight="1">
      <c r="B14" s="28"/>
      <c r="C14" s="58" t="str">
        <f>C$10</f>
        <v>１、２歳児</v>
      </c>
      <c r="D14" s="38">
        <f>D12</f>
        <v>1</v>
      </c>
      <c r="E14" s="42" t="str">
        <f>E$10</f>
        <v>C</v>
      </c>
      <c r="F14" s="40" t="str">
        <f t="shared" si="0"/>
        <v>1C</v>
      </c>
      <c r="G14" s="43">
        <v>1970</v>
      </c>
      <c r="H14" s="44">
        <v>2.9</v>
      </c>
      <c r="I14" s="43">
        <v>1690</v>
      </c>
      <c r="J14" s="44">
        <v>2.9</v>
      </c>
      <c r="K14" s="43">
        <v>0</v>
      </c>
      <c r="L14" s="44">
        <v>0</v>
      </c>
      <c r="M14" s="59">
        <v>0</v>
      </c>
      <c r="N14" s="44">
        <v>0</v>
      </c>
      <c r="O14" s="59">
        <v>160</v>
      </c>
      <c r="P14" s="44">
        <v>2.8</v>
      </c>
      <c r="Q14" s="41">
        <f>Q12</f>
        <v>230</v>
      </c>
      <c r="R14" s="60">
        <f>R12</f>
        <v>6.5</v>
      </c>
      <c r="S14" s="41">
        <f t="shared" si="1"/>
        <v>250</v>
      </c>
      <c r="T14" s="60">
        <f t="shared" si="1"/>
        <v>2.9</v>
      </c>
      <c r="U14" s="41">
        <f t="shared" si="1"/>
        <v>270</v>
      </c>
      <c r="V14" s="60">
        <f t="shared" si="1"/>
        <v>2</v>
      </c>
      <c r="W14" s="142">
        <f t="shared" si="1"/>
        <v>0.01</v>
      </c>
      <c r="X14" s="142">
        <f t="shared" si="1"/>
        <v>0.03</v>
      </c>
      <c r="Y14" s="142">
        <f t="shared" si="1"/>
        <v>0.04</v>
      </c>
      <c r="Z14" s="142">
        <f t="shared" si="1"/>
        <v>0.05</v>
      </c>
      <c r="AB14" s="89" t="s">
        <v>46</v>
      </c>
      <c r="AC14" s="35">
        <v>7</v>
      </c>
      <c r="AD14" s="43">
        <v>4670</v>
      </c>
      <c r="AE14" s="44">
        <v>1.9</v>
      </c>
      <c r="AI14" s="61" t="s">
        <v>22</v>
      </c>
      <c r="AJ14" s="23" t="s">
        <v>23</v>
      </c>
      <c r="AK14" s="23" t="s">
        <v>21</v>
      </c>
    </row>
    <row r="15" spans="2:43" s="22" customFormat="1" ht="15.75" customHeight="1">
      <c r="B15" s="48"/>
      <c r="C15" s="62" t="str">
        <f>C$11</f>
        <v>乳児</v>
      </c>
      <c r="D15" s="50">
        <f>D12</f>
        <v>1</v>
      </c>
      <c r="E15" s="54" t="str">
        <f>E$11</f>
        <v>D</v>
      </c>
      <c r="F15" s="52" t="str">
        <f t="shared" si="0"/>
        <v>1D</v>
      </c>
      <c r="G15" s="46">
        <v>2810</v>
      </c>
      <c r="H15" s="47">
        <v>2.9</v>
      </c>
      <c r="I15" s="46">
        <v>2530</v>
      </c>
      <c r="J15" s="47">
        <v>2.9</v>
      </c>
      <c r="K15" s="46">
        <v>0</v>
      </c>
      <c r="L15" s="47">
        <v>0</v>
      </c>
      <c r="M15" s="63">
        <v>0</v>
      </c>
      <c r="N15" s="47">
        <v>0</v>
      </c>
      <c r="O15" s="63">
        <v>0</v>
      </c>
      <c r="P15" s="47">
        <v>0</v>
      </c>
      <c r="Q15" s="53">
        <f>Q12</f>
        <v>230</v>
      </c>
      <c r="R15" s="64">
        <f>R12</f>
        <v>6.5</v>
      </c>
      <c r="S15" s="53">
        <f t="shared" si="1"/>
        <v>250</v>
      </c>
      <c r="T15" s="64">
        <f t="shared" si="1"/>
        <v>2.9</v>
      </c>
      <c r="U15" s="53">
        <f t="shared" si="1"/>
        <v>270</v>
      </c>
      <c r="V15" s="64">
        <f t="shared" si="1"/>
        <v>2</v>
      </c>
      <c r="W15" s="142">
        <f t="shared" si="1"/>
        <v>0.01</v>
      </c>
      <c r="X15" s="142">
        <f t="shared" si="1"/>
        <v>0.03</v>
      </c>
      <c r="Y15" s="142">
        <f t="shared" si="1"/>
        <v>0.04</v>
      </c>
      <c r="Z15" s="142">
        <f t="shared" si="1"/>
        <v>0.05</v>
      </c>
      <c r="AB15" s="89" t="s">
        <v>47</v>
      </c>
      <c r="AC15" s="35">
        <v>8</v>
      </c>
      <c r="AD15" s="43">
        <v>5080</v>
      </c>
      <c r="AE15" s="44">
        <v>2</v>
      </c>
      <c r="AG15" s="61" t="s">
        <v>48</v>
      </c>
      <c r="AH15" s="65"/>
      <c r="AI15" s="66">
        <v>269290</v>
      </c>
      <c r="AJ15" s="66">
        <v>2690</v>
      </c>
      <c r="AK15" s="67">
        <v>4.9000000000000004</v>
      </c>
    </row>
    <row r="16" spans="2:43" s="22" customFormat="1" ht="15.75" customHeight="1">
      <c r="B16" s="68" t="s">
        <v>49</v>
      </c>
      <c r="C16" s="55" t="str">
        <f>C$8</f>
        <v>４歳以上児</v>
      </c>
      <c r="D16" s="30">
        <v>2</v>
      </c>
      <c r="E16" s="34" t="str">
        <f>E$8</f>
        <v>A</v>
      </c>
      <c r="F16" s="69" t="str">
        <f t="shared" si="0"/>
        <v>2A</v>
      </c>
      <c r="G16" s="70">
        <v>1080</v>
      </c>
      <c r="H16" s="71">
        <v>3</v>
      </c>
      <c r="I16" s="70">
        <v>860</v>
      </c>
      <c r="J16" s="71">
        <v>2.9</v>
      </c>
      <c r="K16" s="33">
        <f t="shared" ref="K16:P16" si="2">K$12</f>
        <v>0</v>
      </c>
      <c r="L16" s="72">
        <f t="shared" si="2"/>
        <v>0</v>
      </c>
      <c r="M16" s="33">
        <f t="shared" si="2"/>
        <v>30</v>
      </c>
      <c r="N16" s="72">
        <f t="shared" si="2"/>
        <v>3.7</v>
      </c>
      <c r="O16" s="33">
        <f t="shared" si="2"/>
        <v>0</v>
      </c>
      <c r="P16" s="72">
        <f t="shared" si="2"/>
        <v>0</v>
      </c>
      <c r="Q16" s="36">
        <v>180</v>
      </c>
      <c r="R16" s="56">
        <v>6.6</v>
      </c>
      <c r="S16" s="36">
        <v>200</v>
      </c>
      <c r="T16" s="56">
        <v>2.9</v>
      </c>
      <c r="U16" s="36">
        <v>220</v>
      </c>
      <c r="V16" s="56">
        <v>2</v>
      </c>
      <c r="W16" s="143">
        <v>0.01</v>
      </c>
      <c r="X16" s="143">
        <v>0.03</v>
      </c>
      <c r="Y16" s="143">
        <v>0.04</v>
      </c>
      <c r="Z16" s="143">
        <v>0.05</v>
      </c>
      <c r="AB16" s="89" t="s">
        <v>50</v>
      </c>
      <c r="AC16" s="35">
        <v>9</v>
      </c>
      <c r="AD16" s="43">
        <v>5490</v>
      </c>
      <c r="AE16" s="44">
        <v>2</v>
      </c>
      <c r="AG16" s="61" t="s">
        <v>51</v>
      </c>
      <c r="AH16" s="65"/>
      <c r="AI16" s="46">
        <v>48100</v>
      </c>
      <c r="AJ16" s="46">
        <v>480</v>
      </c>
      <c r="AK16" s="47">
        <v>9.1999999999999993</v>
      </c>
    </row>
    <row r="17" spans="2:35" s="22" customFormat="1" ht="15.75" customHeight="1">
      <c r="B17" s="28"/>
      <c r="C17" s="58" t="str">
        <f>C$9</f>
        <v>３歳児</v>
      </c>
      <c r="D17" s="38">
        <f>D16</f>
        <v>2</v>
      </c>
      <c r="E17" s="42" t="str">
        <f>E$9</f>
        <v>B</v>
      </c>
      <c r="F17" s="40" t="str">
        <f t="shared" si="0"/>
        <v>2B</v>
      </c>
      <c r="G17" s="43">
        <v>1160</v>
      </c>
      <c r="H17" s="44">
        <v>3</v>
      </c>
      <c r="I17" s="43">
        <v>940</v>
      </c>
      <c r="J17" s="44">
        <v>2.9</v>
      </c>
      <c r="K17" s="41">
        <f t="shared" ref="K17:P17" si="3">K$13</f>
        <v>80</v>
      </c>
      <c r="L17" s="60">
        <f t="shared" si="3"/>
        <v>2.8</v>
      </c>
      <c r="M17" s="41">
        <f t="shared" si="3"/>
        <v>0</v>
      </c>
      <c r="N17" s="60">
        <f t="shared" si="3"/>
        <v>0</v>
      </c>
      <c r="O17" s="41">
        <f t="shared" si="3"/>
        <v>0</v>
      </c>
      <c r="P17" s="60">
        <f t="shared" si="3"/>
        <v>0</v>
      </c>
      <c r="Q17" s="41">
        <f>Q16</f>
        <v>180</v>
      </c>
      <c r="R17" s="60">
        <f>R16</f>
        <v>6.6</v>
      </c>
      <c r="S17" s="41">
        <f t="shared" ref="S17:Z19" si="4">S$16</f>
        <v>200</v>
      </c>
      <c r="T17" s="60">
        <f t="shared" si="4"/>
        <v>2.9</v>
      </c>
      <c r="U17" s="41">
        <f t="shared" si="4"/>
        <v>220</v>
      </c>
      <c r="V17" s="60">
        <f t="shared" si="4"/>
        <v>2</v>
      </c>
      <c r="W17" s="142">
        <f t="shared" si="4"/>
        <v>0.01</v>
      </c>
      <c r="X17" s="142">
        <f t="shared" si="4"/>
        <v>0.03</v>
      </c>
      <c r="Y17" s="142">
        <f t="shared" si="4"/>
        <v>0.04</v>
      </c>
      <c r="Z17" s="142">
        <f t="shared" si="4"/>
        <v>0.05</v>
      </c>
      <c r="AB17" s="89" t="s">
        <v>52</v>
      </c>
      <c r="AC17" s="35">
        <v>10</v>
      </c>
      <c r="AD17" s="43">
        <v>5900</v>
      </c>
      <c r="AE17" s="44">
        <v>2.1</v>
      </c>
      <c r="AG17" s="61" t="s">
        <v>53</v>
      </c>
      <c r="AH17" s="65"/>
      <c r="AI17" s="46">
        <v>49020</v>
      </c>
    </row>
    <row r="18" spans="2:35" s="22" customFormat="1" ht="15.75" customHeight="1">
      <c r="B18" s="28"/>
      <c r="C18" s="58" t="str">
        <f>C$10</f>
        <v>１、２歳児</v>
      </c>
      <c r="D18" s="38">
        <f>D16</f>
        <v>2</v>
      </c>
      <c r="E18" s="42" t="str">
        <f>E$10</f>
        <v>C</v>
      </c>
      <c r="F18" s="40" t="str">
        <f t="shared" si="0"/>
        <v>2C</v>
      </c>
      <c r="G18" s="43">
        <v>1750</v>
      </c>
      <c r="H18" s="44">
        <v>2.9</v>
      </c>
      <c r="I18" s="43">
        <v>1520</v>
      </c>
      <c r="J18" s="44">
        <v>2.9</v>
      </c>
      <c r="K18" s="41">
        <f t="shared" ref="K18:P18" si="5">K$14</f>
        <v>0</v>
      </c>
      <c r="L18" s="60">
        <f t="shared" si="5"/>
        <v>0</v>
      </c>
      <c r="M18" s="41">
        <f t="shared" si="5"/>
        <v>0</v>
      </c>
      <c r="N18" s="60">
        <f t="shared" si="5"/>
        <v>0</v>
      </c>
      <c r="O18" s="41">
        <f t="shared" si="5"/>
        <v>160</v>
      </c>
      <c r="P18" s="60">
        <f t="shared" si="5"/>
        <v>2.8</v>
      </c>
      <c r="Q18" s="41">
        <f>Q16</f>
        <v>180</v>
      </c>
      <c r="R18" s="60">
        <f>R16</f>
        <v>6.6</v>
      </c>
      <c r="S18" s="41">
        <f t="shared" si="4"/>
        <v>200</v>
      </c>
      <c r="T18" s="60">
        <f t="shared" si="4"/>
        <v>2.9</v>
      </c>
      <c r="U18" s="41">
        <f t="shared" si="4"/>
        <v>220</v>
      </c>
      <c r="V18" s="60">
        <f t="shared" si="4"/>
        <v>2</v>
      </c>
      <c r="W18" s="142">
        <f t="shared" si="4"/>
        <v>0.01</v>
      </c>
      <c r="X18" s="142">
        <f t="shared" si="4"/>
        <v>0.03</v>
      </c>
      <c r="Y18" s="142">
        <f t="shared" si="4"/>
        <v>0.04</v>
      </c>
      <c r="Z18" s="142">
        <f t="shared" si="4"/>
        <v>0.05</v>
      </c>
      <c r="AB18" s="89" t="s">
        <v>164</v>
      </c>
      <c r="AC18" s="35">
        <v>11</v>
      </c>
      <c r="AD18" s="43">
        <v>6310</v>
      </c>
      <c r="AE18" s="44">
        <v>1.9</v>
      </c>
      <c r="AG18" s="61" t="s">
        <v>54</v>
      </c>
      <c r="AH18" s="65"/>
      <c r="AI18" s="46">
        <v>6130</v>
      </c>
    </row>
    <row r="19" spans="2:35" s="22" customFormat="1" ht="15.75" customHeight="1">
      <c r="B19" s="73"/>
      <c r="C19" s="62" t="str">
        <f>C$11</f>
        <v>乳児</v>
      </c>
      <c r="D19" s="50">
        <f>D16</f>
        <v>2</v>
      </c>
      <c r="E19" s="54" t="str">
        <f>E$11</f>
        <v>D</v>
      </c>
      <c r="F19" s="52" t="str">
        <f t="shared" si="0"/>
        <v>2D</v>
      </c>
      <c r="G19" s="46">
        <v>2590</v>
      </c>
      <c r="H19" s="47">
        <v>2.9</v>
      </c>
      <c r="I19" s="46">
        <v>2360</v>
      </c>
      <c r="J19" s="47">
        <v>2.9</v>
      </c>
      <c r="K19" s="53">
        <f t="shared" ref="K19:P19" si="6">K$15</f>
        <v>0</v>
      </c>
      <c r="L19" s="64">
        <f t="shared" si="6"/>
        <v>0</v>
      </c>
      <c r="M19" s="53">
        <f t="shared" si="6"/>
        <v>0</v>
      </c>
      <c r="N19" s="64">
        <f t="shared" si="6"/>
        <v>0</v>
      </c>
      <c r="O19" s="53">
        <f t="shared" si="6"/>
        <v>0</v>
      </c>
      <c r="P19" s="64">
        <f t="shared" si="6"/>
        <v>0</v>
      </c>
      <c r="Q19" s="53">
        <f>Q16</f>
        <v>180</v>
      </c>
      <c r="R19" s="64">
        <f>R16</f>
        <v>6.6</v>
      </c>
      <c r="S19" s="53">
        <f t="shared" si="4"/>
        <v>200</v>
      </c>
      <c r="T19" s="64">
        <f t="shared" si="4"/>
        <v>2.9</v>
      </c>
      <c r="U19" s="53">
        <f t="shared" si="4"/>
        <v>220</v>
      </c>
      <c r="V19" s="64">
        <f t="shared" si="4"/>
        <v>2</v>
      </c>
      <c r="W19" s="142">
        <f t="shared" si="4"/>
        <v>0.01</v>
      </c>
      <c r="X19" s="142">
        <f t="shared" si="4"/>
        <v>0.03</v>
      </c>
      <c r="Y19" s="142">
        <f t="shared" si="4"/>
        <v>0.04</v>
      </c>
      <c r="Z19" s="142">
        <f t="shared" si="4"/>
        <v>0.05</v>
      </c>
      <c r="AB19" s="89" t="s">
        <v>55</v>
      </c>
      <c r="AC19" s="35">
        <v>12</v>
      </c>
      <c r="AD19" s="43">
        <v>6710</v>
      </c>
      <c r="AE19" s="44">
        <v>2</v>
      </c>
      <c r="AG19" s="61" t="s">
        <v>56</v>
      </c>
      <c r="AH19" s="65"/>
      <c r="AI19" s="46">
        <v>120</v>
      </c>
    </row>
    <row r="20" spans="2:35" s="22" customFormat="1" ht="15.75" customHeight="1">
      <c r="B20" s="68" t="s">
        <v>57</v>
      </c>
      <c r="C20" s="55" t="str">
        <f>C$8</f>
        <v>４歳以上児</v>
      </c>
      <c r="D20" s="30">
        <v>3</v>
      </c>
      <c r="E20" s="34" t="str">
        <f>E$8</f>
        <v>A</v>
      </c>
      <c r="F20" s="69" t="str">
        <f t="shared" si="0"/>
        <v>3A</v>
      </c>
      <c r="G20" s="70">
        <v>930</v>
      </c>
      <c r="H20" s="71">
        <v>3</v>
      </c>
      <c r="I20" s="70">
        <v>750</v>
      </c>
      <c r="J20" s="71">
        <v>2.8</v>
      </c>
      <c r="K20" s="33">
        <f t="shared" ref="K20:P20" si="7">K$12</f>
        <v>0</v>
      </c>
      <c r="L20" s="72">
        <f t="shared" si="7"/>
        <v>0</v>
      </c>
      <c r="M20" s="33">
        <f t="shared" si="7"/>
        <v>30</v>
      </c>
      <c r="N20" s="72">
        <f t="shared" si="7"/>
        <v>3.7</v>
      </c>
      <c r="O20" s="33">
        <f t="shared" si="7"/>
        <v>0</v>
      </c>
      <c r="P20" s="72">
        <f t="shared" si="7"/>
        <v>0</v>
      </c>
      <c r="Q20" s="36">
        <v>150</v>
      </c>
      <c r="R20" s="56">
        <v>6.6</v>
      </c>
      <c r="S20" s="36">
        <v>160</v>
      </c>
      <c r="T20" s="56">
        <v>3</v>
      </c>
      <c r="U20" s="36">
        <v>180</v>
      </c>
      <c r="V20" s="56">
        <v>2</v>
      </c>
      <c r="W20" s="143">
        <v>0.01</v>
      </c>
      <c r="X20" s="143">
        <v>0.03</v>
      </c>
      <c r="Y20" s="143">
        <v>0.04</v>
      </c>
      <c r="Z20" s="143">
        <v>0.05</v>
      </c>
      <c r="AB20" s="89" t="s">
        <v>58</v>
      </c>
      <c r="AC20" s="35">
        <v>13</v>
      </c>
      <c r="AD20" s="43">
        <v>7120</v>
      </c>
      <c r="AE20" s="44">
        <v>2</v>
      </c>
      <c r="AG20" s="61" t="s">
        <v>59</v>
      </c>
      <c r="AH20" s="65"/>
      <c r="AI20" s="46">
        <v>160000</v>
      </c>
    </row>
    <row r="21" spans="2:35" s="22" customFormat="1" ht="15.75" customHeight="1">
      <c r="B21" s="28"/>
      <c r="C21" s="58" t="str">
        <f>C$9</f>
        <v>３歳児</v>
      </c>
      <c r="D21" s="38">
        <f>D20</f>
        <v>3</v>
      </c>
      <c r="E21" s="42" t="str">
        <f>E$9</f>
        <v>B</v>
      </c>
      <c r="F21" s="40" t="str">
        <f t="shared" si="0"/>
        <v>3B</v>
      </c>
      <c r="G21" s="43">
        <v>1010</v>
      </c>
      <c r="H21" s="44">
        <v>2.9</v>
      </c>
      <c r="I21" s="43">
        <v>830</v>
      </c>
      <c r="J21" s="44">
        <v>2.8</v>
      </c>
      <c r="K21" s="41">
        <f t="shared" ref="K21:P21" si="8">K$13</f>
        <v>80</v>
      </c>
      <c r="L21" s="60">
        <f t="shared" si="8"/>
        <v>2.8</v>
      </c>
      <c r="M21" s="41">
        <f t="shared" si="8"/>
        <v>0</v>
      </c>
      <c r="N21" s="60">
        <f t="shared" si="8"/>
        <v>0</v>
      </c>
      <c r="O21" s="41">
        <f t="shared" si="8"/>
        <v>0</v>
      </c>
      <c r="P21" s="60">
        <f t="shared" si="8"/>
        <v>0</v>
      </c>
      <c r="Q21" s="41">
        <f>Q20</f>
        <v>150</v>
      </c>
      <c r="R21" s="60">
        <f>R20</f>
        <v>6.6</v>
      </c>
      <c r="S21" s="41">
        <f t="shared" ref="S21:Z23" si="9">S$20</f>
        <v>160</v>
      </c>
      <c r="T21" s="60">
        <f t="shared" si="9"/>
        <v>3</v>
      </c>
      <c r="U21" s="41">
        <f t="shared" si="9"/>
        <v>180</v>
      </c>
      <c r="V21" s="60">
        <f t="shared" si="9"/>
        <v>2</v>
      </c>
      <c r="W21" s="142">
        <f t="shared" si="9"/>
        <v>0.01</v>
      </c>
      <c r="X21" s="142">
        <f t="shared" si="9"/>
        <v>0.03</v>
      </c>
      <c r="Y21" s="142">
        <f t="shared" si="9"/>
        <v>0.04</v>
      </c>
      <c r="Z21" s="142">
        <f t="shared" si="9"/>
        <v>0.05</v>
      </c>
      <c r="AB21" s="89" t="s">
        <v>60</v>
      </c>
      <c r="AC21" s="35">
        <v>14</v>
      </c>
      <c r="AD21" s="43">
        <v>7530</v>
      </c>
      <c r="AE21" s="44">
        <v>2.1</v>
      </c>
      <c r="AG21" s="61" t="s">
        <v>61</v>
      </c>
      <c r="AH21" s="65"/>
      <c r="AI21" s="46">
        <v>150000</v>
      </c>
    </row>
    <row r="22" spans="2:35" s="22" customFormat="1" ht="15.75" customHeight="1">
      <c r="B22" s="28"/>
      <c r="C22" s="58" t="str">
        <f>C$10</f>
        <v>１、２歳児</v>
      </c>
      <c r="D22" s="38">
        <f>D20</f>
        <v>3</v>
      </c>
      <c r="E22" s="42" t="str">
        <f>E$10</f>
        <v>C</v>
      </c>
      <c r="F22" s="40" t="str">
        <f t="shared" si="0"/>
        <v>3C</v>
      </c>
      <c r="G22" s="43">
        <v>1600</v>
      </c>
      <c r="H22" s="44">
        <v>2.9</v>
      </c>
      <c r="I22" s="43">
        <v>1410</v>
      </c>
      <c r="J22" s="44">
        <v>2.8</v>
      </c>
      <c r="K22" s="41">
        <f t="shared" ref="K22:P22" si="10">K$14</f>
        <v>0</v>
      </c>
      <c r="L22" s="60">
        <f t="shared" si="10"/>
        <v>0</v>
      </c>
      <c r="M22" s="41">
        <f t="shared" si="10"/>
        <v>0</v>
      </c>
      <c r="N22" s="60">
        <f t="shared" si="10"/>
        <v>0</v>
      </c>
      <c r="O22" s="41">
        <f t="shared" si="10"/>
        <v>160</v>
      </c>
      <c r="P22" s="60">
        <f t="shared" si="10"/>
        <v>2.8</v>
      </c>
      <c r="Q22" s="41">
        <f>Q20</f>
        <v>150</v>
      </c>
      <c r="R22" s="60">
        <f>R20</f>
        <v>6.6</v>
      </c>
      <c r="S22" s="41">
        <f t="shared" si="9"/>
        <v>160</v>
      </c>
      <c r="T22" s="60">
        <f t="shared" si="9"/>
        <v>3</v>
      </c>
      <c r="U22" s="41">
        <f t="shared" si="9"/>
        <v>180</v>
      </c>
      <c r="V22" s="60">
        <f t="shared" si="9"/>
        <v>2</v>
      </c>
      <c r="W22" s="142">
        <f t="shared" si="9"/>
        <v>0.01</v>
      </c>
      <c r="X22" s="142">
        <f t="shared" si="9"/>
        <v>0.03</v>
      </c>
      <c r="Y22" s="142">
        <f t="shared" si="9"/>
        <v>0.04</v>
      </c>
      <c r="Z22" s="142">
        <f t="shared" si="9"/>
        <v>0.05</v>
      </c>
      <c r="AB22" s="89" t="s">
        <v>62</v>
      </c>
      <c r="AC22" s="87">
        <v>15</v>
      </c>
      <c r="AD22" s="77">
        <v>7940</v>
      </c>
      <c r="AE22" s="78">
        <v>2.1</v>
      </c>
    </row>
    <row r="23" spans="2:35" s="22" customFormat="1" ht="15.75" customHeight="1">
      <c r="B23" s="73"/>
      <c r="C23" s="62" t="str">
        <f>C$11</f>
        <v>乳児</v>
      </c>
      <c r="D23" s="50">
        <f>D20</f>
        <v>3</v>
      </c>
      <c r="E23" s="54" t="str">
        <f>E$11</f>
        <v>D</v>
      </c>
      <c r="F23" s="52" t="str">
        <f t="shared" si="0"/>
        <v>3D</v>
      </c>
      <c r="G23" s="46">
        <v>2440</v>
      </c>
      <c r="H23" s="47">
        <v>2.9</v>
      </c>
      <c r="I23" s="46">
        <v>2250</v>
      </c>
      <c r="J23" s="47">
        <v>2.9</v>
      </c>
      <c r="K23" s="53">
        <f t="shared" ref="K23:P23" si="11">K$15</f>
        <v>0</v>
      </c>
      <c r="L23" s="64">
        <f t="shared" si="11"/>
        <v>0</v>
      </c>
      <c r="M23" s="53">
        <f t="shared" si="11"/>
        <v>0</v>
      </c>
      <c r="N23" s="64">
        <f t="shared" si="11"/>
        <v>0</v>
      </c>
      <c r="O23" s="53">
        <f t="shared" si="11"/>
        <v>0</v>
      </c>
      <c r="P23" s="64">
        <f t="shared" si="11"/>
        <v>0</v>
      </c>
      <c r="Q23" s="53">
        <f>Q20</f>
        <v>150</v>
      </c>
      <c r="R23" s="64">
        <f>R20</f>
        <v>6.6</v>
      </c>
      <c r="S23" s="53">
        <f t="shared" si="9"/>
        <v>160</v>
      </c>
      <c r="T23" s="64">
        <f t="shared" si="9"/>
        <v>3</v>
      </c>
      <c r="U23" s="53">
        <f t="shared" si="9"/>
        <v>180</v>
      </c>
      <c r="V23" s="64">
        <f t="shared" si="9"/>
        <v>2</v>
      </c>
      <c r="W23" s="142">
        <f t="shared" si="9"/>
        <v>0.01</v>
      </c>
      <c r="X23" s="142">
        <f t="shared" si="9"/>
        <v>0.03</v>
      </c>
      <c r="Y23" s="142">
        <f t="shared" si="9"/>
        <v>0.04</v>
      </c>
      <c r="Z23" s="142">
        <f t="shared" si="9"/>
        <v>0.05</v>
      </c>
    </row>
    <row r="24" spans="2:35" s="22" customFormat="1" ht="15.75" customHeight="1">
      <c r="B24" s="68" t="s">
        <v>63</v>
      </c>
      <c r="C24" s="55" t="str">
        <f>C$8</f>
        <v>４歳以上児</v>
      </c>
      <c r="D24" s="30">
        <v>4</v>
      </c>
      <c r="E24" s="34" t="str">
        <f>E$8</f>
        <v>A</v>
      </c>
      <c r="F24" s="69" t="str">
        <f t="shared" si="0"/>
        <v>4A</v>
      </c>
      <c r="G24" s="70">
        <v>820</v>
      </c>
      <c r="H24" s="71">
        <v>2.9</v>
      </c>
      <c r="I24" s="70">
        <v>660</v>
      </c>
      <c r="J24" s="71">
        <v>2.8</v>
      </c>
      <c r="K24" s="33">
        <f t="shared" ref="K24:P24" si="12">K$12</f>
        <v>0</v>
      </c>
      <c r="L24" s="72">
        <f t="shared" si="12"/>
        <v>0</v>
      </c>
      <c r="M24" s="33">
        <f t="shared" si="12"/>
        <v>30</v>
      </c>
      <c r="N24" s="72">
        <f t="shared" si="12"/>
        <v>3.7</v>
      </c>
      <c r="O24" s="33">
        <f t="shared" si="12"/>
        <v>0</v>
      </c>
      <c r="P24" s="72">
        <f t="shared" si="12"/>
        <v>0</v>
      </c>
      <c r="Q24" s="36">
        <v>130</v>
      </c>
      <c r="R24" s="56">
        <v>6.5</v>
      </c>
      <c r="S24" s="36">
        <v>140</v>
      </c>
      <c r="T24" s="56">
        <v>2.9</v>
      </c>
      <c r="U24" s="36">
        <v>150</v>
      </c>
      <c r="V24" s="56">
        <v>2.1</v>
      </c>
      <c r="W24" s="143">
        <v>0.01</v>
      </c>
      <c r="X24" s="143">
        <v>0.03</v>
      </c>
      <c r="Y24" s="143">
        <v>0.04</v>
      </c>
      <c r="Z24" s="143">
        <v>0.05</v>
      </c>
    </row>
    <row r="25" spans="2:35" s="22" customFormat="1" ht="15.75" customHeight="1">
      <c r="B25" s="28"/>
      <c r="C25" s="58" t="str">
        <f>C$9</f>
        <v>３歳児</v>
      </c>
      <c r="D25" s="38">
        <f>D24</f>
        <v>4</v>
      </c>
      <c r="E25" s="42" t="str">
        <f>E$9</f>
        <v>B</v>
      </c>
      <c r="F25" s="40" t="str">
        <f t="shared" si="0"/>
        <v>4B</v>
      </c>
      <c r="G25" s="43">
        <v>900</v>
      </c>
      <c r="H25" s="44">
        <v>2.9</v>
      </c>
      <c r="I25" s="43">
        <v>740</v>
      </c>
      <c r="J25" s="44">
        <v>2.8</v>
      </c>
      <c r="K25" s="41">
        <f t="shared" ref="K25:P25" si="13">K$13</f>
        <v>80</v>
      </c>
      <c r="L25" s="60">
        <f t="shared" si="13"/>
        <v>2.8</v>
      </c>
      <c r="M25" s="41">
        <f t="shared" si="13"/>
        <v>0</v>
      </c>
      <c r="N25" s="60">
        <f t="shared" si="13"/>
        <v>0</v>
      </c>
      <c r="O25" s="41">
        <f t="shared" si="13"/>
        <v>0</v>
      </c>
      <c r="P25" s="60">
        <f t="shared" si="13"/>
        <v>0</v>
      </c>
      <c r="Q25" s="41">
        <f>Q24</f>
        <v>130</v>
      </c>
      <c r="R25" s="60">
        <f>R24</f>
        <v>6.5</v>
      </c>
      <c r="S25" s="41">
        <f t="shared" ref="S25:Z27" si="14">S$24</f>
        <v>140</v>
      </c>
      <c r="T25" s="60">
        <f t="shared" si="14"/>
        <v>2.9</v>
      </c>
      <c r="U25" s="41">
        <f t="shared" si="14"/>
        <v>150</v>
      </c>
      <c r="V25" s="60">
        <f t="shared" si="14"/>
        <v>2.1</v>
      </c>
      <c r="W25" s="142">
        <f t="shared" si="14"/>
        <v>0.01</v>
      </c>
      <c r="X25" s="142">
        <f t="shared" si="14"/>
        <v>0.03</v>
      </c>
      <c r="Y25" s="142">
        <f t="shared" si="14"/>
        <v>0.04</v>
      </c>
      <c r="Z25" s="142">
        <f t="shared" si="14"/>
        <v>0.05</v>
      </c>
    </row>
    <row r="26" spans="2:35" s="22" customFormat="1" ht="15.75" customHeight="1">
      <c r="B26" s="28"/>
      <c r="C26" s="58" t="str">
        <f>C$10</f>
        <v>１、２歳児</v>
      </c>
      <c r="D26" s="38">
        <f>D24</f>
        <v>4</v>
      </c>
      <c r="E26" s="42" t="str">
        <f>E$10</f>
        <v>C</v>
      </c>
      <c r="F26" s="40" t="str">
        <f t="shared" si="0"/>
        <v>4C</v>
      </c>
      <c r="G26" s="43">
        <v>1490</v>
      </c>
      <c r="H26" s="44">
        <v>2.9</v>
      </c>
      <c r="I26" s="43">
        <v>1330</v>
      </c>
      <c r="J26" s="44">
        <v>2.8</v>
      </c>
      <c r="K26" s="41">
        <f t="shared" ref="K26:P26" si="15">K$14</f>
        <v>0</v>
      </c>
      <c r="L26" s="60">
        <f t="shared" si="15"/>
        <v>0</v>
      </c>
      <c r="M26" s="41">
        <f t="shared" si="15"/>
        <v>0</v>
      </c>
      <c r="N26" s="60">
        <f t="shared" si="15"/>
        <v>0</v>
      </c>
      <c r="O26" s="41">
        <f t="shared" si="15"/>
        <v>160</v>
      </c>
      <c r="P26" s="60">
        <f t="shared" si="15"/>
        <v>2.8</v>
      </c>
      <c r="Q26" s="41">
        <f>Q24</f>
        <v>130</v>
      </c>
      <c r="R26" s="60">
        <f>R24</f>
        <v>6.5</v>
      </c>
      <c r="S26" s="41">
        <f t="shared" si="14"/>
        <v>140</v>
      </c>
      <c r="T26" s="60">
        <f t="shared" si="14"/>
        <v>2.9</v>
      </c>
      <c r="U26" s="41">
        <f t="shared" si="14"/>
        <v>150</v>
      </c>
      <c r="V26" s="60">
        <f t="shared" si="14"/>
        <v>2.1</v>
      </c>
      <c r="W26" s="142">
        <f t="shared" si="14"/>
        <v>0.01</v>
      </c>
      <c r="X26" s="142">
        <f t="shared" si="14"/>
        <v>0.03</v>
      </c>
      <c r="Y26" s="142">
        <f t="shared" si="14"/>
        <v>0.04</v>
      </c>
      <c r="Z26" s="142">
        <f t="shared" si="14"/>
        <v>0.05</v>
      </c>
    </row>
    <row r="27" spans="2:35" s="22" customFormat="1" ht="15.75" customHeight="1">
      <c r="B27" s="73"/>
      <c r="C27" s="62" t="str">
        <f>C$11</f>
        <v>乳児</v>
      </c>
      <c r="D27" s="50">
        <f>D24</f>
        <v>4</v>
      </c>
      <c r="E27" s="54" t="str">
        <f>E$11</f>
        <v>D</v>
      </c>
      <c r="F27" s="52" t="str">
        <f t="shared" si="0"/>
        <v>4D</v>
      </c>
      <c r="G27" s="46">
        <v>2330</v>
      </c>
      <c r="H27" s="47">
        <v>2.9</v>
      </c>
      <c r="I27" s="46">
        <v>2170</v>
      </c>
      <c r="J27" s="47">
        <v>2.8</v>
      </c>
      <c r="K27" s="53">
        <f t="shared" ref="K27:P27" si="16">K$15</f>
        <v>0</v>
      </c>
      <c r="L27" s="64">
        <f t="shared" si="16"/>
        <v>0</v>
      </c>
      <c r="M27" s="53">
        <f t="shared" si="16"/>
        <v>0</v>
      </c>
      <c r="N27" s="64">
        <f t="shared" si="16"/>
        <v>0</v>
      </c>
      <c r="O27" s="53">
        <f t="shared" si="16"/>
        <v>0</v>
      </c>
      <c r="P27" s="64">
        <f t="shared" si="16"/>
        <v>0</v>
      </c>
      <c r="Q27" s="53">
        <f>Q24</f>
        <v>130</v>
      </c>
      <c r="R27" s="64">
        <f>R24</f>
        <v>6.5</v>
      </c>
      <c r="S27" s="53">
        <f t="shared" si="14"/>
        <v>140</v>
      </c>
      <c r="T27" s="64">
        <f t="shared" si="14"/>
        <v>2.9</v>
      </c>
      <c r="U27" s="53">
        <f t="shared" si="14"/>
        <v>150</v>
      </c>
      <c r="V27" s="64">
        <f t="shared" si="14"/>
        <v>2.1</v>
      </c>
      <c r="W27" s="142">
        <f t="shared" si="14"/>
        <v>0.01</v>
      </c>
      <c r="X27" s="142">
        <f t="shared" si="14"/>
        <v>0.03</v>
      </c>
      <c r="Y27" s="142">
        <f t="shared" si="14"/>
        <v>0.04</v>
      </c>
      <c r="Z27" s="142">
        <f t="shared" si="14"/>
        <v>0.05</v>
      </c>
    </row>
    <row r="28" spans="2:35" s="22" customFormat="1" ht="15.75" customHeight="1">
      <c r="B28" s="68" t="s">
        <v>64</v>
      </c>
      <c r="C28" s="55" t="str">
        <f>C$8</f>
        <v>４歳以上児</v>
      </c>
      <c r="D28" s="30">
        <v>5</v>
      </c>
      <c r="E28" s="34" t="str">
        <f>E$8</f>
        <v>A</v>
      </c>
      <c r="F28" s="69" t="str">
        <f t="shared" si="0"/>
        <v>5A</v>
      </c>
      <c r="G28" s="70">
        <v>750</v>
      </c>
      <c r="H28" s="71">
        <v>2.9</v>
      </c>
      <c r="I28" s="70">
        <v>610</v>
      </c>
      <c r="J28" s="71">
        <v>2.8</v>
      </c>
      <c r="K28" s="33">
        <f t="shared" ref="K28:P28" si="17">K$12</f>
        <v>0</v>
      </c>
      <c r="L28" s="72">
        <f t="shared" si="17"/>
        <v>0</v>
      </c>
      <c r="M28" s="33">
        <f t="shared" si="17"/>
        <v>30</v>
      </c>
      <c r="N28" s="72">
        <f t="shared" si="17"/>
        <v>3.7</v>
      </c>
      <c r="O28" s="33">
        <f t="shared" si="17"/>
        <v>0</v>
      </c>
      <c r="P28" s="72">
        <f t="shared" si="17"/>
        <v>0</v>
      </c>
      <c r="Q28" s="36">
        <v>110</v>
      </c>
      <c r="R28" s="56">
        <v>6.8</v>
      </c>
      <c r="S28" s="36">
        <v>120</v>
      </c>
      <c r="T28" s="56">
        <v>3</v>
      </c>
      <c r="U28" s="36">
        <v>130</v>
      </c>
      <c r="V28" s="56">
        <v>2.1</v>
      </c>
      <c r="W28" s="143">
        <v>0.01</v>
      </c>
      <c r="X28" s="143">
        <v>0.03</v>
      </c>
      <c r="Y28" s="143">
        <v>0.04</v>
      </c>
      <c r="Z28" s="143">
        <v>0.05</v>
      </c>
    </row>
    <row r="29" spans="2:35" s="22" customFormat="1" ht="15.75" customHeight="1">
      <c r="B29" s="28"/>
      <c r="C29" s="58" t="str">
        <f>C$9</f>
        <v>３歳児</v>
      </c>
      <c r="D29" s="38">
        <f>D28</f>
        <v>5</v>
      </c>
      <c r="E29" s="42" t="str">
        <f>E$9</f>
        <v>B</v>
      </c>
      <c r="F29" s="40" t="str">
        <f t="shared" si="0"/>
        <v>5B</v>
      </c>
      <c r="G29" s="43">
        <v>830</v>
      </c>
      <c r="H29" s="44">
        <v>2.9</v>
      </c>
      <c r="I29" s="43">
        <v>690</v>
      </c>
      <c r="J29" s="44">
        <v>2.8</v>
      </c>
      <c r="K29" s="41">
        <f t="shared" ref="K29:P29" si="18">K$13</f>
        <v>80</v>
      </c>
      <c r="L29" s="60">
        <f t="shared" si="18"/>
        <v>2.8</v>
      </c>
      <c r="M29" s="41">
        <f t="shared" si="18"/>
        <v>0</v>
      </c>
      <c r="N29" s="60">
        <f t="shared" si="18"/>
        <v>0</v>
      </c>
      <c r="O29" s="41">
        <f t="shared" si="18"/>
        <v>0</v>
      </c>
      <c r="P29" s="60">
        <f t="shared" si="18"/>
        <v>0</v>
      </c>
      <c r="Q29" s="41">
        <f>Q28</f>
        <v>110</v>
      </c>
      <c r="R29" s="60">
        <f>R28</f>
        <v>6.8</v>
      </c>
      <c r="S29" s="41">
        <f t="shared" ref="S29:Z31" si="19">S$28</f>
        <v>120</v>
      </c>
      <c r="T29" s="60">
        <f t="shared" si="19"/>
        <v>3</v>
      </c>
      <c r="U29" s="41">
        <f t="shared" si="19"/>
        <v>130</v>
      </c>
      <c r="V29" s="60">
        <f t="shared" si="19"/>
        <v>2.1</v>
      </c>
      <c r="W29" s="142">
        <f t="shared" si="19"/>
        <v>0.01</v>
      </c>
      <c r="X29" s="142">
        <f t="shared" si="19"/>
        <v>0.03</v>
      </c>
      <c r="Y29" s="142">
        <f t="shared" si="19"/>
        <v>0.04</v>
      </c>
      <c r="Z29" s="142">
        <f t="shared" si="19"/>
        <v>0.05</v>
      </c>
    </row>
    <row r="30" spans="2:35" s="22" customFormat="1" ht="15.75" customHeight="1">
      <c r="B30" s="28"/>
      <c r="C30" s="58" t="str">
        <f>C$10</f>
        <v>１、２歳児</v>
      </c>
      <c r="D30" s="38">
        <f>D28</f>
        <v>5</v>
      </c>
      <c r="E30" s="42" t="str">
        <f>E$10</f>
        <v>C</v>
      </c>
      <c r="F30" s="40" t="str">
        <f t="shared" si="0"/>
        <v>5C</v>
      </c>
      <c r="G30" s="43">
        <v>1420</v>
      </c>
      <c r="H30" s="44">
        <v>2.8</v>
      </c>
      <c r="I30" s="43">
        <v>1280</v>
      </c>
      <c r="J30" s="44">
        <v>2.8</v>
      </c>
      <c r="K30" s="41">
        <f t="shared" ref="K30:P30" si="20">K$14</f>
        <v>0</v>
      </c>
      <c r="L30" s="60">
        <f t="shared" si="20"/>
        <v>0</v>
      </c>
      <c r="M30" s="41">
        <f t="shared" si="20"/>
        <v>0</v>
      </c>
      <c r="N30" s="60">
        <f t="shared" si="20"/>
        <v>0</v>
      </c>
      <c r="O30" s="41">
        <f t="shared" si="20"/>
        <v>160</v>
      </c>
      <c r="P30" s="60">
        <f t="shared" si="20"/>
        <v>2.8</v>
      </c>
      <c r="Q30" s="41">
        <f>Q28</f>
        <v>110</v>
      </c>
      <c r="R30" s="60">
        <f>R28</f>
        <v>6.8</v>
      </c>
      <c r="S30" s="41">
        <f t="shared" si="19"/>
        <v>120</v>
      </c>
      <c r="T30" s="60">
        <f t="shared" si="19"/>
        <v>3</v>
      </c>
      <c r="U30" s="41">
        <f t="shared" si="19"/>
        <v>130</v>
      </c>
      <c r="V30" s="60">
        <f t="shared" si="19"/>
        <v>2.1</v>
      </c>
      <c r="W30" s="142">
        <f t="shared" si="19"/>
        <v>0.01</v>
      </c>
      <c r="X30" s="142">
        <f t="shared" si="19"/>
        <v>0.03</v>
      </c>
      <c r="Y30" s="142">
        <f t="shared" si="19"/>
        <v>0.04</v>
      </c>
      <c r="Z30" s="142">
        <f t="shared" si="19"/>
        <v>0.05</v>
      </c>
    </row>
    <row r="31" spans="2:35" s="22" customFormat="1" ht="15.75" customHeight="1">
      <c r="B31" s="73"/>
      <c r="C31" s="62" t="str">
        <f>C$11</f>
        <v>乳児</v>
      </c>
      <c r="D31" s="50">
        <f>D28</f>
        <v>5</v>
      </c>
      <c r="E31" s="54" t="str">
        <f>E$11</f>
        <v>D</v>
      </c>
      <c r="F31" s="52" t="str">
        <f t="shared" si="0"/>
        <v>5D</v>
      </c>
      <c r="G31" s="46">
        <v>2260</v>
      </c>
      <c r="H31" s="47">
        <v>2.9</v>
      </c>
      <c r="I31" s="46">
        <v>2120</v>
      </c>
      <c r="J31" s="47">
        <v>2.8</v>
      </c>
      <c r="K31" s="53">
        <f t="shared" ref="K31:P31" si="21">K$15</f>
        <v>0</v>
      </c>
      <c r="L31" s="64">
        <f t="shared" si="21"/>
        <v>0</v>
      </c>
      <c r="M31" s="53">
        <f t="shared" si="21"/>
        <v>0</v>
      </c>
      <c r="N31" s="64">
        <f t="shared" si="21"/>
        <v>0</v>
      </c>
      <c r="O31" s="53">
        <f t="shared" si="21"/>
        <v>0</v>
      </c>
      <c r="P31" s="64">
        <f t="shared" si="21"/>
        <v>0</v>
      </c>
      <c r="Q31" s="53">
        <f>Q28</f>
        <v>110</v>
      </c>
      <c r="R31" s="64">
        <f>R28</f>
        <v>6.8</v>
      </c>
      <c r="S31" s="53">
        <f t="shared" si="19"/>
        <v>120</v>
      </c>
      <c r="T31" s="64">
        <f t="shared" si="19"/>
        <v>3</v>
      </c>
      <c r="U31" s="53">
        <f t="shared" si="19"/>
        <v>130</v>
      </c>
      <c r="V31" s="64">
        <f t="shared" si="19"/>
        <v>2.1</v>
      </c>
      <c r="W31" s="142">
        <f t="shared" si="19"/>
        <v>0.01</v>
      </c>
      <c r="X31" s="142">
        <f t="shared" si="19"/>
        <v>0.03</v>
      </c>
      <c r="Y31" s="142">
        <f t="shared" si="19"/>
        <v>0.04</v>
      </c>
      <c r="Z31" s="142">
        <f t="shared" si="19"/>
        <v>0.05</v>
      </c>
    </row>
    <row r="32" spans="2:35" s="22" customFormat="1" ht="15.75" customHeight="1">
      <c r="B32" s="68" t="s">
        <v>65</v>
      </c>
      <c r="C32" s="55" t="str">
        <f>C$8</f>
        <v>４歳以上児</v>
      </c>
      <c r="D32" s="30">
        <v>6</v>
      </c>
      <c r="E32" s="34" t="str">
        <f>E$8</f>
        <v>A</v>
      </c>
      <c r="F32" s="69" t="str">
        <f t="shared" si="0"/>
        <v>6A</v>
      </c>
      <c r="G32" s="70">
        <v>780</v>
      </c>
      <c r="H32" s="71">
        <v>2.9</v>
      </c>
      <c r="I32" s="70">
        <v>650</v>
      </c>
      <c r="J32" s="71">
        <v>2.8</v>
      </c>
      <c r="K32" s="33">
        <f t="shared" ref="K32:P32" si="22">K$12</f>
        <v>0</v>
      </c>
      <c r="L32" s="72">
        <f t="shared" si="22"/>
        <v>0</v>
      </c>
      <c r="M32" s="33">
        <f t="shared" si="22"/>
        <v>30</v>
      </c>
      <c r="N32" s="72">
        <f t="shared" si="22"/>
        <v>3.7</v>
      </c>
      <c r="O32" s="33">
        <f t="shared" si="22"/>
        <v>0</v>
      </c>
      <c r="P32" s="72">
        <f t="shared" si="22"/>
        <v>0</v>
      </c>
      <c r="Q32" s="36">
        <v>100</v>
      </c>
      <c r="R32" s="56">
        <v>6.6</v>
      </c>
      <c r="S32" s="36">
        <v>110</v>
      </c>
      <c r="T32" s="56">
        <v>2.9</v>
      </c>
      <c r="U32" s="36">
        <v>120</v>
      </c>
      <c r="V32" s="56">
        <v>2</v>
      </c>
      <c r="W32" s="143">
        <v>0.01</v>
      </c>
      <c r="X32" s="143">
        <v>0.03</v>
      </c>
      <c r="Y32" s="143">
        <v>0.04</v>
      </c>
      <c r="Z32" s="143">
        <v>0.05</v>
      </c>
    </row>
    <row r="33" spans="2:26" s="22" customFormat="1" ht="15.75" customHeight="1">
      <c r="B33" s="28"/>
      <c r="C33" s="58" t="str">
        <f>C$9</f>
        <v>３歳児</v>
      </c>
      <c r="D33" s="38">
        <f>D32</f>
        <v>6</v>
      </c>
      <c r="E33" s="42" t="str">
        <f>E$9</f>
        <v>B</v>
      </c>
      <c r="F33" s="40" t="str">
        <f t="shared" si="0"/>
        <v>6B</v>
      </c>
      <c r="G33" s="43">
        <v>860</v>
      </c>
      <c r="H33" s="44">
        <v>2.9</v>
      </c>
      <c r="I33" s="43">
        <v>730</v>
      </c>
      <c r="J33" s="44">
        <v>2.8</v>
      </c>
      <c r="K33" s="41">
        <f t="shared" ref="K33:P33" si="23">K$13</f>
        <v>80</v>
      </c>
      <c r="L33" s="60">
        <f t="shared" si="23"/>
        <v>2.8</v>
      </c>
      <c r="M33" s="41">
        <f t="shared" si="23"/>
        <v>0</v>
      </c>
      <c r="N33" s="60">
        <f t="shared" si="23"/>
        <v>0</v>
      </c>
      <c r="O33" s="41">
        <f t="shared" si="23"/>
        <v>0</v>
      </c>
      <c r="P33" s="60">
        <f t="shared" si="23"/>
        <v>0</v>
      </c>
      <c r="Q33" s="41">
        <f>Q32</f>
        <v>100</v>
      </c>
      <c r="R33" s="60">
        <f>R32</f>
        <v>6.6</v>
      </c>
      <c r="S33" s="41">
        <f t="shared" ref="S33:Z35" si="24">S$32</f>
        <v>110</v>
      </c>
      <c r="T33" s="60">
        <f t="shared" si="24"/>
        <v>2.9</v>
      </c>
      <c r="U33" s="41">
        <f t="shared" si="24"/>
        <v>120</v>
      </c>
      <c r="V33" s="60">
        <f t="shared" si="24"/>
        <v>2</v>
      </c>
      <c r="W33" s="142">
        <f t="shared" si="24"/>
        <v>0.01</v>
      </c>
      <c r="X33" s="142">
        <f t="shared" si="24"/>
        <v>0.03</v>
      </c>
      <c r="Y33" s="142">
        <f t="shared" si="24"/>
        <v>0.04</v>
      </c>
      <c r="Z33" s="142">
        <f t="shared" si="24"/>
        <v>0.05</v>
      </c>
    </row>
    <row r="34" spans="2:26" s="22" customFormat="1" ht="15.75" customHeight="1">
      <c r="B34" s="28"/>
      <c r="C34" s="58" t="str">
        <f>C$10</f>
        <v>１、２歳児</v>
      </c>
      <c r="D34" s="38">
        <f>D32</f>
        <v>6</v>
      </c>
      <c r="E34" s="42" t="str">
        <f>E$10</f>
        <v>C</v>
      </c>
      <c r="F34" s="40" t="str">
        <f t="shared" si="0"/>
        <v>6C</v>
      </c>
      <c r="G34" s="43">
        <v>1440</v>
      </c>
      <c r="H34" s="44">
        <v>2.9</v>
      </c>
      <c r="I34" s="43">
        <v>1320</v>
      </c>
      <c r="J34" s="44">
        <v>2.8</v>
      </c>
      <c r="K34" s="41">
        <f t="shared" ref="K34:P34" si="25">K$14</f>
        <v>0</v>
      </c>
      <c r="L34" s="60">
        <f t="shared" si="25"/>
        <v>0</v>
      </c>
      <c r="M34" s="41">
        <f t="shared" si="25"/>
        <v>0</v>
      </c>
      <c r="N34" s="60">
        <f t="shared" si="25"/>
        <v>0</v>
      </c>
      <c r="O34" s="41">
        <f t="shared" si="25"/>
        <v>160</v>
      </c>
      <c r="P34" s="60">
        <f t="shared" si="25"/>
        <v>2.8</v>
      </c>
      <c r="Q34" s="41">
        <f>Q32</f>
        <v>100</v>
      </c>
      <c r="R34" s="60">
        <f>R32</f>
        <v>6.6</v>
      </c>
      <c r="S34" s="41">
        <f t="shared" si="24"/>
        <v>110</v>
      </c>
      <c r="T34" s="60">
        <f t="shared" si="24"/>
        <v>2.9</v>
      </c>
      <c r="U34" s="41">
        <f t="shared" si="24"/>
        <v>120</v>
      </c>
      <c r="V34" s="60">
        <f t="shared" si="24"/>
        <v>2</v>
      </c>
      <c r="W34" s="142">
        <f t="shared" si="24"/>
        <v>0.01</v>
      </c>
      <c r="X34" s="142">
        <f t="shared" si="24"/>
        <v>0.03</v>
      </c>
      <c r="Y34" s="142">
        <f t="shared" si="24"/>
        <v>0.04</v>
      </c>
      <c r="Z34" s="142">
        <f t="shared" si="24"/>
        <v>0.05</v>
      </c>
    </row>
    <row r="35" spans="2:26" s="22" customFormat="1" ht="15.75" customHeight="1">
      <c r="B35" s="73"/>
      <c r="C35" s="62" t="str">
        <f>C$11</f>
        <v>乳児</v>
      </c>
      <c r="D35" s="50">
        <f>D32</f>
        <v>6</v>
      </c>
      <c r="E35" s="54" t="str">
        <f>E$11</f>
        <v>D</v>
      </c>
      <c r="F35" s="52" t="str">
        <f t="shared" si="0"/>
        <v>6D</v>
      </c>
      <c r="G35" s="46">
        <v>2280</v>
      </c>
      <c r="H35" s="47">
        <v>2.9</v>
      </c>
      <c r="I35" s="46">
        <v>2160</v>
      </c>
      <c r="J35" s="47">
        <v>2.8</v>
      </c>
      <c r="K35" s="53">
        <f t="shared" ref="K35:P35" si="26">K$15</f>
        <v>0</v>
      </c>
      <c r="L35" s="64">
        <f t="shared" si="26"/>
        <v>0</v>
      </c>
      <c r="M35" s="53">
        <f t="shared" si="26"/>
        <v>0</v>
      </c>
      <c r="N35" s="64">
        <f t="shared" si="26"/>
        <v>0</v>
      </c>
      <c r="O35" s="53">
        <f t="shared" si="26"/>
        <v>0</v>
      </c>
      <c r="P35" s="64">
        <f t="shared" si="26"/>
        <v>0</v>
      </c>
      <c r="Q35" s="53">
        <f>Q32</f>
        <v>100</v>
      </c>
      <c r="R35" s="64">
        <f>R32</f>
        <v>6.6</v>
      </c>
      <c r="S35" s="53">
        <f t="shared" si="24"/>
        <v>110</v>
      </c>
      <c r="T35" s="64">
        <f t="shared" si="24"/>
        <v>2.9</v>
      </c>
      <c r="U35" s="53">
        <f t="shared" si="24"/>
        <v>120</v>
      </c>
      <c r="V35" s="64">
        <f t="shared" si="24"/>
        <v>2</v>
      </c>
      <c r="W35" s="142">
        <f t="shared" si="24"/>
        <v>0.01</v>
      </c>
      <c r="X35" s="142">
        <f t="shared" si="24"/>
        <v>0.03</v>
      </c>
      <c r="Y35" s="142">
        <f t="shared" si="24"/>
        <v>0.04</v>
      </c>
      <c r="Z35" s="142">
        <f t="shared" si="24"/>
        <v>0.05</v>
      </c>
    </row>
    <row r="36" spans="2:26" s="22" customFormat="1" ht="15.75" customHeight="1">
      <c r="B36" s="68" t="s">
        <v>66</v>
      </c>
      <c r="C36" s="55" t="str">
        <f>C$8</f>
        <v>４歳以上児</v>
      </c>
      <c r="D36" s="30">
        <v>7</v>
      </c>
      <c r="E36" s="34" t="str">
        <f>E$8</f>
        <v>A</v>
      </c>
      <c r="F36" s="69" t="str">
        <f t="shared" si="0"/>
        <v>7A</v>
      </c>
      <c r="G36" s="70">
        <v>710</v>
      </c>
      <c r="H36" s="71">
        <v>2.9</v>
      </c>
      <c r="I36" s="70">
        <v>600</v>
      </c>
      <c r="J36" s="71">
        <v>2.8</v>
      </c>
      <c r="K36" s="33">
        <f t="shared" ref="K36:P36" si="27">K$12</f>
        <v>0</v>
      </c>
      <c r="L36" s="72">
        <f t="shared" si="27"/>
        <v>0</v>
      </c>
      <c r="M36" s="33">
        <f t="shared" si="27"/>
        <v>30</v>
      </c>
      <c r="N36" s="72">
        <f t="shared" si="27"/>
        <v>3.7</v>
      </c>
      <c r="O36" s="33">
        <f t="shared" si="27"/>
        <v>0</v>
      </c>
      <c r="P36" s="72">
        <f t="shared" si="27"/>
        <v>0</v>
      </c>
      <c r="Q36" s="36">
        <v>90</v>
      </c>
      <c r="R36" s="56">
        <v>6.6</v>
      </c>
      <c r="S36" s="36">
        <v>100</v>
      </c>
      <c r="T36" s="56">
        <v>2.9</v>
      </c>
      <c r="U36" s="36">
        <v>110</v>
      </c>
      <c r="V36" s="56">
        <v>2</v>
      </c>
      <c r="W36" s="143">
        <v>0.01</v>
      </c>
      <c r="X36" s="143">
        <v>0.03</v>
      </c>
      <c r="Y36" s="143">
        <v>0.04</v>
      </c>
      <c r="Z36" s="143">
        <v>0.05</v>
      </c>
    </row>
    <row r="37" spans="2:26" s="22" customFormat="1" ht="15.75" customHeight="1">
      <c r="B37" s="28"/>
      <c r="C37" s="58" t="str">
        <f>C$9</f>
        <v>３歳児</v>
      </c>
      <c r="D37" s="38">
        <f>D36</f>
        <v>7</v>
      </c>
      <c r="E37" s="42" t="str">
        <f>E$9</f>
        <v>B</v>
      </c>
      <c r="F37" s="40" t="str">
        <f t="shared" si="0"/>
        <v>7B</v>
      </c>
      <c r="G37" s="43">
        <v>790</v>
      </c>
      <c r="H37" s="44">
        <v>2.9</v>
      </c>
      <c r="I37" s="43">
        <v>680</v>
      </c>
      <c r="J37" s="44">
        <v>2.8</v>
      </c>
      <c r="K37" s="41">
        <f t="shared" ref="K37:P37" si="28">K$13</f>
        <v>80</v>
      </c>
      <c r="L37" s="60">
        <f t="shared" si="28"/>
        <v>2.8</v>
      </c>
      <c r="M37" s="41">
        <f t="shared" si="28"/>
        <v>0</v>
      </c>
      <c r="N37" s="60">
        <f t="shared" si="28"/>
        <v>0</v>
      </c>
      <c r="O37" s="41">
        <f t="shared" si="28"/>
        <v>0</v>
      </c>
      <c r="P37" s="60">
        <f t="shared" si="28"/>
        <v>0</v>
      </c>
      <c r="Q37" s="41">
        <f>Q36</f>
        <v>90</v>
      </c>
      <c r="R37" s="60">
        <f>R36</f>
        <v>6.6</v>
      </c>
      <c r="S37" s="41">
        <f t="shared" ref="S37:Z39" si="29">S$36</f>
        <v>100</v>
      </c>
      <c r="T37" s="60">
        <f t="shared" si="29"/>
        <v>2.9</v>
      </c>
      <c r="U37" s="41">
        <f t="shared" si="29"/>
        <v>110</v>
      </c>
      <c r="V37" s="60">
        <f t="shared" si="29"/>
        <v>2</v>
      </c>
      <c r="W37" s="142">
        <f t="shared" si="29"/>
        <v>0.01</v>
      </c>
      <c r="X37" s="142">
        <f t="shared" si="29"/>
        <v>0.03</v>
      </c>
      <c r="Y37" s="142">
        <f t="shared" si="29"/>
        <v>0.04</v>
      </c>
      <c r="Z37" s="142">
        <f t="shared" si="29"/>
        <v>0.05</v>
      </c>
    </row>
    <row r="38" spans="2:26" s="22" customFormat="1" ht="15.75" customHeight="1">
      <c r="B38" s="28"/>
      <c r="C38" s="58" t="str">
        <f>C$10</f>
        <v>１、２歳児</v>
      </c>
      <c r="D38" s="38">
        <f>D36</f>
        <v>7</v>
      </c>
      <c r="E38" s="42" t="str">
        <f>E$10</f>
        <v>C</v>
      </c>
      <c r="F38" s="40" t="str">
        <f t="shared" si="0"/>
        <v>7C</v>
      </c>
      <c r="G38" s="43">
        <v>1370</v>
      </c>
      <c r="H38" s="44">
        <v>2.9</v>
      </c>
      <c r="I38" s="43">
        <v>1260</v>
      </c>
      <c r="J38" s="44">
        <v>2.8</v>
      </c>
      <c r="K38" s="41">
        <f t="shared" ref="K38:P38" si="30">K$14</f>
        <v>0</v>
      </c>
      <c r="L38" s="60">
        <f t="shared" si="30"/>
        <v>0</v>
      </c>
      <c r="M38" s="41">
        <f t="shared" si="30"/>
        <v>0</v>
      </c>
      <c r="N38" s="60">
        <f t="shared" si="30"/>
        <v>0</v>
      </c>
      <c r="O38" s="41">
        <f t="shared" si="30"/>
        <v>160</v>
      </c>
      <c r="P38" s="60">
        <f t="shared" si="30"/>
        <v>2.8</v>
      </c>
      <c r="Q38" s="41">
        <f>Q36</f>
        <v>90</v>
      </c>
      <c r="R38" s="60">
        <f>R36</f>
        <v>6.6</v>
      </c>
      <c r="S38" s="41">
        <f t="shared" si="29"/>
        <v>100</v>
      </c>
      <c r="T38" s="60">
        <f t="shared" si="29"/>
        <v>2.9</v>
      </c>
      <c r="U38" s="41">
        <f t="shared" si="29"/>
        <v>110</v>
      </c>
      <c r="V38" s="60">
        <f t="shared" si="29"/>
        <v>2</v>
      </c>
      <c r="W38" s="142">
        <f t="shared" si="29"/>
        <v>0.01</v>
      </c>
      <c r="X38" s="142">
        <f t="shared" si="29"/>
        <v>0.03</v>
      </c>
      <c r="Y38" s="142">
        <f t="shared" si="29"/>
        <v>0.04</v>
      </c>
      <c r="Z38" s="142">
        <f t="shared" si="29"/>
        <v>0.05</v>
      </c>
    </row>
    <row r="39" spans="2:26" s="22" customFormat="1" ht="15.75" customHeight="1">
      <c r="B39" s="73"/>
      <c r="C39" s="62" t="str">
        <f>C$11</f>
        <v>乳児</v>
      </c>
      <c r="D39" s="50">
        <f>D36</f>
        <v>7</v>
      </c>
      <c r="E39" s="54" t="str">
        <f>E$11</f>
        <v>D</v>
      </c>
      <c r="F39" s="52" t="str">
        <f t="shared" si="0"/>
        <v>7D</v>
      </c>
      <c r="G39" s="46">
        <v>2210</v>
      </c>
      <c r="H39" s="47">
        <v>2.9</v>
      </c>
      <c r="I39" s="46">
        <v>2100</v>
      </c>
      <c r="J39" s="47">
        <v>2.8</v>
      </c>
      <c r="K39" s="53">
        <f t="shared" ref="K39:P39" si="31">K$15</f>
        <v>0</v>
      </c>
      <c r="L39" s="64">
        <f t="shared" si="31"/>
        <v>0</v>
      </c>
      <c r="M39" s="53">
        <f t="shared" si="31"/>
        <v>0</v>
      </c>
      <c r="N39" s="64">
        <f t="shared" si="31"/>
        <v>0</v>
      </c>
      <c r="O39" s="53">
        <f t="shared" si="31"/>
        <v>0</v>
      </c>
      <c r="P39" s="64">
        <f t="shared" si="31"/>
        <v>0</v>
      </c>
      <c r="Q39" s="53">
        <f>Q36</f>
        <v>90</v>
      </c>
      <c r="R39" s="64">
        <f>R36</f>
        <v>6.6</v>
      </c>
      <c r="S39" s="53">
        <f t="shared" si="29"/>
        <v>100</v>
      </c>
      <c r="T39" s="64">
        <f t="shared" si="29"/>
        <v>2.9</v>
      </c>
      <c r="U39" s="53">
        <f t="shared" si="29"/>
        <v>110</v>
      </c>
      <c r="V39" s="64">
        <f t="shared" si="29"/>
        <v>2</v>
      </c>
      <c r="W39" s="142">
        <f t="shared" si="29"/>
        <v>0.01</v>
      </c>
      <c r="X39" s="142">
        <f t="shared" si="29"/>
        <v>0.03</v>
      </c>
      <c r="Y39" s="142">
        <f t="shared" si="29"/>
        <v>0.04</v>
      </c>
      <c r="Z39" s="142">
        <f t="shared" si="29"/>
        <v>0.05</v>
      </c>
    </row>
    <row r="40" spans="2:26" s="22" customFormat="1" ht="15.75" customHeight="1">
      <c r="B40" s="68" t="s">
        <v>67</v>
      </c>
      <c r="C40" s="55" t="str">
        <f>C$8</f>
        <v>４歳以上児</v>
      </c>
      <c r="D40" s="30">
        <v>8</v>
      </c>
      <c r="E40" s="34" t="str">
        <f>E$8</f>
        <v>A</v>
      </c>
      <c r="F40" s="69" t="str">
        <f t="shared" ref="F40:F71" si="32">D40&amp;E40</f>
        <v>8A</v>
      </c>
      <c r="G40" s="70">
        <v>660</v>
      </c>
      <c r="H40" s="71">
        <v>2.9</v>
      </c>
      <c r="I40" s="70">
        <v>560</v>
      </c>
      <c r="J40" s="71">
        <v>2.8</v>
      </c>
      <c r="K40" s="33">
        <f t="shared" ref="K40:P40" si="33">K$12</f>
        <v>0</v>
      </c>
      <c r="L40" s="72">
        <f t="shared" si="33"/>
        <v>0</v>
      </c>
      <c r="M40" s="33">
        <f t="shared" si="33"/>
        <v>30</v>
      </c>
      <c r="N40" s="72">
        <f t="shared" si="33"/>
        <v>3.7</v>
      </c>
      <c r="O40" s="33">
        <f t="shared" si="33"/>
        <v>0</v>
      </c>
      <c r="P40" s="72">
        <f t="shared" si="33"/>
        <v>0</v>
      </c>
      <c r="Q40" s="36">
        <v>80</v>
      </c>
      <c r="R40" s="56">
        <v>6.8</v>
      </c>
      <c r="S40" s="36">
        <v>90</v>
      </c>
      <c r="T40" s="56">
        <v>2.9</v>
      </c>
      <c r="U40" s="36">
        <v>100</v>
      </c>
      <c r="V40" s="56">
        <v>2</v>
      </c>
      <c r="W40" s="143">
        <v>0.01</v>
      </c>
      <c r="X40" s="143">
        <v>0.03</v>
      </c>
      <c r="Y40" s="143">
        <v>0.04</v>
      </c>
      <c r="Z40" s="143">
        <v>0.06</v>
      </c>
    </row>
    <row r="41" spans="2:26" s="22" customFormat="1" ht="15.75" customHeight="1">
      <c r="B41" s="28"/>
      <c r="C41" s="58" t="str">
        <f>C$9</f>
        <v>３歳児</v>
      </c>
      <c r="D41" s="38">
        <f>D40</f>
        <v>8</v>
      </c>
      <c r="E41" s="42" t="str">
        <f>E$9</f>
        <v>B</v>
      </c>
      <c r="F41" s="40" t="str">
        <f t="shared" si="32"/>
        <v>8B</v>
      </c>
      <c r="G41" s="43">
        <v>740</v>
      </c>
      <c r="H41" s="44">
        <v>2.9</v>
      </c>
      <c r="I41" s="43">
        <v>640</v>
      </c>
      <c r="J41" s="44">
        <v>2.8</v>
      </c>
      <c r="K41" s="41">
        <f t="shared" ref="K41:P41" si="34">K$13</f>
        <v>80</v>
      </c>
      <c r="L41" s="60">
        <f t="shared" si="34"/>
        <v>2.8</v>
      </c>
      <c r="M41" s="41">
        <f t="shared" si="34"/>
        <v>0</v>
      </c>
      <c r="N41" s="60">
        <f t="shared" si="34"/>
        <v>0</v>
      </c>
      <c r="O41" s="41">
        <f t="shared" si="34"/>
        <v>0</v>
      </c>
      <c r="P41" s="60">
        <f t="shared" si="34"/>
        <v>0</v>
      </c>
      <c r="Q41" s="41">
        <f>Q40</f>
        <v>80</v>
      </c>
      <c r="R41" s="60">
        <f>R40</f>
        <v>6.8</v>
      </c>
      <c r="S41" s="41">
        <f t="shared" ref="S41:Z43" si="35">S$40</f>
        <v>90</v>
      </c>
      <c r="T41" s="60">
        <f t="shared" si="35"/>
        <v>2.9</v>
      </c>
      <c r="U41" s="41">
        <f t="shared" si="35"/>
        <v>100</v>
      </c>
      <c r="V41" s="60">
        <f t="shared" si="35"/>
        <v>2</v>
      </c>
      <c r="W41" s="142">
        <f t="shared" si="35"/>
        <v>0.01</v>
      </c>
      <c r="X41" s="142">
        <f t="shared" si="35"/>
        <v>0.03</v>
      </c>
      <c r="Y41" s="142">
        <f t="shared" si="35"/>
        <v>0.04</v>
      </c>
      <c r="Z41" s="142">
        <f t="shared" si="35"/>
        <v>0.06</v>
      </c>
    </row>
    <row r="42" spans="2:26" s="22" customFormat="1" ht="15.75" customHeight="1">
      <c r="B42" s="28"/>
      <c r="C42" s="58" t="str">
        <f>C$10</f>
        <v>１、２歳児</v>
      </c>
      <c r="D42" s="38">
        <f>D40</f>
        <v>8</v>
      </c>
      <c r="E42" s="42" t="str">
        <f>E$10</f>
        <v>C</v>
      </c>
      <c r="F42" s="40" t="str">
        <f t="shared" si="32"/>
        <v>8C</v>
      </c>
      <c r="G42" s="43">
        <v>1320</v>
      </c>
      <c r="H42" s="44">
        <v>2.9</v>
      </c>
      <c r="I42" s="43">
        <v>1220</v>
      </c>
      <c r="J42" s="44">
        <v>2.8</v>
      </c>
      <c r="K42" s="41">
        <f t="shared" ref="K42:P42" si="36">K$14</f>
        <v>0</v>
      </c>
      <c r="L42" s="60">
        <f t="shared" si="36"/>
        <v>0</v>
      </c>
      <c r="M42" s="41">
        <f t="shared" si="36"/>
        <v>0</v>
      </c>
      <c r="N42" s="60">
        <f t="shared" si="36"/>
        <v>0</v>
      </c>
      <c r="O42" s="41">
        <f t="shared" si="36"/>
        <v>160</v>
      </c>
      <c r="P42" s="60">
        <f t="shared" si="36"/>
        <v>2.8</v>
      </c>
      <c r="Q42" s="41">
        <f>Q40</f>
        <v>80</v>
      </c>
      <c r="R42" s="60">
        <f>R40</f>
        <v>6.8</v>
      </c>
      <c r="S42" s="41">
        <f t="shared" si="35"/>
        <v>90</v>
      </c>
      <c r="T42" s="60">
        <f t="shared" si="35"/>
        <v>2.9</v>
      </c>
      <c r="U42" s="41">
        <f t="shared" si="35"/>
        <v>100</v>
      </c>
      <c r="V42" s="60">
        <f t="shared" si="35"/>
        <v>2</v>
      </c>
      <c r="W42" s="142">
        <f t="shared" si="35"/>
        <v>0.01</v>
      </c>
      <c r="X42" s="142">
        <f t="shared" si="35"/>
        <v>0.03</v>
      </c>
      <c r="Y42" s="142">
        <f t="shared" si="35"/>
        <v>0.04</v>
      </c>
      <c r="Z42" s="142">
        <f t="shared" si="35"/>
        <v>0.06</v>
      </c>
    </row>
    <row r="43" spans="2:26" s="22" customFormat="1" ht="15.75" customHeight="1">
      <c r="B43" s="73"/>
      <c r="C43" s="62" t="str">
        <f>C$11</f>
        <v>乳児</v>
      </c>
      <c r="D43" s="50">
        <f>D40</f>
        <v>8</v>
      </c>
      <c r="E43" s="54" t="str">
        <f>E$11</f>
        <v>D</v>
      </c>
      <c r="F43" s="52" t="str">
        <f t="shared" si="32"/>
        <v>8D</v>
      </c>
      <c r="G43" s="46">
        <v>2160</v>
      </c>
      <c r="H43" s="47">
        <v>2.9</v>
      </c>
      <c r="I43" s="46">
        <v>2060</v>
      </c>
      <c r="J43" s="47">
        <v>2.8</v>
      </c>
      <c r="K43" s="53">
        <f t="shared" ref="K43:P43" si="37">K$15</f>
        <v>0</v>
      </c>
      <c r="L43" s="64">
        <f t="shared" si="37"/>
        <v>0</v>
      </c>
      <c r="M43" s="53">
        <f t="shared" si="37"/>
        <v>0</v>
      </c>
      <c r="N43" s="64">
        <f t="shared" si="37"/>
        <v>0</v>
      </c>
      <c r="O43" s="53">
        <f t="shared" si="37"/>
        <v>0</v>
      </c>
      <c r="P43" s="64">
        <f t="shared" si="37"/>
        <v>0</v>
      </c>
      <c r="Q43" s="53">
        <f>Q40</f>
        <v>80</v>
      </c>
      <c r="R43" s="64">
        <f>R40</f>
        <v>6.8</v>
      </c>
      <c r="S43" s="53">
        <f t="shared" si="35"/>
        <v>90</v>
      </c>
      <c r="T43" s="64">
        <f t="shared" si="35"/>
        <v>2.9</v>
      </c>
      <c r="U43" s="53">
        <f t="shared" si="35"/>
        <v>100</v>
      </c>
      <c r="V43" s="64">
        <f t="shared" si="35"/>
        <v>2</v>
      </c>
      <c r="W43" s="142">
        <f t="shared" si="35"/>
        <v>0.01</v>
      </c>
      <c r="X43" s="142">
        <f t="shared" si="35"/>
        <v>0.03</v>
      </c>
      <c r="Y43" s="142">
        <f t="shared" si="35"/>
        <v>0.04</v>
      </c>
      <c r="Z43" s="142">
        <f t="shared" si="35"/>
        <v>0.06</v>
      </c>
    </row>
    <row r="44" spans="2:26" s="22" customFormat="1" ht="15.75" customHeight="1">
      <c r="B44" s="68" t="s">
        <v>68</v>
      </c>
      <c r="C44" s="55" t="str">
        <f>C$8</f>
        <v>４歳以上児</v>
      </c>
      <c r="D44" s="30">
        <v>9</v>
      </c>
      <c r="E44" s="34" t="str">
        <f>E$8</f>
        <v>A</v>
      </c>
      <c r="F44" s="69" t="str">
        <f t="shared" si="32"/>
        <v>9A</v>
      </c>
      <c r="G44" s="70">
        <v>620</v>
      </c>
      <c r="H44" s="71">
        <v>2.9</v>
      </c>
      <c r="I44" s="70">
        <v>520</v>
      </c>
      <c r="J44" s="71">
        <v>2.8</v>
      </c>
      <c r="K44" s="33">
        <f t="shared" ref="K44:P44" si="38">K$12</f>
        <v>0</v>
      </c>
      <c r="L44" s="72">
        <f t="shared" si="38"/>
        <v>0</v>
      </c>
      <c r="M44" s="33">
        <f t="shared" si="38"/>
        <v>30</v>
      </c>
      <c r="N44" s="72">
        <f t="shared" si="38"/>
        <v>3.7</v>
      </c>
      <c r="O44" s="33">
        <f t="shared" si="38"/>
        <v>0</v>
      </c>
      <c r="P44" s="72">
        <f t="shared" si="38"/>
        <v>0</v>
      </c>
      <c r="Q44" s="36">
        <v>70</v>
      </c>
      <c r="R44" s="56">
        <v>7.1</v>
      </c>
      <c r="S44" s="36">
        <v>80</v>
      </c>
      <c r="T44" s="56">
        <v>3</v>
      </c>
      <c r="U44" s="36">
        <v>90</v>
      </c>
      <c r="V44" s="56">
        <v>2</v>
      </c>
      <c r="W44" s="143">
        <v>0.01</v>
      </c>
      <c r="X44" s="143">
        <v>0.03</v>
      </c>
      <c r="Y44" s="143">
        <v>0.04</v>
      </c>
      <c r="Z44" s="143">
        <v>0.06</v>
      </c>
    </row>
    <row r="45" spans="2:26" s="22" customFormat="1" ht="15.75" customHeight="1">
      <c r="B45" s="28"/>
      <c r="C45" s="58" t="str">
        <f>C$9</f>
        <v>３歳児</v>
      </c>
      <c r="D45" s="38">
        <f>D44</f>
        <v>9</v>
      </c>
      <c r="E45" s="42" t="str">
        <f>E$9</f>
        <v>B</v>
      </c>
      <c r="F45" s="40" t="str">
        <f t="shared" si="32"/>
        <v>9B</v>
      </c>
      <c r="G45" s="43">
        <v>700</v>
      </c>
      <c r="H45" s="44">
        <v>2.9</v>
      </c>
      <c r="I45" s="43">
        <v>600</v>
      </c>
      <c r="J45" s="44">
        <v>2.8</v>
      </c>
      <c r="K45" s="41">
        <f t="shared" ref="K45:P45" si="39">K$13</f>
        <v>80</v>
      </c>
      <c r="L45" s="60">
        <f t="shared" si="39"/>
        <v>2.8</v>
      </c>
      <c r="M45" s="41">
        <f t="shared" si="39"/>
        <v>0</v>
      </c>
      <c r="N45" s="60">
        <f t="shared" si="39"/>
        <v>0</v>
      </c>
      <c r="O45" s="41">
        <f t="shared" si="39"/>
        <v>0</v>
      </c>
      <c r="P45" s="60">
        <f t="shared" si="39"/>
        <v>0</v>
      </c>
      <c r="Q45" s="41">
        <f>Q44</f>
        <v>70</v>
      </c>
      <c r="R45" s="60">
        <f>R44</f>
        <v>7.1</v>
      </c>
      <c r="S45" s="41">
        <f t="shared" ref="S45:Z47" si="40">S$44</f>
        <v>80</v>
      </c>
      <c r="T45" s="60">
        <f t="shared" si="40"/>
        <v>3</v>
      </c>
      <c r="U45" s="41">
        <f t="shared" si="40"/>
        <v>90</v>
      </c>
      <c r="V45" s="60">
        <f t="shared" si="40"/>
        <v>2</v>
      </c>
      <c r="W45" s="142">
        <f t="shared" si="40"/>
        <v>0.01</v>
      </c>
      <c r="X45" s="142">
        <f t="shared" si="40"/>
        <v>0.03</v>
      </c>
      <c r="Y45" s="142">
        <f t="shared" si="40"/>
        <v>0.04</v>
      </c>
      <c r="Z45" s="142">
        <f t="shared" si="40"/>
        <v>0.06</v>
      </c>
    </row>
    <row r="46" spans="2:26" s="22" customFormat="1" ht="15.75" customHeight="1">
      <c r="B46" s="28"/>
      <c r="C46" s="58" t="str">
        <f>C$10</f>
        <v>１、２歳児</v>
      </c>
      <c r="D46" s="38">
        <f>D44</f>
        <v>9</v>
      </c>
      <c r="E46" s="42" t="str">
        <f>E$10</f>
        <v>C</v>
      </c>
      <c r="F46" s="40" t="str">
        <f t="shared" si="32"/>
        <v>9C</v>
      </c>
      <c r="G46" s="43">
        <v>1280</v>
      </c>
      <c r="H46" s="44">
        <v>2.9</v>
      </c>
      <c r="I46" s="43">
        <v>1190</v>
      </c>
      <c r="J46" s="44">
        <v>2.8</v>
      </c>
      <c r="K46" s="41">
        <f t="shared" ref="K46:P46" si="41">K$14</f>
        <v>0</v>
      </c>
      <c r="L46" s="60">
        <f t="shared" si="41"/>
        <v>0</v>
      </c>
      <c r="M46" s="41">
        <f t="shared" si="41"/>
        <v>0</v>
      </c>
      <c r="N46" s="60">
        <f t="shared" si="41"/>
        <v>0</v>
      </c>
      <c r="O46" s="41">
        <f t="shared" si="41"/>
        <v>160</v>
      </c>
      <c r="P46" s="60">
        <f t="shared" si="41"/>
        <v>2.8</v>
      </c>
      <c r="Q46" s="41">
        <f>Q44</f>
        <v>70</v>
      </c>
      <c r="R46" s="60">
        <f>R44</f>
        <v>7.1</v>
      </c>
      <c r="S46" s="41">
        <f t="shared" si="40"/>
        <v>80</v>
      </c>
      <c r="T46" s="60">
        <f t="shared" si="40"/>
        <v>3</v>
      </c>
      <c r="U46" s="41">
        <f t="shared" si="40"/>
        <v>90</v>
      </c>
      <c r="V46" s="60">
        <f t="shared" si="40"/>
        <v>2</v>
      </c>
      <c r="W46" s="142">
        <f t="shared" si="40"/>
        <v>0.01</v>
      </c>
      <c r="X46" s="142">
        <f t="shared" si="40"/>
        <v>0.03</v>
      </c>
      <c r="Y46" s="142">
        <f t="shared" si="40"/>
        <v>0.04</v>
      </c>
      <c r="Z46" s="142">
        <f t="shared" si="40"/>
        <v>0.06</v>
      </c>
    </row>
    <row r="47" spans="2:26" s="22" customFormat="1" ht="15.75" customHeight="1">
      <c r="B47" s="73"/>
      <c r="C47" s="62" t="str">
        <f>C$11</f>
        <v>乳児</v>
      </c>
      <c r="D47" s="50">
        <f>D44</f>
        <v>9</v>
      </c>
      <c r="E47" s="54" t="str">
        <f>E$11</f>
        <v>D</v>
      </c>
      <c r="F47" s="52" t="str">
        <f t="shared" si="32"/>
        <v>9D</v>
      </c>
      <c r="G47" s="46">
        <v>2120</v>
      </c>
      <c r="H47" s="47">
        <v>2.9</v>
      </c>
      <c r="I47" s="46">
        <v>2030</v>
      </c>
      <c r="J47" s="47">
        <v>2.8</v>
      </c>
      <c r="K47" s="53">
        <f t="shared" ref="K47:P47" si="42">K$15</f>
        <v>0</v>
      </c>
      <c r="L47" s="64">
        <f t="shared" si="42"/>
        <v>0</v>
      </c>
      <c r="M47" s="53">
        <f t="shared" si="42"/>
        <v>0</v>
      </c>
      <c r="N47" s="64">
        <f t="shared" si="42"/>
        <v>0</v>
      </c>
      <c r="O47" s="53">
        <f t="shared" si="42"/>
        <v>0</v>
      </c>
      <c r="P47" s="64">
        <f t="shared" si="42"/>
        <v>0</v>
      </c>
      <c r="Q47" s="53">
        <f>Q44</f>
        <v>70</v>
      </c>
      <c r="R47" s="64">
        <f>R44</f>
        <v>7.1</v>
      </c>
      <c r="S47" s="53">
        <f t="shared" si="40"/>
        <v>80</v>
      </c>
      <c r="T47" s="64">
        <f t="shared" si="40"/>
        <v>3</v>
      </c>
      <c r="U47" s="53">
        <f t="shared" si="40"/>
        <v>90</v>
      </c>
      <c r="V47" s="64">
        <f t="shared" si="40"/>
        <v>2</v>
      </c>
      <c r="W47" s="142">
        <f t="shared" si="40"/>
        <v>0.01</v>
      </c>
      <c r="X47" s="142">
        <f t="shared" si="40"/>
        <v>0.03</v>
      </c>
      <c r="Y47" s="142">
        <f t="shared" si="40"/>
        <v>0.04</v>
      </c>
      <c r="Z47" s="142">
        <f t="shared" si="40"/>
        <v>0.06</v>
      </c>
    </row>
    <row r="48" spans="2:26" s="22" customFormat="1" ht="15.75" customHeight="1">
      <c r="B48" s="68" t="s">
        <v>69</v>
      </c>
      <c r="C48" s="55" t="str">
        <f>C$8</f>
        <v>４歳以上児</v>
      </c>
      <c r="D48" s="30">
        <v>10</v>
      </c>
      <c r="E48" s="34" t="str">
        <f>E$8</f>
        <v>A</v>
      </c>
      <c r="F48" s="69" t="str">
        <f t="shared" si="32"/>
        <v>10A</v>
      </c>
      <c r="G48" s="70">
        <v>550</v>
      </c>
      <c r="H48" s="71">
        <v>2.9</v>
      </c>
      <c r="I48" s="70">
        <v>470</v>
      </c>
      <c r="J48" s="71">
        <v>2.8</v>
      </c>
      <c r="K48" s="33">
        <f t="shared" ref="K48:P48" si="43">K$12</f>
        <v>0</v>
      </c>
      <c r="L48" s="72">
        <f t="shared" si="43"/>
        <v>0</v>
      </c>
      <c r="M48" s="33">
        <f t="shared" si="43"/>
        <v>30</v>
      </c>
      <c r="N48" s="72">
        <f t="shared" si="43"/>
        <v>3.7</v>
      </c>
      <c r="O48" s="33">
        <f t="shared" si="43"/>
        <v>0</v>
      </c>
      <c r="P48" s="72">
        <f t="shared" si="43"/>
        <v>0</v>
      </c>
      <c r="Q48" s="36">
        <v>60</v>
      </c>
      <c r="R48" s="56">
        <v>7.1</v>
      </c>
      <c r="S48" s="36">
        <v>70</v>
      </c>
      <c r="T48" s="56">
        <v>2.9</v>
      </c>
      <c r="U48" s="36">
        <v>70</v>
      </c>
      <c r="V48" s="56">
        <v>2.2999999999999998</v>
      </c>
      <c r="W48" s="143">
        <v>0.01</v>
      </c>
      <c r="X48" s="143">
        <v>0.03</v>
      </c>
      <c r="Y48" s="143">
        <v>0.04</v>
      </c>
      <c r="Z48" s="143">
        <v>0.06</v>
      </c>
    </row>
    <row r="49" spans="2:26" s="22" customFormat="1" ht="15.75" customHeight="1">
      <c r="B49" s="28"/>
      <c r="C49" s="58" t="str">
        <f>C$9</f>
        <v>３歳児</v>
      </c>
      <c r="D49" s="38">
        <f>D48</f>
        <v>10</v>
      </c>
      <c r="E49" s="42" t="str">
        <f>E$9</f>
        <v>B</v>
      </c>
      <c r="F49" s="40" t="str">
        <f t="shared" si="32"/>
        <v>10B</v>
      </c>
      <c r="G49" s="43">
        <v>630</v>
      </c>
      <c r="H49" s="44">
        <v>2.9</v>
      </c>
      <c r="I49" s="43">
        <v>550</v>
      </c>
      <c r="J49" s="44">
        <v>2.8</v>
      </c>
      <c r="K49" s="41">
        <f t="shared" ref="K49:P49" si="44">K$13</f>
        <v>80</v>
      </c>
      <c r="L49" s="60">
        <f t="shared" si="44"/>
        <v>2.8</v>
      </c>
      <c r="M49" s="41">
        <f t="shared" si="44"/>
        <v>0</v>
      </c>
      <c r="N49" s="60">
        <f t="shared" si="44"/>
        <v>0</v>
      </c>
      <c r="O49" s="41">
        <f t="shared" si="44"/>
        <v>0</v>
      </c>
      <c r="P49" s="60">
        <f t="shared" si="44"/>
        <v>0</v>
      </c>
      <c r="Q49" s="41">
        <f>Q48</f>
        <v>60</v>
      </c>
      <c r="R49" s="60">
        <f>R48</f>
        <v>7.1</v>
      </c>
      <c r="S49" s="41">
        <f t="shared" ref="S49:Z51" si="45">S$48</f>
        <v>70</v>
      </c>
      <c r="T49" s="60">
        <f t="shared" si="45"/>
        <v>2.9</v>
      </c>
      <c r="U49" s="41">
        <f t="shared" si="45"/>
        <v>70</v>
      </c>
      <c r="V49" s="60">
        <f t="shared" si="45"/>
        <v>2.2999999999999998</v>
      </c>
      <c r="W49" s="142">
        <f t="shared" si="45"/>
        <v>0.01</v>
      </c>
      <c r="X49" s="142">
        <f t="shared" si="45"/>
        <v>0.03</v>
      </c>
      <c r="Y49" s="142">
        <f t="shared" si="45"/>
        <v>0.04</v>
      </c>
      <c r="Z49" s="142">
        <f t="shared" si="45"/>
        <v>0.06</v>
      </c>
    </row>
    <row r="50" spans="2:26" s="22" customFormat="1" ht="15.75" customHeight="1">
      <c r="B50" s="28"/>
      <c r="C50" s="58" t="str">
        <f>C$10</f>
        <v>１、２歳児</v>
      </c>
      <c r="D50" s="38">
        <f>D48</f>
        <v>10</v>
      </c>
      <c r="E50" s="42" t="str">
        <f>E$10</f>
        <v>C</v>
      </c>
      <c r="F50" s="40" t="str">
        <f t="shared" si="32"/>
        <v>10C</v>
      </c>
      <c r="G50" s="43">
        <v>1220</v>
      </c>
      <c r="H50" s="44">
        <v>2.8</v>
      </c>
      <c r="I50" s="43">
        <v>1140</v>
      </c>
      <c r="J50" s="44">
        <v>2.8</v>
      </c>
      <c r="K50" s="41">
        <f t="shared" ref="K50:P50" si="46">K$14</f>
        <v>0</v>
      </c>
      <c r="L50" s="60">
        <f t="shared" si="46"/>
        <v>0</v>
      </c>
      <c r="M50" s="41">
        <f t="shared" si="46"/>
        <v>0</v>
      </c>
      <c r="N50" s="60">
        <f t="shared" si="46"/>
        <v>0</v>
      </c>
      <c r="O50" s="41">
        <f t="shared" si="46"/>
        <v>160</v>
      </c>
      <c r="P50" s="60">
        <f t="shared" si="46"/>
        <v>2.8</v>
      </c>
      <c r="Q50" s="41">
        <f>Q48</f>
        <v>60</v>
      </c>
      <c r="R50" s="60">
        <f>R48</f>
        <v>7.1</v>
      </c>
      <c r="S50" s="41">
        <f t="shared" si="45"/>
        <v>70</v>
      </c>
      <c r="T50" s="60">
        <f t="shared" si="45"/>
        <v>2.9</v>
      </c>
      <c r="U50" s="41">
        <f t="shared" si="45"/>
        <v>70</v>
      </c>
      <c r="V50" s="60">
        <f t="shared" si="45"/>
        <v>2.2999999999999998</v>
      </c>
      <c r="W50" s="142">
        <f t="shared" si="45"/>
        <v>0.01</v>
      </c>
      <c r="X50" s="142">
        <f t="shared" si="45"/>
        <v>0.03</v>
      </c>
      <c r="Y50" s="142">
        <f t="shared" si="45"/>
        <v>0.04</v>
      </c>
      <c r="Z50" s="142">
        <f t="shared" si="45"/>
        <v>0.06</v>
      </c>
    </row>
    <row r="51" spans="2:26" s="22" customFormat="1" ht="15.75" customHeight="1">
      <c r="B51" s="73"/>
      <c r="C51" s="62" t="str">
        <f>C$11</f>
        <v>乳児</v>
      </c>
      <c r="D51" s="50">
        <f>D48</f>
        <v>10</v>
      </c>
      <c r="E51" s="54" t="str">
        <f>E$11</f>
        <v>D</v>
      </c>
      <c r="F51" s="52" t="str">
        <f t="shared" si="32"/>
        <v>10D</v>
      </c>
      <c r="G51" s="46">
        <v>2060</v>
      </c>
      <c r="H51" s="47">
        <v>2.9</v>
      </c>
      <c r="I51" s="46">
        <v>1980</v>
      </c>
      <c r="J51" s="47">
        <v>2.8</v>
      </c>
      <c r="K51" s="53">
        <f t="shared" ref="K51:P51" si="47">K$15</f>
        <v>0</v>
      </c>
      <c r="L51" s="64">
        <f t="shared" si="47"/>
        <v>0</v>
      </c>
      <c r="M51" s="53">
        <f t="shared" si="47"/>
        <v>0</v>
      </c>
      <c r="N51" s="64">
        <f t="shared" si="47"/>
        <v>0</v>
      </c>
      <c r="O51" s="53">
        <f t="shared" si="47"/>
        <v>0</v>
      </c>
      <c r="P51" s="64">
        <f t="shared" si="47"/>
        <v>0</v>
      </c>
      <c r="Q51" s="53">
        <f>Q48</f>
        <v>60</v>
      </c>
      <c r="R51" s="64">
        <f>R48</f>
        <v>7.1</v>
      </c>
      <c r="S51" s="53">
        <f t="shared" si="45"/>
        <v>70</v>
      </c>
      <c r="T51" s="64">
        <f t="shared" si="45"/>
        <v>2.9</v>
      </c>
      <c r="U51" s="53">
        <f t="shared" si="45"/>
        <v>70</v>
      </c>
      <c r="V51" s="64">
        <f t="shared" si="45"/>
        <v>2.2999999999999998</v>
      </c>
      <c r="W51" s="142">
        <f t="shared" si="45"/>
        <v>0.01</v>
      </c>
      <c r="X51" s="142">
        <f t="shared" si="45"/>
        <v>0.03</v>
      </c>
      <c r="Y51" s="142">
        <f t="shared" si="45"/>
        <v>0.04</v>
      </c>
      <c r="Z51" s="142">
        <f t="shared" si="45"/>
        <v>0.06</v>
      </c>
    </row>
    <row r="52" spans="2:26" s="22" customFormat="1" ht="15.75" customHeight="1">
      <c r="B52" s="68" t="s">
        <v>70</v>
      </c>
      <c r="C52" s="55" t="str">
        <f>C$8</f>
        <v>４歳以上児</v>
      </c>
      <c r="D52" s="30">
        <v>11</v>
      </c>
      <c r="E52" s="34" t="str">
        <f>E$8</f>
        <v>A</v>
      </c>
      <c r="F52" s="69" t="str">
        <f t="shared" si="32"/>
        <v>11A</v>
      </c>
      <c r="G52" s="70">
        <v>510</v>
      </c>
      <c r="H52" s="71">
        <v>2.9</v>
      </c>
      <c r="I52" s="70">
        <v>440</v>
      </c>
      <c r="J52" s="71">
        <v>2.8</v>
      </c>
      <c r="K52" s="33">
        <f t="shared" ref="K52:P52" si="48">K$12</f>
        <v>0</v>
      </c>
      <c r="L52" s="72">
        <f t="shared" si="48"/>
        <v>0</v>
      </c>
      <c r="M52" s="33">
        <f t="shared" si="48"/>
        <v>30</v>
      </c>
      <c r="N52" s="72">
        <f t="shared" si="48"/>
        <v>3.7</v>
      </c>
      <c r="O52" s="33">
        <f t="shared" si="48"/>
        <v>0</v>
      </c>
      <c r="P52" s="72">
        <f t="shared" si="48"/>
        <v>0</v>
      </c>
      <c r="Q52" s="36">
        <v>50</v>
      </c>
      <c r="R52" s="56">
        <v>7.4</v>
      </c>
      <c r="S52" s="36">
        <v>60</v>
      </c>
      <c r="T52" s="56">
        <v>3</v>
      </c>
      <c r="U52" s="36">
        <v>60</v>
      </c>
      <c r="V52" s="56">
        <v>2.2999999999999998</v>
      </c>
      <c r="W52" s="143">
        <v>0.01</v>
      </c>
      <c r="X52" s="143">
        <v>0.03</v>
      </c>
      <c r="Y52" s="143">
        <v>0.04</v>
      </c>
      <c r="Z52" s="143">
        <v>0.06</v>
      </c>
    </row>
    <row r="53" spans="2:26" s="22" customFormat="1" ht="15.75" customHeight="1">
      <c r="B53" s="28"/>
      <c r="C53" s="58" t="str">
        <f>C$9</f>
        <v>３歳児</v>
      </c>
      <c r="D53" s="38">
        <f>D52</f>
        <v>11</v>
      </c>
      <c r="E53" s="42" t="str">
        <f>E$9</f>
        <v>B</v>
      </c>
      <c r="F53" s="40" t="str">
        <f t="shared" si="32"/>
        <v>11B</v>
      </c>
      <c r="G53" s="43">
        <v>590</v>
      </c>
      <c r="H53" s="44">
        <v>2.8</v>
      </c>
      <c r="I53" s="43">
        <v>520</v>
      </c>
      <c r="J53" s="44">
        <v>2.8</v>
      </c>
      <c r="K53" s="41">
        <f t="shared" ref="K53:P53" si="49">K$13</f>
        <v>80</v>
      </c>
      <c r="L53" s="60">
        <f t="shared" si="49"/>
        <v>2.8</v>
      </c>
      <c r="M53" s="41">
        <f t="shared" si="49"/>
        <v>0</v>
      </c>
      <c r="N53" s="60">
        <f t="shared" si="49"/>
        <v>0</v>
      </c>
      <c r="O53" s="41">
        <f t="shared" si="49"/>
        <v>0</v>
      </c>
      <c r="P53" s="60">
        <f t="shared" si="49"/>
        <v>0</v>
      </c>
      <c r="Q53" s="41">
        <f>Q52</f>
        <v>50</v>
      </c>
      <c r="R53" s="60">
        <f>R52</f>
        <v>7.4</v>
      </c>
      <c r="S53" s="41">
        <f t="shared" ref="S53:Z55" si="50">S$52</f>
        <v>60</v>
      </c>
      <c r="T53" s="60">
        <f t="shared" si="50"/>
        <v>3</v>
      </c>
      <c r="U53" s="41">
        <f t="shared" si="50"/>
        <v>60</v>
      </c>
      <c r="V53" s="60">
        <f t="shared" si="50"/>
        <v>2.2999999999999998</v>
      </c>
      <c r="W53" s="142">
        <f t="shared" si="50"/>
        <v>0.01</v>
      </c>
      <c r="X53" s="142">
        <f t="shared" si="50"/>
        <v>0.03</v>
      </c>
      <c r="Y53" s="142">
        <f t="shared" si="50"/>
        <v>0.04</v>
      </c>
      <c r="Z53" s="142">
        <f t="shared" si="50"/>
        <v>0.06</v>
      </c>
    </row>
    <row r="54" spans="2:26" s="22" customFormat="1" ht="15.75" customHeight="1">
      <c r="B54" s="28"/>
      <c r="C54" s="58" t="str">
        <f>C$10</f>
        <v>１、２歳児</v>
      </c>
      <c r="D54" s="38">
        <f>D52</f>
        <v>11</v>
      </c>
      <c r="E54" s="42" t="str">
        <f>E$10</f>
        <v>C</v>
      </c>
      <c r="F54" s="40" t="str">
        <f t="shared" si="32"/>
        <v>11C</v>
      </c>
      <c r="G54" s="43">
        <v>1170</v>
      </c>
      <c r="H54" s="44">
        <v>2.8</v>
      </c>
      <c r="I54" s="43">
        <v>1100</v>
      </c>
      <c r="J54" s="44">
        <v>2.8</v>
      </c>
      <c r="K54" s="41">
        <f t="shared" ref="K54:P54" si="51">K$14</f>
        <v>0</v>
      </c>
      <c r="L54" s="60">
        <f t="shared" si="51"/>
        <v>0</v>
      </c>
      <c r="M54" s="41">
        <f t="shared" si="51"/>
        <v>0</v>
      </c>
      <c r="N54" s="60">
        <f t="shared" si="51"/>
        <v>0</v>
      </c>
      <c r="O54" s="41">
        <f t="shared" si="51"/>
        <v>160</v>
      </c>
      <c r="P54" s="60">
        <f t="shared" si="51"/>
        <v>2.8</v>
      </c>
      <c r="Q54" s="41">
        <f>Q52</f>
        <v>50</v>
      </c>
      <c r="R54" s="60">
        <f>R52</f>
        <v>7.4</v>
      </c>
      <c r="S54" s="41">
        <f t="shared" si="50"/>
        <v>60</v>
      </c>
      <c r="T54" s="60">
        <f t="shared" si="50"/>
        <v>3</v>
      </c>
      <c r="U54" s="41">
        <f t="shared" si="50"/>
        <v>60</v>
      </c>
      <c r="V54" s="60">
        <f t="shared" si="50"/>
        <v>2.2999999999999998</v>
      </c>
      <c r="W54" s="142">
        <f t="shared" si="50"/>
        <v>0.01</v>
      </c>
      <c r="X54" s="142">
        <f t="shared" si="50"/>
        <v>0.03</v>
      </c>
      <c r="Y54" s="142">
        <f t="shared" si="50"/>
        <v>0.04</v>
      </c>
      <c r="Z54" s="142">
        <f t="shared" si="50"/>
        <v>0.06</v>
      </c>
    </row>
    <row r="55" spans="2:26" s="22" customFormat="1" ht="15.75" customHeight="1">
      <c r="B55" s="73"/>
      <c r="C55" s="62" t="str">
        <f>C$11</f>
        <v>乳児</v>
      </c>
      <c r="D55" s="50">
        <f>D52</f>
        <v>11</v>
      </c>
      <c r="E55" s="54" t="str">
        <f>E$11</f>
        <v>D</v>
      </c>
      <c r="F55" s="52" t="str">
        <f t="shared" si="32"/>
        <v>11D</v>
      </c>
      <c r="G55" s="46">
        <v>2010</v>
      </c>
      <c r="H55" s="47">
        <v>2.9</v>
      </c>
      <c r="I55" s="46">
        <v>1940</v>
      </c>
      <c r="J55" s="47">
        <v>2.8</v>
      </c>
      <c r="K55" s="53">
        <f t="shared" ref="K55:P55" si="52">K$15</f>
        <v>0</v>
      </c>
      <c r="L55" s="64">
        <f t="shared" si="52"/>
        <v>0</v>
      </c>
      <c r="M55" s="53">
        <f t="shared" si="52"/>
        <v>0</v>
      </c>
      <c r="N55" s="64">
        <f t="shared" si="52"/>
        <v>0</v>
      </c>
      <c r="O55" s="53">
        <f t="shared" si="52"/>
        <v>0</v>
      </c>
      <c r="P55" s="64">
        <f t="shared" si="52"/>
        <v>0</v>
      </c>
      <c r="Q55" s="53">
        <f>Q52</f>
        <v>50</v>
      </c>
      <c r="R55" s="64">
        <f>R52</f>
        <v>7.4</v>
      </c>
      <c r="S55" s="53">
        <f t="shared" si="50"/>
        <v>60</v>
      </c>
      <c r="T55" s="64">
        <f t="shared" si="50"/>
        <v>3</v>
      </c>
      <c r="U55" s="53">
        <f t="shared" si="50"/>
        <v>60</v>
      </c>
      <c r="V55" s="64">
        <f t="shared" si="50"/>
        <v>2.2999999999999998</v>
      </c>
      <c r="W55" s="142">
        <f t="shared" si="50"/>
        <v>0.01</v>
      </c>
      <c r="X55" s="142">
        <f t="shared" si="50"/>
        <v>0.03</v>
      </c>
      <c r="Y55" s="142">
        <f t="shared" si="50"/>
        <v>0.04</v>
      </c>
      <c r="Z55" s="142">
        <f t="shared" si="50"/>
        <v>0.06</v>
      </c>
    </row>
    <row r="56" spans="2:26" s="22" customFormat="1" ht="15.75" customHeight="1">
      <c r="B56" s="68" t="s">
        <v>71</v>
      </c>
      <c r="C56" s="55" t="str">
        <f>C$8</f>
        <v>４歳以上児</v>
      </c>
      <c r="D56" s="30">
        <v>12</v>
      </c>
      <c r="E56" s="34" t="str">
        <f>E$8</f>
        <v>A</v>
      </c>
      <c r="F56" s="69" t="str">
        <f t="shared" si="32"/>
        <v>12A</v>
      </c>
      <c r="G56" s="70">
        <v>470</v>
      </c>
      <c r="H56" s="71">
        <v>2.9</v>
      </c>
      <c r="I56" s="70">
        <v>410</v>
      </c>
      <c r="J56" s="71">
        <v>2.8</v>
      </c>
      <c r="K56" s="33">
        <f t="shared" ref="K56:P56" si="53">K$12</f>
        <v>0</v>
      </c>
      <c r="L56" s="72">
        <f t="shared" si="53"/>
        <v>0</v>
      </c>
      <c r="M56" s="33">
        <f t="shared" si="53"/>
        <v>30</v>
      </c>
      <c r="N56" s="72">
        <f t="shared" si="53"/>
        <v>3.7</v>
      </c>
      <c r="O56" s="33">
        <f t="shared" si="53"/>
        <v>0</v>
      </c>
      <c r="P56" s="72">
        <f t="shared" si="53"/>
        <v>0</v>
      </c>
      <c r="Q56" s="36">
        <v>50</v>
      </c>
      <c r="R56" s="56">
        <v>6.6</v>
      </c>
      <c r="S56" s="36">
        <v>50</v>
      </c>
      <c r="T56" s="56">
        <v>3.2</v>
      </c>
      <c r="U56" s="36">
        <v>60</v>
      </c>
      <c r="V56" s="56">
        <v>2</v>
      </c>
      <c r="W56" s="143">
        <v>0.01</v>
      </c>
      <c r="X56" s="143">
        <v>0.03</v>
      </c>
      <c r="Y56" s="143">
        <v>0.04</v>
      </c>
      <c r="Z56" s="143">
        <v>0.06</v>
      </c>
    </row>
    <row r="57" spans="2:26" s="22" customFormat="1" ht="15.75" customHeight="1">
      <c r="B57" s="28"/>
      <c r="C57" s="58" t="str">
        <f>C$9</f>
        <v>３歳児</v>
      </c>
      <c r="D57" s="38">
        <f>D56</f>
        <v>12</v>
      </c>
      <c r="E57" s="42" t="str">
        <f>E$9</f>
        <v>B</v>
      </c>
      <c r="F57" s="40" t="str">
        <f t="shared" si="32"/>
        <v>12B</v>
      </c>
      <c r="G57" s="43">
        <v>550</v>
      </c>
      <c r="H57" s="44">
        <v>2.9</v>
      </c>
      <c r="I57" s="43">
        <v>490</v>
      </c>
      <c r="J57" s="44">
        <v>2.8</v>
      </c>
      <c r="K57" s="41">
        <f t="shared" ref="K57:P57" si="54">K$13</f>
        <v>80</v>
      </c>
      <c r="L57" s="60">
        <f t="shared" si="54"/>
        <v>2.8</v>
      </c>
      <c r="M57" s="41">
        <f t="shared" si="54"/>
        <v>0</v>
      </c>
      <c r="N57" s="60">
        <f t="shared" si="54"/>
        <v>0</v>
      </c>
      <c r="O57" s="41">
        <f t="shared" si="54"/>
        <v>0</v>
      </c>
      <c r="P57" s="60">
        <f t="shared" si="54"/>
        <v>0</v>
      </c>
      <c r="Q57" s="41">
        <f>Q56</f>
        <v>50</v>
      </c>
      <c r="R57" s="60">
        <f>R56</f>
        <v>6.6</v>
      </c>
      <c r="S57" s="41">
        <f t="shared" ref="S57:Z59" si="55">S$56</f>
        <v>50</v>
      </c>
      <c r="T57" s="60">
        <f t="shared" si="55"/>
        <v>3.2</v>
      </c>
      <c r="U57" s="41">
        <f t="shared" si="55"/>
        <v>60</v>
      </c>
      <c r="V57" s="60">
        <f t="shared" si="55"/>
        <v>2</v>
      </c>
      <c r="W57" s="142">
        <f t="shared" si="55"/>
        <v>0.01</v>
      </c>
      <c r="X57" s="142">
        <f t="shared" si="55"/>
        <v>0.03</v>
      </c>
      <c r="Y57" s="142">
        <f t="shared" si="55"/>
        <v>0.04</v>
      </c>
      <c r="Z57" s="142">
        <f t="shared" si="55"/>
        <v>0.06</v>
      </c>
    </row>
    <row r="58" spans="2:26" s="22" customFormat="1" ht="15.75" customHeight="1">
      <c r="B58" s="28"/>
      <c r="C58" s="58" t="str">
        <f>C$10</f>
        <v>１、２歳児</v>
      </c>
      <c r="D58" s="38">
        <f>D56</f>
        <v>12</v>
      </c>
      <c r="E58" s="42" t="str">
        <f>E$10</f>
        <v>C</v>
      </c>
      <c r="F58" s="40" t="str">
        <f t="shared" si="32"/>
        <v>12C</v>
      </c>
      <c r="G58" s="43">
        <v>1130</v>
      </c>
      <c r="H58" s="44">
        <v>2.9</v>
      </c>
      <c r="I58" s="43">
        <v>1070</v>
      </c>
      <c r="J58" s="44">
        <v>2.8</v>
      </c>
      <c r="K58" s="41">
        <f t="shared" ref="K58:P58" si="56">K$14</f>
        <v>0</v>
      </c>
      <c r="L58" s="60">
        <f t="shared" si="56"/>
        <v>0</v>
      </c>
      <c r="M58" s="41">
        <f t="shared" si="56"/>
        <v>0</v>
      </c>
      <c r="N58" s="60">
        <f t="shared" si="56"/>
        <v>0</v>
      </c>
      <c r="O58" s="41">
        <f t="shared" si="56"/>
        <v>160</v>
      </c>
      <c r="P58" s="60">
        <f t="shared" si="56"/>
        <v>2.8</v>
      </c>
      <c r="Q58" s="41">
        <f>Q56</f>
        <v>50</v>
      </c>
      <c r="R58" s="60">
        <f>R56</f>
        <v>6.6</v>
      </c>
      <c r="S58" s="41">
        <f t="shared" si="55"/>
        <v>50</v>
      </c>
      <c r="T58" s="60">
        <f t="shared" si="55"/>
        <v>3.2</v>
      </c>
      <c r="U58" s="41">
        <f t="shared" si="55"/>
        <v>60</v>
      </c>
      <c r="V58" s="60">
        <f t="shared" si="55"/>
        <v>2</v>
      </c>
      <c r="W58" s="142">
        <f t="shared" si="55"/>
        <v>0.01</v>
      </c>
      <c r="X58" s="142">
        <f t="shared" si="55"/>
        <v>0.03</v>
      </c>
      <c r="Y58" s="142">
        <f t="shared" si="55"/>
        <v>0.04</v>
      </c>
      <c r="Z58" s="142">
        <f t="shared" si="55"/>
        <v>0.06</v>
      </c>
    </row>
    <row r="59" spans="2:26" s="22" customFormat="1" ht="15.75" customHeight="1">
      <c r="B59" s="73"/>
      <c r="C59" s="62" t="str">
        <f>C$11</f>
        <v>乳児</v>
      </c>
      <c r="D59" s="50">
        <f>D56</f>
        <v>12</v>
      </c>
      <c r="E59" s="54" t="str">
        <f>E$11</f>
        <v>D</v>
      </c>
      <c r="F59" s="52" t="str">
        <f t="shared" si="32"/>
        <v>12D</v>
      </c>
      <c r="G59" s="46">
        <v>1970</v>
      </c>
      <c r="H59" s="47">
        <v>2.9</v>
      </c>
      <c r="I59" s="46">
        <v>1910</v>
      </c>
      <c r="J59" s="47">
        <v>2.8</v>
      </c>
      <c r="K59" s="53">
        <f t="shared" ref="K59:P59" si="57">K$15</f>
        <v>0</v>
      </c>
      <c r="L59" s="64">
        <f t="shared" si="57"/>
        <v>0</v>
      </c>
      <c r="M59" s="53">
        <f t="shared" si="57"/>
        <v>0</v>
      </c>
      <c r="N59" s="64">
        <f t="shared" si="57"/>
        <v>0</v>
      </c>
      <c r="O59" s="53">
        <f t="shared" si="57"/>
        <v>0</v>
      </c>
      <c r="P59" s="64">
        <f t="shared" si="57"/>
        <v>0</v>
      </c>
      <c r="Q59" s="53">
        <f>Q56</f>
        <v>50</v>
      </c>
      <c r="R59" s="64">
        <f>R56</f>
        <v>6.6</v>
      </c>
      <c r="S59" s="53">
        <f t="shared" si="55"/>
        <v>50</v>
      </c>
      <c r="T59" s="64">
        <f t="shared" si="55"/>
        <v>3.2</v>
      </c>
      <c r="U59" s="53">
        <f t="shared" si="55"/>
        <v>60</v>
      </c>
      <c r="V59" s="64">
        <f t="shared" si="55"/>
        <v>2</v>
      </c>
      <c r="W59" s="142">
        <f t="shared" si="55"/>
        <v>0.01</v>
      </c>
      <c r="X59" s="142">
        <f t="shared" si="55"/>
        <v>0.03</v>
      </c>
      <c r="Y59" s="142">
        <f t="shared" si="55"/>
        <v>0.04</v>
      </c>
      <c r="Z59" s="142">
        <f t="shared" si="55"/>
        <v>0.06</v>
      </c>
    </row>
    <row r="60" spans="2:26" s="22" customFormat="1" ht="15.75" customHeight="1">
      <c r="B60" s="68" t="s">
        <v>72</v>
      </c>
      <c r="C60" s="55" t="str">
        <f>C$8</f>
        <v>４歳以上児</v>
      </c>
      <c r="D60" s="30">
        <v>13</v>
      </c>
      <c r="E60" s="34" t="str">
        <f>E$8</f>
        <v>A</v>
      </c>
      <c r="F60" s="69" t="str">
        <f t="shared" si="32"/>
        <v>13A</v>
      </c>
      <c r="G60" s="70">
        <v>400</v>
      </c>
      <c r="H60" s="71">
        <v>3.1</v>
      </c>
      <c r="I60" s="70">
        <v>340</v>
      </c>
      <c r="J60" s="71">
        <v>3.1</v>
      </c>
      <c r="K60" s="33">
        <f t="shared" ref="K60:P60" si="58">K$12</f>
        <v>0</v>
      </c>
      <c r="L60" s="72">
        <f t="shared" si="58"/>
        <v>0</v>
      </c>
      <c r="M60" s="33">
        <f t="shared" si="58"/>
        <v>30</v>
      </c>
      <c r="N60" s="72">
        <f t="shared" si="58"/>
        <v>3.7</v>
      </c>
      <c r="O60" s="33">
        <f t="shared" si="58"/>
        <v>0</v>
      </c>
      <c r="P60" s="72">
        <f t="shared" si="58"/>
        <v>0</v>
      </c>
      <c r="Q60" s="35"/>
      <c r="R60" s="35"/>
      <c r="S60" s="36">
        <v>50</v>
      </c>
      <c r="T60" s="56">
        <v>2.9</v>
      </c>
      <c r="U60" s="36">
        <v>50</v>
      </c>
      <c r="V60" s="56">
        <v>2.2000000000000002</v>
      </c>
      <c r="W60" s="143">
        <v>0.01</v>
      </c>
      <c r="X60" s="143">
        <v>0.03</v>
      </c>
      <c r="Y60" s="143">
        <v>0.04</v>
      </c>
      <c r="Z60" s="143">
        <v>0.06</v>
      </c>
    </row>
    <row r="61" spans="2:26" s="22" customFormat="1" ht="15.75" customHeight="1">
      <c r="B61" s="28"/>
      <c r="C61" s="58" t="str">
        <f>C$9</f>
        <v>３歳児</v>
      </c>
      <c r="D61" s="38">
        <f>D60</f>
        <v>13</v>
      </c>
      <c r="E61" s="42" t="str">
        <f>E$9</f>
        <v>B</v>
      </c>
      <c r="F61" s="40" t="str">
        <f t="shared" si="32"/>
        <v>13B</v>
      </c>
      <c r="G61" s="43">
        <v>480</v>
      </c>
      <c r="H61" s="44">
        <v>3</v>
      </c>
      <c r="I61" s="43">
        <v>420</v>
      </c>
      <c r="J61" s="44">
        <v>3</v>
      </c>
      <c r="K61" s="41">
        <f t="shared" ref="K61:P61" si="59">K$13</f>
        <v>80</v>
      </c>
      <c r="L61" s="60">
        <f t="shared" si="59"/>
        <v>2.8</v>
      </c>
      <c r="M61" s="41">
        <f t="shared" si="59"/>
        <v>0</v>
      </c>
      <c r="N61" s="60">
        <f t="shared" si="59"/>
        <v>0</v>
      </c>
      <c r="O61" s="41">
        <f t="shared" si="59"/>
        <v>0</v>
      </c>
      <c r="P61" s="60">
        <f t="shared" si="59"/>
        <v>0</v>
      </c>
      <c r="Q61" s="74"/>
      <c r="R61" s="74"/>
      <c r="S61" s="41">
        <f t="shared" ref="S61:Z63" si="60">S$60</f>
        <v>50</v>
      </c>
      <c r="T61" s="60">
        <f t="shared" si="60"/>
        <v>2.9</v>
      </c>
      <c r="U61" s="41">
        <f t="shared" si="60"/>
        <v>50</v>
      </c>
      <c r="V61" s="60">
        <f t="shared" si="60"/>
        <v>2.2000000000000002</v>
      </c>
      <c r="W61" s="142">
        <f t="shared" si="60"/>
        <v>0.01</v>
      </c>
      <c r="X61" s="142">
        <f t="shared" si="60"/>
        <v>0.03</v>
      </c>
      <c r="Y61" s="142">
        <f t="shared" si="60"/>
        <v>0.04</v>
      </c>
      <c r="Z61" s="142">
        <f t="shared" si="60"/>
        <v>0.06</v>
      </c>
    </row>
    <row r="62" spans="2:26" s="22" customFormat="1" ht="15.75" customHeight="1">
      <c r="B62" s="28"/>
      <c r="C62" s="58" t="str">
        <f>C$10</f>
        <v>１、２歳児</v>
      </c>
      <c r="D62" s="38">
        <f>D60</f>
        <v>13</v>
      </c>
      <c r="E62" s="42" t="str">
        <f>E$10</f>
        <v>C</v>
      </c>
      <c r="F62" s="40" t="str">
        <f t="shared" si="32"/>
        <v>13C</v>
      </c>
      <c r="G62" s="43">
        <v>1060</v>
      </c>
      <c r="H62" s="44">
        <v>2.9</v>
      </c>
      <c r="I62" s="43">
        <v>1010</v>
      </c>
      <c r="J62" s="44">
        <v>2.9</v>
      </c>
      <c r="K62" s="41">
        <f t="shared" ref="K62:P62" si="61">K$14</f>
        <v>0</v>
      </c>
      <c r="L62" s="60">
        <f t="shared" si="61"/>
        <v>0</v>
      </c>
      <c r="M62" s="41">
        <f t="shared" si="61"/>
        <v>0</v>
      </c>
      <c r="N62" s="60">
        <f t="shared" si="61"/>
        <v>0</v>
      </c>
      <c r="O62" s="41">
        <f t="shared" si="61"/>
        <v>160</v>
      </c>
      <c r="P62" s="60">
        <f t="shared" si="61"/>
        <v>2.8</v>
      </c>
      <c r="Q62" s="74"/>
      <c r="R62" s="74"/>
      <c r="S62" s="41">
        <f t="shared" si="60"/>
        <v>50</v>
      </c>
      <c r="T62" s="60">
        <f t="shared" si="60"/>
        <v>2.9</v>
      </c>
      <c r="U62" s="41">
        <f t="shared" si="60"/>
        <v>50</v>
      </c>
      <c r="V62" s="60">
        <f t="shared" si="60"/>
        <v>2.2000000000000002</v>
      </c>
      <c r="W62" s="142">
        <f t="shared" si="60"/>
        <v>0.01</v>
      </c>
      <c r="X62" s="142">
        <f t="shared" si="60"/>
        <v>0.03</v>
      </c>
      <c r="Y62" s="142">
        <f t="shared" si="60"/>
        <v>0.04</v>
      </c>
      <c r="Z62" s="142">
        <f t="shared" si="60"/>
        <v>0.06</v>
      </c>
    </row>
    <row r="63" spans="2:26" s="22" customFormat="1" ht="15.75" customHeight="1">
      <c r="B63" s="73"/>
      <c r="C63" s="62" t="str">
        <f>C$11</f>
        <v>乳児</v>
      </c>
      <c r="D63" s="50">
        <f>D60</f>
        <v>13</v>
      </c>
      <c r="E63" s="54" t="str">
        <f>E$11</f>
        <v>D</v>
      </c>
      <c r="F63" s="52" t="str">
        <f t="shared" si="32"/>
        <v>13D</v>
      </c>
      <c r="G63" s="46">
        <v>1900</v>
      </c>
      <c r="H63" s="47">
        <v>2.9</v>
      </c>
      <c r="I63" s="46">
        <v>1850</v>
      </c>
      <c r="J63" s="47">
        <v>2.9</v>
      </c>
      <c r="K63" s="53">
        <f t="shared" ref="K63:P63" si="62">K$15</f>
        <v>0</v>
      </c>
      <c r="L63" s="64">
        <f t="shared" si="62"/>
        <v>0</v>
      </c>
      <c r="M63" s="53">
        <f t="shared" si="62"/>
        <v>0</v>
      </c>
      <c r="N63" s="64">
        <f t="shared" si="62"/>
        <v>0</v>
      </c>
      <c r="O63" s="53">
        <f t="shared" si="62"/>
        <v>0</v>
      </c>
      <c r="P63" s="64">
        <f t="shared" si="62"/>
        <v>0</v>
      </c>
      <c r="Q63" s="75"/>
      <c r="R63" s="75"/>
      <c r="S63" s="53">
        <f t="shared" si="60"/>
        <v>50</v>
      </c>
      <c r="T63" s="64">
        <f t="shared" si="60"/>
        <v>2.9</v>
      </c>
      <c r="U63" s="53">
        <f t="shared" si="60"/>
        <v>50</v>
      </c>
      <c r="V63" s="64">
        <f t="shared" si="60"/>
        <v>2.2000000000000002</v>
      </c>
      <c r="W63" s="142">
        <f t="shared" si="60"/>
        <v>0.01</v>
      </c>
      <c r="X63" s="142">
        <f t="shared" si="60"/>
        <v>0.03</v>
      </c>
      <c r="Y63" s="142">
        <f t="shared" si="60"/>
        <v>0.04</v>
      </c>
      <c r="Z63" s="142">
        <f t="shared" si="60"/>
        <v>0.06</v>
      </c>
    </row>
    <row r="64" spans="2:26" s="22" customFormat="1" ht="15.75" customHeight="1">
      <c r="B64" s="68" t="s">
        <v>73</v>
      </c>
      <c r="C64" s="55" t="str">
        <f>C$8</f>
        <v>４歳以上児</v>
      </c>
      <c r="D64" s="30">
        <v>14</v>
      </c>
      <c r="E64" s="34" t="str">
        <f>E$8</f>
        <v>A</v>
      </c>
      <c r="F64" s="69" t="str">
        <f t="shared" si="32"/>
        <v>14A</v>
      </c>
      <c r="G64" s="70">
        <v>380</v>
      </c>
      <c r="H64" s="71">
        <v>3.1</v>
      </c>
      <c r="I64" s="70">
        <v>330</v>
      </c>
      <c r="J64" s="71">
        <v>3</v>
      </c>
      <c r="K64" s="33">
        <f t="shared" ref="K64:P64" si="63">K$12</f>
        <v>0</v>
      </c>
      <c r="L64" s="72">
        <f t="shared" si="63"/>
        <v>0</v>
      </c>
      <c r="M64" s="33">
        <f t="shared" si="63"/>
        <v>30</v>
      </c>
      <c r="N64" s="72">
        <f t="shared" si="63"/>
        <v>3.7</v>
      </c>
      <c r="O64" s="33">
        <f t="shared" si="63"/>
        <v>0</v>
      </c>
      <c r="P64" s="72">
        <f t="shared" si="63"/>
        <v>0</v>
      </c>
      <c r="Q64" s="35"/>
      <c r="R64" s="35"/>
      <c r="S64" s="36">
        <v>40</v>
      </c>
      <c r="T64" s="56">
        <v>3.3</v>
      </c>
      <c r="U64" s="36">
        <v>50</v>
      </c>
      <c r="V64" s="56">
        <v>2</v>
      </c>
      <c r="W64" s="143">
        <v>0.01</v>
      </c>
      <c r="X64" s="143">
        <v>0.03</v>
      </c>
      <c r="Y64" s="143">
        <v>0.04</v>
      </c>
      <c r="Z64" s="143">
        <v>0.06</v>
      </c>
    </row>
    <row r="65" spans="2:35" s="22" customFormat="1" ht="15.75" customHeight="1">
      <c r="B65" s="28"/>
      <c r="C65" s="58" t="str">
        <f>C$9</f>
        <v>３歳児</v>
      </c>
      <c r="D65" s="38">
        <f>D64</f>
        <v>14</v>
      </c>
      <c r="E65" s="42" t="str">
        <f>E$9</f>
        <v>B</v>
      </c>
      <c r="F65" s="40" t="str">
        <f t="shared" si="32"/>
        <v>14B</v>
      </c>
      <c r="G65" s="43">
        <v>460</v>
      </c>
      <c r="H65" s="44">
        <v>3</v>
      </c>
      <c r="I65" s="43">
        <v>410</v>
      </c>
      <c r="J65" s="44">
        <v>3</v>
      </c>
      <c r="K65" s="41">
        <f t="shared" ref="K65:P65" si="64">K$13</f>
        <v>80</v>
      </c>
      <c r="L65" s="60">
        <f t="shared" si="64"/>
        <v>2.8</v>
      </c>
      <c r="M65" s="41">
        <f t="shared" si="64"/>
        <v>0</v>
      </c>
      <c r="N65" s="60">
        <f t="shared" si="64"/>
        <v>0</v>
      </c>
      <c r="O65" s="41">
        <f t="shared" si="64"/>
        <v>0</v>
      </c>
      <c r="P65" s="60">
        <f t="shared" si="64"/>
        <v>0</v>
      </c>
      <c r="Q65" s="74"/>
      <c r="R65" s="74"/>
      <c r="S65" s="41">
        <f t="shared" ref="S65:Z67" si="65">S$64</f>
        <v>40</v>
      </c>
      <c r="T65" s="60">
        <f t="shared" si="65"/>
        <v>3.3</v>
      </c>
      <c r="U65" s="41">
        <f t="shared" si="65"/>
        <v>50</v>
      </c>
      <c r="V65" s="60">
        <f t="shared" si="65"/>
        <v>2</v>
      </c>
      <c r="W65" s="142">
        <f t="shared" si="65"/>
        <v>0.01</v>
      </c>
      <c r="X65" s="142">
        <f t="shared" si="65"/>
        <v>0.03</v>
      </c>
      <c r="Y65" s="142">
        <f t="shared" si="65"/>
        <v>0.04</v>
      </c>
      <c r="Z65" s="142">
        <f t="shared" si="65"/>
        <v>0.06</v>
      </c>
    </row>
    <row r="66" spans="2:35" s="22" customFormat="1" ht="15.75" customHeight="1">
      <c r="B66" s="28"/>
      <c r="C66" s="58" t="str">
        <f>C$10</f>
        <v>１、２歳児</v>
      </c>
      <c r="D66" s="38">
        <f>D64</f>
        <v>14</v>
      </c>
      <c r="E66" s="42" t="str">
        <f>E$10</f>
        <v>C</v>
      </c>
      <c r="F66" s="40" t="str">
        <f t="shared" si="32"/>
        <v>14C</v>
      </c>
      <c r="G66" s="43">
        <v>1040</v>
      </c>
      <c r="H66" s="44">
        <v>2.9</v>
      </c>
      <c r="I66" s="43">
        <v>990</v>
      </c>
      <c r="J66" s="44">
        <v>2.9</v>
      </c>
      <c r="K66" s="41">
        <f t="shared" ref="K66:P66" si="66">K$14</f>
        <v>0</v>
      </c>
      <c r="L66" s="60">
        <f t="shared" si="66"/>
        <v>0</v>
      </c>
      <c r="M66" s="41">
        <f t="shared" si="66"/>
        <v>0</v>
      </c>
      <c r="N66" s="60">
        <f t="shared" si="66"/>
        <v>0</v>
      </c>
      <c r="O66" s="41">
        <f t="shared" si="66"/>
        <v>160</v>
      </c>
      <c r="P66" s="60">
        <f t="shared" si="66"/>
        <v>2.8</v>
      </c>
      <c r="Q66" s="74"/>
      <c r="R66" s="74"/>
      <c r="S66" s="41">
        <f t="shared" si="65"/>
        <v>40</v>
      </c>
      <c r="T66" s="60">
        <f t="shared" si="65"/>
        <v>3.3</v>
      </c>
      <c r="U66" s="41">
        <f t="shared" si="65"/>
        <v>50</v>
      </c>
      <c r="V66" s="60">
        <f t="shared" si="65"/>
        <v>2</v>
      </c>
      <c r="W66" s="142">
        <f t="shared" si="65"/>
        <v>0.01</v>
      </c>
      <c r="X66" s="142">
        <f t="shared" si="65"/>
        <v>0.03</v>
      </c>
      <c r="Y66" s="142">
        <f t="shared" si="65"/>
        <v>0.04</v>
      </c>
      <c r="Z66" s="142">
        <f t="shared" si="65"/>
        <v>0.06</v>
      </c>
    </row>
    <row r="67" spans="2:35" s="22" customFormat="1" ht="15.75" customHeight="1">
      <c r="B67" s="73"/>
      <c r="C67" s="62" t="str">
        <f>C$11</f>
        <v>乳児</v>
      </c>
      <c r="D67" s="50">
        <f>D64</f>
        <v>14</v>
      </c>
      <c r="E67" s="54" t="str">
        <f>E$11</f>
        <v>D</v>
      </c>
      <c r="F67" s="52" t="str">
        <f t="shared" si="32"/>
        <v>14D</v>
      </c>
      <c r="G67" s="46">
        <v>1880</v>
      </c>
      <c r="H67" s="47">
        <v>2.9</v>
      </c>
      <c r="I67" s="46">
        <v>1830</v>
      </c>
      <c r="J67" s="47">
        <v>2.9</v>
      </c>
      <c r="K67" s="53">
        <f t="shared" ref="K67:P67" si="67">K$15</f>
        <v>0</v>
      </c>
      <c r="L67" s="64">
        <f t="shared" si="67"/>
        <v>0</v>
      </c>
      <c r="M67" s="53">
        <f t="shared" si="67"/>
        <v>0</v>
      </c>
      <c r="N67" s="64">
        <f t="shared" si="67"/>
        <v>0</v>
      </c>
      <c r="O67" s="53">
        <f t="shared" si="67"/>
        <v>0</v>
      </c>
      <c r="P67" s="64">
        <f t="shared" si="67"/>
        <v>0</v>
      </c>
      <c r="Q67" s="75"/>
      <c r="R67" s="75"/>
      <c r="S67" s="53">
        <f t="shared" si="65"/>
        <v>40</v>
      </c>
      <c r="T67" s="64">
        <f t="shared" si="65"/>
        <v>3.3</v>
      </c>
      <c r="U67" s="53">
        <f t="shared" si="65"/>
        <v>50</v>
      </c>
      <c r="V67" s="64">
        <f t="shared" si="65"/>
        <v>2</v>
      </c>
      <c r="W67" s="142">
        <f t="shared" si="65"/>
        <v>0.01</v>
      </c>
      <c r="X67" s="142">
        <f t="shared" si="65"/>
        <v>0.03</v>
      </c>
      <c r="Y67" s="142">
        <f t="shared" si="65"/>
        <v>0.04</v>
      </c>
      <c r="Z67" s="142">
        <f t="shared" si="65"/>
        <v>0.06</v>
      </c>
    </row>
    <row r="68" spans="2:35" s="22" customFormat="1" ht="15.75" customHeight="1">
      <c r="B68" s="68" t="s">
        <v>74</v>
      </c>
      <c r="C68" s="55" t="str">
        <f>C$8</f>
        <v>４歳以上児</v>
      </c>
      <c r="D68" s="30">
        <v>15</v>
      </c>
      <c r="E68" s="34" t="str">
        <f>E$8</f>
        <v>A</v>
      </c>
      <c r="F68" s="69" t="str">
        <f t="shared" si="32"/>
        <v>15A</v>
      </c>
      <c r="G68" s="70">
        <v>360</v>
      </c>
      <c r="H68" s="71">
        <v>3.1</v>
      </c>
      <c r="I68" s="70">
        <v>320</v>
      </c>
      <c r="J68" s="71">
        <v>3</v>
      </c>
      <c r="K68" s="33">
        <f t="shared" ref="K68:P68" si="68">K$12</f>
        <v>0</v>
      </c>
      <c r="L68" s="72">
        <f t="shared" si="68"/>
        <v>0</v>
      </c>
      <c r="M68" s="33">
        <f t="shared" si="68"/>
        <v>30</v>
      </c>
      <c r="N68" s="72">
        <f t="shared" si="68"/>
        <v>3.7</v>
      </c>
      <c r="O68" s="33">
        <f t="shared" si="68"/>
        <v>0</v>
      </c>
      <c r="P68" s="72">
        <f t="shared" si="68"/>
        <v>0</v>
      </c>
      <c r="Q68" s="35"/>
      <c r="R68" s="35"/>
      <c r="S68" s="36">
        <v>40</v>
      </c>
      <c r="T68" s="56">
        <v>3</v>
      </c>
      <c r="U68" s="36">
        <v>40</v>
      </c>
      <c r="V68" s="56">
        <v>2.2999999999999998</v>
      </c>
      <c r="W68" s="143">
        <v>0.01</v>
      </c>
      <c r="X68" s="143">
        <v>0.03</v>
      </c>
      <c r="Y68" s="143">
        <v>0.04</v>
      </c>
      <c r="Z68" s="143">
        <v>0.06</v>
      </c>
    </row>
    <row r="69" spans="2:35" s="22" customFormat="1" ht="15.75" customHeight="1">
      <c r="B69" s="28"/>
      <c r="C69" s="58" t="str">
        <f>C$9</f>
        <v>３歳児</v>
      </c>
      <c r="D69" s="38">
        <f>D68</f>
        <v>15</v>
      </c>
      <c r="E69" s="42" t="str">
        <f>E$9</f>
        <v>B</v>
      </c>
      <c r="F69" s="40" t="str">
        <f t="shared" si="32"/>
        <v>15B</v>
      </c>
      <c r="G69" s="43">
        <v>440</v>
      </c>
      <c r="H69" s="44">
        <v>3</v>
      </c>
      <c r="I69" s="43">
        <v>400</v>
      </c>
      <c r="J69" s="44">
        <v>2.9</v>
      </c>
      <c r="K69" s="41">
        <f t="shared" ref="K69:P69" si="69">K$13</f>
        <v>80</v>
      </c>
      <c r="L69" s="60">
        <f t="shared" si="69"/>
        <v>2.8</v>
      </c>
      <c r="M69" s="41">
        <f t="shared" si="69"/>
        <v>0</v>
      </c>
      <c r="N69" s="60">
        <f t="shared" si="69"/>
        <v>0</v>
      </c>
      <c r="O69" s="41">
        <f t="shared" si="69"/>
        <v>0</v>
      </c>
      <c r="P69" s="60">
        <f t="shared" si="69"/>
        <v>0</v>
      </c>
      <c r="Q69" s="74"/>
      <c r="R69" s="74"/>
      <c r="S69" s="41">
        <f t="shared" ref="S69:Z71" si="70">S$68</f>
        <v>40</v>
      </c>
      <c r="T69" s="60">
        <f t="shared" si="70"/>
        <v>3</v>
      </c>
      <c r="U69" s="41">
        <f t="shared" si="70"/>
        <v>40</v>
      </c>
      <c r="V69" s="60">
        <f t="shared" si="70"/>
        <v>2.2999999999999998</v>
      </c>
      <c r="W69" s="142">
        <f t="shared" si="70"/>
        <v>0.01</v>
      </c>
      <c r="X69" s="142">
        <f t="shared" si="70"/>
        <v>0.03</v>
      </c>
      <c r="Y69" s="142">
        <f t="shared" si="70"/>
        <v>0.04</v>
      </c>
      <c r="Z69" s="142">
        <f t="shared" si="70"/>
        <v>0.06</v>
      </c>
    </row>
    <row r="70" spans="2:35" s="22" customFormat="1" ht="15.75" customHeight="1">
      <c r="B70" s="28"/>
      <c r="C70" s="58" t="str">
        <f>C$10</f>
        <v>１、２歳児</v>
      </c>
      <c r="D70" s="38">
        <f>D68</f>
        <v>15</v>
      </c>
      <c r="E70" s="42" t="str">
        <f>E$10</f>
        <v>C</v>
      </c>
      <c r="F70" s="40" t="str">
        <f t="shared" si="32"/>
        <v>15C</v>
      </c>
      <c r="G70" s="43">
        <v>1030</v>
      </c>
      <c r="H70" s="44">
        <v>2.9</v>
      </c>
      <c r="I70" s="43">
        <v>980</v>
      </c>
      <c r="J70" s="44">
        <v>2.9</v>
      </c>
      <c r="K70" s="41">
        <f t="shared" ref="K70:P70" si="71">K$14</f>
        <v>0</v>
      </c>
      <c r="L70" s="60">
        <f t="shared" si="71"/>
        <v>0</v>
      </c>
      <c r="M70" s="41">
        <f t="shared" si="71"/>
        <v>0</v>
      </c>
      <c r="N70" s="60">
        <f t="shared" si="71"/>
        <v>0</v>
      </c>
      <c r="O70" s="41">
        <f t="shared" si="71"/>
        <v>160</v>
      </c>
      <c r="P70" s="60">
        <f t="shared" si="71"/>
        <v>2.8</v>
      </c>
      <c r="Q70" s="74"/>
      <c r="R70" s="74"/>
      <c r="S70" s="41">
        <f t="shared" si="70"/>
        <v>40</v>
      </c>
      <c r="T70" s="60">
        <f t="shared" si="70"/>
        <v>3</v>
      </c>
      <c r="U70" s="41">
        <f t="shared" si="70"/>
        <v>40</v>
      </c>
      <c r="V70" s="60">
        <f t="shared" si="70"/>
        <v>2.2999999999999998</v>
      </c>
      <c r="W70" s="142">
        <f t="shared" si="70"/>
        <v>0.01</v>
      </c>
      <c r="X70" s="142">
        <f t="shared" si="70"/>
        <v>0.03</v>
      </c>
      <c r="Y70" s="142">
        <f t="shared" si="70"/>
        <v>0.04</v>
      </c>
      <c r="Z70" s="142">
        <f t="shared" si="70"/>
        <v>0.06</v>
      </c>
    </row>
    <row r="71" spans="2:35" s="22" customFormat="1" ht="15.75" customHeight="1">
      <c r="B71" s="73"/>
      <c r="C71" s="62" t="str">
        <f>C$11</f>
        <v>乳児</v>
      </c>
      <c r="D71" s="50">
        <f>D68</f>
        <v>15</v>
      </c>
      <c r="E71" s="54" t="str">
        <f>E$11</f>
        <v>D</v>
      </c>
      <c r="F71" s="52" t="str">
        <f t="shared" si="32"/>
        <v>15D</v>
      </c>
      <c r="G71" s="46">
        <v>1870</v>
      </c>
      <c r="H71" s="47">
        <v>2.9</v>
      </c>
      <c r="I71" s="46">
        <v>1820</v>
      </c>
      <c r="J71" s="47">
        <v>2.9</v>
      </c>
      <c r="K71" s="53">
        <f t="shared" ref="K71:P71" si="72">K$15</f>
        <v>0</v>
      </c>
      <c r="L71" s="64">
        <f t="shared" si="72"/>
        <v>0</v>
      </c>
      <c r="M71" s="53">
        <f t="shared" si="72"/>
        <v>0</v>
      </c>
      <c r="N71" s="64">
        <f t="shared" si="72"/>
        <v>0</v>
      </c>
      <c r="O71" s="53">
        <f t="shared" si="72"/>
        <v>0</v>
      </c>
      <c r="P71" s="64">
        <f t="shared" si="72"/>
        <v>0</v>
      </c>
      <c r="Q71" s="75"/>
      <c r="R71" s="75"/>
      <c r="S71" s="53">
        <f t="shared" si="70"/>
        <v>40</v>
      </c>
      <c r="T71" s="64">
        <f t="shared" si="70"/>
        <v>3</v>
      </c>
      <c r="U71" s="53">
        <f t="shared" si="70"/>
        <v>40</v>
      </c>
      <c r="V71" s="64">
        <f t="shared" si="70"/>
        <v>2.2999999999999998</v>
      </c>
      <c r="W71" s="142">
        <f t="shared" si="70"/>
        <v>0.01</v>
      </c>
      <c r="X71" s="142">
        <f t="shared" si="70"/>
        <v>0.03</v>
      </c>
      <c r="Y71" s="142">
        <f t="shared" si="70"/>
        <v>0.04</v>
      </c>
      <c r="Z71" s="142">
        <f t="shared" si="70"/>
        <v>0.06</v>
      </c>
    </row>
    <row r="72" spans="2:35" s="22" customFormat="1" ht="15.75" customHeight="1">
      <c r="B72" s="68" t="s">
        <v>75</v>
      </c>
      <c r="C72" s="55" t="str">
        <f>C$8</f>
        <v>４歳以上児</v>
      </c>
      <c r="D72" s="30">
        <v>16</v>
      </c>
      <c r="E72" s="34" t="str">
        <f>E$8</f>
        <v>A</v>
      </c>
      <c r="F72" s="69" t="str">
        <f t="shared" ref="F72:F95" si="73">D72&amp;E72</f>
        <v>16A</v>
      </c>
      <c r="G72" s="70">
        <v>350</v>
      </c>
      <c r="H72" s="71">
        <v>3</v>
      </c>
      <c r="I72" s="70">
        <v>300</v>
      </c>
      <c r="J72" s="71">
        <v>3</v>
      </c>
      <c r="K72" s="33">
        <f t="shared" ref="K72:P72" si="74">K$12</f>
        <v>0</v>
      </c>
      <c r="L72" s="72">
        <f t="shared" si="74"/>
        <v>0</v>
      </c>
      <c r="M72" s="33">
        <f t="shared" si="74"/>
        <v>30</v>
      </c>
      <c r="N72" s="72">
        <f t="shared" si="74"/>
        <v>3.7</v>
      </c>
      <c r="O72" s="33">
        <f t="shared" si="74"/>
        <v>0</v>
      </c>
      <c r="P72" s="72">
        <f t="shared" si="74"/>
        <v>0</v>
      </c>
      <c r="Q72" s="35"/>
      <c r="R72" s="35"/>
      <c r="S72" s="36">
        <v>30</v>
      </c>
      <c r="T72" s="56">
        <v>3.7</v>
      </c>
      <c r="U72" s="36">
        <v>40</v>
      </c>
      <c r="V72" s="56">
        <v>2.1</v>
      </c>
      <c r="W72" s="143">
        <v>0.01</v>
      </c>
      <c r="X72" s="143">
        <v>0.03</v>
      </c>
      <c r="Y72" s="143">
        <v>0.04</v>
      </c>
      <c r="Z72" s="143">
        <v>0.06</v>
      </c>
    </row>
    <row r="73" spans="2:35" s="22" customFormat="1" ht="15.75" customHeight="1">
      <c r="B73" s="28"/>
      <c r="C73" s="58" t="str">
        <f>C$9</f>
        <v>３歳児</v>
      </c>
      <c r="D73" s="38">
        <f>D72</f>
        <v>16</v>
      </c>
      <c r="E73" s="42" t="str">
        <f>E$9</f>
        <v>B</v>
      </c>
      <c r="F73" s="40" t="str">
        <f t="shared" si="73"/>
        <v>16B</v>
      </c>
      <c r="G73" s="43">
        <v>430</v>
      </c>
      <c r="H73" s="44">
        <v>3</v>
      </c>
      <c r="I73" s="43">
        <v>380</v>
      </c>
      <c r="J73" s="44">
        <v>3</v>
      </c>
      <c r="K73" s="41">
        <f t="shared" ref="K73:P73" si="75">K$13</f>
        <v>80</v>
      </c>
      <c r="L73" s="60">
        <f t="shared" si="75"/>
        <v>2.8</v>
      </c>
      <c r="M73" s="41">
        <f t="shared" si="75"/>
        <v>0</v>
      </c>
      <c r="N73" s="60">
        <f t="shared" si="75"/>
        <v>0</v>
      </c>
      <c r="O73" s="41">
        <f t="shared" si="75"/>
        <v>0</v>
      </c>
      <c r="P73" s="60">
        <f t="shared" si="75"/>
        <v>0</v>
      </c>
      <c r="Q73" s="74"/>
      <c r="R73" s="74"/>
      <c r="S73" s="41">
        <f t="shared" ref="S73:Z75" si="76">S$72</f>
        <v>30</v>
      </c>
      <c r="T73" s="60">
        <f t="shared" si="76"/>
        <v>3.7</v>
      </c>
      <c r="U73" s="41">
        <f t="shared" si="76"/>
        <v>40</v>
      </c>
      <c r="V73" s="60">
        <f t="shared" si="76"/>
        <v>2.1</v>
      </c>
      <c r="W73" s="142">
        <f t="shared" si="76"/>
        <v>0.01</v>
      </c>
      <c r="X73" s="142">
        <f t="shared" si="76"/>
        <v>0.03</v>
      </c>
      <c r="Y73" s="142">
        <f t="shared" si="76"/>
        <v>0.04</v>
      </c>
      <c r="Z73" s="142">
        <f t="shared" si="76"/>
        <v>0.06</v>
      </c>
    </row>
    <row r="74" spans="2:35" s="22" customFormat="1" ht="15.75" customHeight="1">
      <c r="B74" s="28"/>
      <c r="C74" s="58" t="str">
        <f>C$10</f>
        <v>１、２歳児</v>
      </c>
      <c r="D74" s="38">
        <f>D72</f>
        <v>16</v>
      </c>
      <c r="E74" s="42" t="str">
        <f>E$10</f>
        <v>C</v>
      </c>
      <c r="F74" s="40" t="str">
        <f t="shared" si="73"/>
        <v>16C</v>
      </c>
      <c r="G74" s="43">
        <v>1010</v>
      </c>
      <c r="H74" s="44">
        <v>2.9</v>
      </c>
      <c r="I74" s="43">
        <v>970</v>
      </c>
      <c r="J74" s="44">
        <v>2.9</v>
      </c>
      <c r="K74" s="41">
        <f t="shared" ref="K74:P74" si="77">K$14</f>
        <v>0</v>
      </c>
      <c r="L74" s="60">
        <f t="shared" si="77"/>
        <v>0</v>
      </c>
      <c r="M74" s="41">
        <f t="shared" si="77"/>
        <v>0</v>
      </c>
      <c r="N74" s="60">
        <f t="shared" si="77"/>
        <v>0</v>
      </c>
      <c r="O74" s="41">
        <f t="shared" si="77"/>
        <v>160</v>
      </c>
      <c r="P74" s="60">
        <f t="shared" si="77"/>
        <v>2.8</v>
      </c>
      <c r="Q74" s="74"/>
      <c r="R74" s="74"/>
      <c r="S74" s="41">
        <f t="shared" si="76"/>
        <v>30</v>
      </c>
      <c r="T74" s="60">
        <f t="shared" si="76"/>
        <v>3.7</v>
      </c>
      <c r="U74" s="41">
        <f t="shared" si="76"/>
        <v>40</v>
      </c>
      <c r="V74" s="60">
        <f t="shared" si="76"/>
        <v>2.1</v>
      </c>
      <c r="W74" s="142">
        <f t="shared" si="76"/>
        <v>0.01</v>
      </c>
      <c r="X74" s="142">
        <f t="shared" si="76"/>
        <v>0.03</v>
      </c>
      <c r="Y74" s="142">
        <f t="shared" si="76"/>
        <v>0.04</v>
      </c>
      <c r="Z74" s="142">
        <f t="shared" si="76"/>
        <v>0.06</v>
      </c>
    </row>
    <row r="75" spans="2:35" s="22" customFormat="1" ht="15.75" customHeight="1">
      <c r="B75" s="73"/>
      <c r="C75" s="62" t="str">
        <f>C$11</f>
        <v>乳児</v>
      </c>
      <c r="D75" s="50">
        <f>D72</f>
        <v>16</v>
      </c>
      <c r="E75" s="54" t="str">
        <f>E$11</f>
        <v>D</v>
      </c>
      <c r="F75" s="52" t="str">
        <f t="shared" si="73"/>
        <v>16D</v>
      </c>
      <c r="G75" s="46">
        <v>1850</v>
      </c>
      <c r="H75" s="47">
        <v>2.9</v>
      </c>
      <c r="I75" s="46">
        <v>1810</v>
      </c>
      <c r="J75" s="47">
        <v>2.9</v>
      </c>
      <c r="K75" s="53">
        <f t="shared" ref="K75:P75" si="78">K$15</f>
        <v>0</v>
      </c>
      <c r="L75" s="64">
        <f t="shared" si="78"/>
        <v>0</v>
      </c>
      <c r="M75" s="53">
        <f t="shared" si="78"/>
        <v>0</v>
      </c>
      <c r="N75" s="64">
        <f t="shared" si="78"/>
        <v>0</v>
      </c>
      <c r="O75" s="53">
        <f t="shared" si="78"/>
        <v>0</v>
      </c>
      <c r="P75" s="64">
        <f t="shared" si="78"/>
        <v>0</v>
      </c>
      <c r="Q75" s="75"/>
      <c r="R75" s="75"/>
      <c r="S75" s="53">
        <f t="shared" si="76"/>
        <v>30</v>
      </c>
      <c r="T75" s="64">
        <f t="shared" si="76"/>
        <v>3.7</v>
      </c>
      <c r="U75" s="53">
        <f t="shared" si="76"/>
        <v>40</v>
      </c>
      <c r="V75" s="64">
        <f t="shared" si="76"/>
        <v>2.1</v>
      </c>
      <c r="W75" s="142">
        <f t="shared" si="76"/>
        <v>0.01</v>
      </c>
      <c r="X75" s="142">
        <f t="shared" si="76"/>
        <v>0.03</v>
      </c>
      <c r="Y75" s="142">
        <f t="shared" si="76"/>
        <v>0.04</v>
      </c>
      <c r="Z75" s="142">
        <f t="shared" si="76"/>
        <v>0.06</v>
      </c>
    </row>
    <row r="76" spans="2:35" s="22" customFormat="1" ht="15.75" customHeight="1">
      <c r="B76" s="68" t="s">
        <v>76</v>
      </c>
      <c r="C76" s="55" t="str">
        <f>C$8</f>
        <v>４歳以上児</v>
      </c>
      <c r="D76" s="30">
        <v>17</v>
      </c>
      <c r="E76" s="34" t="str">
        <f>E$8</f>
        <v>A</v>
      </c>
      <c r="F76" s="69" t="str">
        <f t="shared" si="73"/>
        <v>17A</v>
      </c>
      <c r="G76" s="70">
        <v>340</v>
      </c>
      <c r="H76" s="71">
        <v>3</v>
      </c>
      <c r="I76" s="70">
        <v>300</v>
      </c>
      <c r="J76" s="71">
        <v>2.9</v>
      </c>
      <c r="K76" s="33">
        <f t="shared" ref="K76:P76" si="79">K$12</f>
        <v>0</v>
      </c>
      <c r="L76" s="72">
        <f t="shared" si="79"/>
        <v>0</v>
      </c>
      <c r="M76" s="33">
        <f t="shared" si="79"/>
        <v>30</v>
      </c>
      <c r="N76" s="72">
        <f t="shared" si="79"/>
        <v>3.7</v>
      </c>
      <c r="O76" s="33">
        <f t="shared" si="79"/>
        <v>0</v>
      </c>
      <c r="P76" s="72">
        <f t="shared" si="79"/>
        <v>0</v>
      </c>
      <c r="Q76" s="35"/>
      <c r="R76" s="35"/>
      <c r="S76" s="36">
        <v>30</v>
      </c>
      <c r="T76" s="56">
        <v>3.4</v>
      </c>
      <c r="U76" s="36">
        <v>30</v>
      </c>
      <c r="V76" s="56">
        <v>2.6</v>
      </c>
      <c r="W76" s="143">
        <v>0.01</v>
      </c>
      <c r="X76" s="143">
        <v>0.03</v>
      </c>
      <c r="Y76" s="143">
        <v>0.04</v>
      </c>
      <c r="Z76" s="143">
        <v>0.06</v>
      </c>
    </row>
    <row r="77" spans="2:35" s="22" customFormat="1" ht="15.75" customHeight="1">
      <c r="B77" s="28"/>
      <c r="C77" s="58" t="str">
        <f>C$9</f>
        <v>３歳児</v>
      </c>
      <c r="D77" s="38">
        <f>D76</f>
        <v>17</v>
      </c>
      <c r="E77" s="42" t="str">
        <f>E$9</f>
        <v>B</v>
      </c>
      <c r="F77" s="40" t="str">
        <f t="shared" si="73"/>
        <v>17B</v>
      </c>
      <c r="G77" s="43">
        <v>420</v>
      </c>
      <c r="H77" s="44">
        <v>2.9</v>
      </c>
      <c r="I77" s="43">
        <v>380</v>
      </c>
      <c r="J77" s="44">
        <v>2.9</v>
      </c>
      <c r="K77" s="41">
        <f t="shared" ref="K77:P77" si="80">K$13</f>
        <v>80</v>
      </c>
      <c r="L77" s="60">
        <f t="shared" si="80"/>
        <v>2.8</v>
      </c>
      <c r="M77" s="41">
        <f t="shared" si="80"/>
        <v>0</v>
      </c>
      <c r="N77" s="60">
        <f t="shared" si="80"/>
        <v>0</v>
      </c>
      <c r="O77" s="41">
        <f t="shared" si="80"/>
        <v>0</v>
      </c>
      <c r="P77" s="60">
        <f t="shared" si="80"/>
        <v>0</v>
      </c>
      <c r="Q77" s="74"/>
      <c r="R77" s="74"/>
      <c r="S77" s="41">
        <f t="shared" ref="S77:Z79" si="81">S$76</f>
        <v>30</v>
      </c>
      <c r="T77" s="60">
        <f t="shared" si="81"/>
        <v>3.4</v>
      </c>
      <c r="U77" s="41">
        <f t="shared" si="81"/>
        <v>30</v>
      </c>
      <c r="V77" s="60">
        <f t="shared" si="81"/>
        <v>2.6</v>
      </c>
      <c r="W77" s="142">
        <f t="shared" si="81"/>
        <v>0.01</v>
      </c>
      <c r="X77" s="142">
        <f t="shared" si="81"/>
        <v>0.03</v>
      </c>
      <c r="Y77" s="142">
        <f t="shared" si="81"/>
        <v>0.04</v>
      </c>
      <c r="Z77" s="142">
        <f t="shared" si="81"/>
        <v>0.06</v>
      </c>
    </row>
    <row r="78" spans="2:35" s="22" customFormat="1" ht="15.75" customHeight="1">
      <c r="B78" s="28"/>
      <c r="C78" s="58" t="str">
        <f>C$10</f>
        <v>１、２歳児</v>
      </c>
      <c r="D78" s="38">
        <f>D76</f>
        <v>17</v>
      </c>
      <c r="E78" s="42" t="str">
        <f>E$10</f>
        <v>C</v>
      </c>
      <c r="F78" s="40" t="str">
        <f t="shared" si="73"/>
        <v>17C</v>
      </c>
      <c r="G78" s="43">
        <v>1000</v>
      </c>
      <c r="H78" s="44">
        <v>2.9</v>
      </c>
      <c r="I78" s="43">
        <v>960</v>
      </c>
      <c r="J78" s="44">
        <v>2.9</v>
      </c>
      <c r="K78" s="41">
        <f t="shared" ref="K78:P78" si="82">K$14</f>
        <v>0</v>
      </c>
      <c r="L78" s="60">
        <f t="shared" si="82"/>
        <v>0</v>
      </c>
      <c r="M78" s="41">
        <f t="shared" si="82"/>
        <v>0</v>
      </c>
      <c r="N78" s="60">
        <f t="shared" si="82"/>
        <v>0</v>
      </c>
      <c r="O78" s="41">
        <f t="shared" si="82"/>
        <v>160</v>
      </c>
      <c r="P78" s="60">
        <f t="shared" si="82"/>
        <v>2.8</v>
      </c>
      <c r="Q78" s="74"/>
      <c r="R78" s="74"/>
      <c r="S78" s="41">
        <f t="shared" si="81"/>
        <v>30</v>
      </c>
      <c r="T78" s="60">
        <f t="shared" si="81"/>
        <v>3.4</v>
      </c>
      <c r="U78" s="41">
        <f t="shared" si="81"/>
        <v>30</v>
      </c>
      <c r="V78" s="60">
        <f t="shared" si="81"/>
        <v>2.6</v>
      </c>
      <c r="W78" s="142">
        <f t="shared" si="81"/>
        <v>0.01</v>
      </c>
      <c r="X78" s="142">
        <f t="shared" si="81"/>
        <v>0.03</v>
      </c>
      <c r="Y78" s="142">
        <f t="shared" si="81"/>
        <v>0.04</v>
      </c>
      <c r="Z78" s="142">
        <f t="shared" si="81"/>
        <v>0.06</v>
      </c>
    </row>
    <row r="79" spans="2:35" s="22" customFormat="1" ht="15.75" customHeight="1">
      <c r="B79" s="73"/>
      <c r="C79" s="62" t="str">
        <f>C$11</f>
        <v>乳児</v>
      </c>
      <c r="D79" s="50">
        <f>D76</f>
        <v>17</v>
      </c>
      <c r="E79" s="54" t="str">
        <f>E$11</f>
        <v>D</v>
      </c>
      <c r="F79" s="52" t="str">
        <f t="shared" si="73"/>
        <v>17D</v>
      </c>
      <c r="G79" s="46">
        <v>1840</v>
      </c>
      <c r="H79" s="47">
        <v>2.9</v>
      </c>
      <c r="I79" s="46">
        <v>1800</v>
      </c>
      <c r="J79" s="47">
        <v>2.9</v>
      </c>
      <c r="K79" s="53">
        <f t="shared" ref="K79:P79" si="83">K$15</f>
        <v>0</v>
      </c>
      <c r="L79" s="64">
        <f t="shared" si="83"/>
        <v>0</v>
      </c>
      <c r="M79" s="53">
        <f t="shared" si="83"/>
        <v>0</v>
      </c>
      <c r="N79" s="64">
        <f t="shared" si="83"/>
        <v>0</v>
      </c>
      <c r="O79" s="53">
        <f t="shared" si="83"/>
        <v>0</v>
      </c>
      <c r="P79" s="64">
        <f t="shared" si="83"/>
        <v>0</v>
      </c>
      <c r="Q79" s="75"/>
      <c r="R79" s="75"/>
      <c r="S79" s="53">
        <f t="shared" si="81"/>
        <v>30</v>
      </c>
      <c r="T79" s="64">
        <f t="shared" si="81"/>
        <v>3.4</v>
      </c>
      <c r="U79" s="53">
        <f t="shared" si="81"/>
        <v>30</v>
      </c>
      <c r="V79" s="64">
        <f t="shared" si="81"/>
        <v>2.6</v>
      </c>
      <c r="W79" s="142">
        <f t="shared" si="81"/>
        <v>0.01</v>
      </c>
      <c r="X79" s="142">
        <f t="shared" si="81"/>
        <v>0.03</v>
      </c>
      <c r="Y79" s="142">
        <f t="shared" si="81"/>
        <v>0.04</v>
      </c>
      <c r="Z79" s="142">
        <f t="shared" si="81"/>
        <v>0.06</v>
      </c>
      <c r="AG79" s="2"/>
      <c r="AH79" s="2"/>
      <c r="AI79" s="2"/>
    </row>
    <row r="80" spans="2:35" ht="15.75" customHeight="1">
      <c r="B80" s="68" t="s">
        <v>77</v>
      </c>
      <c r="C80" s="55" t="str">
        <f>C$8</f>
        <v>４歳以上児</v>
      </c>
      <c r="D80" s="30">
        <v>18</v>
      </c>
      <c r="E80" s="34" t="str">
        <f>E$8</f>
        <v>A</v>
      </c>
      <c r="F80" s="69" t="str">
        <f t="shared" si="73"/>
        <v>18A</v>
      </c>
      <c r="G80" s="70">
        <v>320</v>
      </c>
      <c r="H80" s="71">
        <v>3.1</v>
      </c>
      <c r="I80" s="70">
        <v>290</v>
      </c>
      <c r="J80" s="71">
        <v>2.9</v>
      </c>
      <c r="K80" s="33">
        <f t="shared" ref="K80:P80" si="84">K$12</f>
        <v>0</v>
      </c>
      <c r="L80" s="72">
        <f t="shared" si="84"/>
        <v>0</v>
      </c>
      <c r="M80" s="33">
        <f t="shared" si="84"/>
        <v>30</v>
      </c>
      <c r="N80" s="72">
        <f t="shared" si="84"/>
        <v>3.7</v>
      </c>
      <c r="O80" s="33">
        <f t="shared" si="84"/>
        <v>0</v>
      </c>
      <c r="P80" s="72">
        <f t="shared" si="84"/>
        <v>0</v>
      </c>
      <c r="Q80" s="35"/>
      <c r="R80" s="35"/>
      <c r="S80" s="36">
        <v>30</v>
      </c>
      <c r="T80" s="56">
        <v>3.2</v>
      </c>
      <c r="U80" s="36">
        <v>30</v>
      </c>
      <c r="V80" s="56">
        <v>2.5</v>
      </c>
      <c r="W80" s="143">
        <v>0.01</v>
      </c>
      <c r="X80" s="143">
        <v>0.03</v>
      </c>
      <c r="Y80" s="143">
        <v>0.04</v>
      </c>
      <c r="Z80" s="143">
        <v>0.06</v>
      </c>
    </row>
    <row r="81" spans="2:26" ht="15.75" customHeight="1">
      <c r="B81" s="28"/>
      <c r="C81" s="58" t="str">
        <f>C$9</f>
        <v>３歳児</v>
      </c>
      <c r="D81" s="38">
        <f>D80</f>
        <v>18</v>
      </c>
      <c r="E81" s="42" t="str">
        <f>E$9</f>
        <v>B</v>
      </c>
      <c r="F81" s="40" t="str">
        <f t="shared" si="73"/>
        <v>18B</v>
      </c>
      <c r="G81" s="43">
        <v>400</v>
      </c>
      <c r="H81" s="44">
        <v>3</v>
      </c>
      <c r="I81" s="43">
        <v>370</v>
      </c>
      <c r="J81" s="44">
        <v>2.9</v>
      </c>
      <c r="K81" s="41">
        <f t="shared" ref="K81:P81" si="85">K$13</f>
        <v>80</v>
      </c>
      <c r="L81" s="60">
        <f t="shared" si="85"/>
        <v>2.8</v>
      </c>
      <c r="M81" s="41">
        <f t="shared" si="85"/>
        <v>0</v>
      </c>
      <c r="N81" s="60">
        <f t="shared" si="85"/>
        <v>0</v>
      </c>
      <c r="O81" s="41">
        <f t="shared" si="85"/>
        <v>0</v>
      </c>
      <c r="P81" s="60">
        <f t="shared" si="85"/>
        <v>0</v>
      </c>
      <c r="Q81" s="74"/>
      <c r="R81" s="74"/>
      <c r="S81" s="41">
        <f t="shared" ref="S81:Z83" si="86">S$80</f>
        <v>30</v>
      </c>
      <c r="T81" s="60">
        <f t="shared" si="86"/>
        <v>3.2</v>
      </c>
      <c r="U81" s="41">
        <f t="shared" si="86"/>
        <v>30</v>
      </c>
      <c r="V81" s="60">
        <f t="shared" si="86"/>
        <v>2.5</v>
      </c>
      <c r="W81" s="142">
        <f t="shared" si="86"/>
        <v>0.01</v>
      </c>
      <c r="X81" s="142">
        <f t="shared" si="86"/>
        <v>0.03</v>
      </c>
      <c r="Y81" s="142">
        <f t="shared" si="86"/>
        <v>0.04</v>
      </c>
      <c r="Z81" s="142">
        <f t="shared" si="86"/>
        <v>0.06</v>
      </c>
    </row>
    <row r="82" spans="2:26" ht="15.75" customHeight="1">
      <c r="B82" s="28"/>
      <c r="C82" s="58" t="str">
        <f>C$10</f>
        <v>１、２歳児</v>
      </c>
      <c r="D82" s="38">
        <f>D80</f>
        <v>18</v>
      </c>
      <c r="E82" s="42" t="str">
        <f>E$10</f>
        <v>C</v>
      </c>
      <c r="F82" s="40" t="str">
        <f t="shared" si="73"/>
        <v>18C</v>
      </c>
      <c r="G82" s="43">
        <v>990</v>
      </c>
      <c r="H82" s="44">
        <v>2.9</v>
      </c>
      <c r="I82" s="43">
        <v>950</v>
      </c>
      <c r="J82" s="44">
        <v>2.9</v>
      </c>
      <c r="K82" s="41">
        <f t="shared" ref="K82:P82" si="87">K$14</f>
        <v>0</v>
      </c>
      <c r="L82" s="60">
        <f t="shared" si="87"/>
        <v>0</v>
      </c>
      <c r="M82" s="41">
        <f t="shared" si="87"/>
        <v>0</v>
      </c>
      <c r="N82" s="60">
        <f t="shared" si="87"/>
        <v>0</v>
      </c>
      <c r="O82" s="41">
        <f t="shared" si="87"/>
        <v>160</v>
      </c>
      <c r="P82" s="60">
        <f t="shared" si="87"/>
        <v>2.8</v>
      </c>
      <c r="Q82" s="74"/>
      <c r="R82" s="74"/>
      <c r="S82" s="41">
        <f t="shared" si="86"/>
        <v>30</v>
      </c>
      <c r="T82" s="60">
        <f t="shared" si="86"/>
        <v>3.2</v>
      </c>
      <c r="U82" s="41">
        <f t="shared" si="86"/>
        <v>30</v>
      </c>
      <c r="V82" s="60">
        <f t="shared" si="86"/>
        <v>2.5</v>
      </c>
      <c r="W82" s="142">
        <f t="shared" si="86"/>
        <v>0.01</v>
      </c>
      <c r="X82" s="142">
        <f t="shared" si="86"/>
        <v>0.03</v>
      </c>
      <c r="Y82" s="142">
        <f t="shared" si="86"/>
        <v>0.04</v>
      </c>
      <c r="Z82" s="142">
        <f t="shared" si="86"/>
        <v>0.06</v>
      </c>
    </row>
    <row r="83" spans="2:26" ht="15.75" customHeight="1">
      <c r="B83" s="73"/>
      <c r="C83" s="62" t="str">
        <f>C$11</f>
        <v>乳児</v>
      </c>
      <c r="D83" s="50">
        <f>D80</f>
        <v>18</v>
      </c>
      <c r="E83" s="54" t="str">
        <f>E$11</f>
        <v>D</v>
      </c>
      <c r="F83" s="52" t="str">
        <f t="shared" si="73"/>
        <v>18D</v>
      </c>
      <c r="G83" s="46">
        <v>1830</v>
      </c>
      <c r="H83" s="47">
        <v>2.9</v>
      </c>
      <c r="I83" s="46">
        <v>1790</v>
      </c>
      <c r="J83" s="47">
        <v>2.9</v>
      </c>
      <c r="K83" s="53">
        <f t="shared" ref="K83:P83" si="88">K$15</f>
        <v>0</v>
      </c>
      <c r="L83" s="64">
        <f t="shared" si="88"/>
        <v>0</v>
      </c>
      <c r="M83" s="53">
        <f t="shared" si="88"/>
        <v>0</v>
      </c>
      <c r="N83" s="64">
        <f t="shared" si="88"/>
        <v>0</v>
      </c>
      <c r="O83" s="53">
        <f t="shared" si="88"/>
        <v>0</v>
      </c>
      <c r="P83" s="64">
        <f t="shared" si="88"/>
        <v>0</v>
      </c>
      <c r="Q83" s="75"/>
      <c r="R83" s="75"/>
      <c r="S83" s="53">
        <f t="shared" si="86"/>
        <v>30</v>
      </c>
      <c r="T83" s="64">
        <f t="shared" si="86"/>
        <v>3.2</v>
      </c>
      <c r="U83" s="53">
        <f t="shared" si="86"/>
        <v>30</v>
      </c>
      <c r="V83" s="64">
        <f t="shared" si="86"/>
        <v>2.5</v>
      </c>
      <c r="W83" s="142">
        <f t="shared" si="86"/>
        <v>0.01</v>
      </c>
      <c r="X83" s="142">
        <f t="shared" si="86"/>
        <v>0.03</v>
      </c>
      <c r="Y83" s="142">
        <f t="shared" si="86"/>
        <v>0.04</v>
      </c>
      <c r="Z83" s="142">
        <f t="shared" si="86"/>
        <v>0.06</v>
      </c>
    </row>
    <row r="84" spans="2:26" ht="15.75" customHeight="1">
      <c r="B84" s="68" t="s">
        <v>78</v>
      </c>
      <c r="C84" s="55" t="str">
        <f>C$8</f>
        <v>４歳以上児</v>
      </c>
      <c r="D84" s="30">
        <v>19</v>
      </c>
      <c r="E84" s="34" t="str">
        <f>E$8</f>
        <v>A</v>
      </c>
      <c r="F84" s="69" t="str">
        <f t="shared" si="73"/>
        <v>19A</v>
      </c>
      <c r="G84" s="70">
        <v>320</v>
      </c>
      <c r="H84" s="71">
        <v>3.2</v>
      </c>
      <c r="I84" s="70">
        <v>290</v>
      </c>
      <c r="J84" s="71">
        <v>3.1</v>
      </c>
      <c r="K84" s="33">
        <f t="shared" ref="K84:P84" si="89">K$12</f>
        <v>0</v>
      </c>
      <c r="L84" s="72">
        <f t="shared" si="89"/>
        <v>0</v>
      </c>
      <c r="M84" s="33">
        <f t="shared" si="89"/>
        <v>30</v>
      </c>
      <c r="N84" s="72">
        <f t="shared" si="89"/>
        <v>3.7</v>
      </c>
      <c r="O84" s="33">
        <f t="shared" si="89"/>
        <v>0</v>
      </c>
      <c r="P84" s="72">
        <f t="shared" si="89"/>
        <v>0</v>
      </c>
      <c r="Q84" s="35"/>
      <c r="R84" s="35"/>
      <c r="S84" s="36">
        <v>30</v>
      </c>
      <c r="T84" s="56">
        <v>3</v>
      </c>
      <c r="U84" s="36">
        <v>30</v>
      </c>
      <c r="V84" s="56">
        <v>2.2999999999999998</v>
      </c>
      <c r="W84" s="143">
        <v>0.01</v>
      </c>
      <c r="X84" s="143">
        <v>0.03</v>
      </c>
      <c r="Y84" s="143">
        <v>0.04</v>
      </c>
      <c r="Z84" s="143">
        <v>0.06</v>
      </c>
    </row>
    <row r="85" spans="2:26" ht="15.75" customHeight="1">
      <c r="B85" s="28"/>
      <c r="C85" s="58" t="str">
        <f>C$9</f>
        <v>３歳児</v>
      </c>
      <c r="D85" s="38">
        <f>D84</f>
        <v>19</v>
      </c>
      <c r="E85" s="42" t="str">
        <f>E$9</f>
        <v>B</v>
      </c>
      <c r="F85" s="40" t="str">
        <f t="shared" si="73"/>
        <v>19B</v>
      </c>
      <c r="G85" s="43">
        <v>400</v>
      </c>
      <c r="H85" s="44">
        <v>3.1</v>
      </c>
      <c r="I85" s="43">
        <v>370</v>
      </c>
      <c r="J85" s="44">
        <v>3.1</v>
      </c>
      <c r="K85" s="41">
        <f t="shared" ref="K85:P85" si="90">K$13</f>
        <v>80</v>
      </c>
      <c r="L85" s="60">
        <f t="shared" si="90"/>
        <v>2.8</v>
      </c>
      <c r="M85" s="41">
        <f t="shared" si="90"/>
        <v>0</v>
      </c>
      <c r="N85" s="60">
        <f t="shared" si="90"/>
        <v>0</v>
      </c>
      <c r="O85" s="41">
        <f t="shared" si="90"/>
        <v>0</v>
      </c>
      <c r="P85" s="60">
        <f t="shared" si="90"/>
        <v>0</v>
      </c>
      <c r="Q85" s="74"/>
      <c r="R85" s="74"/>
      <c r="S85" s="41">
        <f t="shared" ref="S85:Z87" si="91">S$84</f>
        <v>30</v>
      </c>
      <c r="T85" s="60">
        <f t="shared" si="91"/>
        <v>3</v>
      </c>
      <c r="U85" s="41">
        <f t="shared" si="91"/>
        <v>30</v>
      </c>
      <c r="V85" s="60">
        <f t="shared" si="91"/>
        <v>2.2999999999999998</v>
      </c>
      <c r="W85" s="142">
        <f t="shared" si="91"/>
        <v>0.01</v>
      </c>
      <c r="X85" s="142">
        <f t="shared" si="91"/>
        <v>0.03</v>
      </c>
      <c r="Y85" s="142">
        <f t="shared" si="91"/>
        <v>0.04</v>
      </c>
      <c r="Z85" s="142">
        <f t="shared" si="91"/>
        <v>0.06</v>
      </c>
    </row>
    <row r="86" spans="2:26" ht="15.75" customHeight="1">
      <c r="B86" s="28"/>
      <c r="C86" s="58" t="str">
        <f>C$10</f>
        <v>１、２歳児</v>
      </c>
      <c r="D86" s="38">
        <f>D84</f>
        <v>19</v>
      </c>
      <c r="E86" s="42" t="str">
        <f>E$10</f>
        <v>C</v>
      </c>
      <c r="F86" s="40" t="str">
        <f t="shared" si="73"/>
        <v>19C</v>
      </c>
      <c r="G86" s="43">
        <v>990</v>
      </c>
      <c r="H86" s="44">
        <v>2.9</v>
      </c>
      <c r="I86" s="43">
        <v>950</v>
      </c>
      <c r="J86" s="44">
        <v>2.9</v>
      </c>
      <c r="K86" s="41">
        <f t="shared" ref="K86:P86" si="92">K$14</f>
        <v>0</v>
      </c>
      <c r="L86" s="60">
        <f t="shared" si="92"/>
        <v>0</v>
      </c>
      <c r="M86" s="41">
        <f t="shared" si="92"/>
        <v>0</v>
      </c>
      <c r="N86" s="60">
        <f t="shared" si="92"/>
        <v>0</v>
      </c>
      <c r="O86" s="41">
        <f t="shared" si="92"/>
        <v>160</v>
      </c>
      <c r="P86" s="60">
        <f t="shared" si="92"/>
        <v>2.8</v>
      </c>
      <c r="Q86" s="74"/>
      <c r="R86" s="74"/>
      <c r="S86" s="41">
        <f t="shared" si="91"/>
        <v>30</v>
      </c>
      <c r="T86" s="60">
        <f t="shared" si="91"/>
        <v>3</v>
      </c>
      <c r="U86" s="41">
        <f t="shared" si="91"/>
        <v>30</v>
      </c>
      <c r="V86" s="60">
        <f t="shared" si="91"/>
        <v>2.2999999999999998</v>
      </c>
      <c r="W86" s="142">
        <f t="shared" si="91"/>
        <v>0.01</v>
      </c>
      <c r="X86" s="142">
        <f t="shared" si="91"/>
        <v>0.03</v>
      </c>
      <c r="Y86" s="142">
        <f t="shared" si="91"/>
        <v>0.04</v>
      </c>
      <c r="Z86" s="142">
        <f t="shared" si="91"/>
        <v>0.06</v>
      </c>
    </row>
    <row r="87" spans="2:26" ht="15.75" customHeight="1">
      <c r="B87" s="73"/>
      <c r="C87" s="62" t="str">
        <f>C$11</f>
        <v>乳児</v>
      </c>
      <c r="D87" s="50">
        <f>D84</f>
        <v>19</v>
      </c>
      <c r="E87" s="54" t="str">
        <f>E$11</f>
        <v>D</v>
      </c>
      <c r="F87" s="52" t="str">
        <f t="shared" si="73"/>
        <v>19D</v>
      </c>
      <c r="G87" s="46">
        <v>1830</v>
      </c>
      <c r="H87" s="47">
        <v>2.9</v>
      </c>
      <c r="I87" s="46">
        <v>1790</v>
      </c>
      <c r="J87" s="47">
        <v>2.9</v>
      </c>
      <c r="K87" s="53">
        <f t="shared" ref="K87:P87" si="93">K$15</f>
        <v>0</v>
      </c>
      <c r="L87" s="64">
        <f t="shared" si="93"/>
        <v>0</v>
      </c>
      <c r="M87" s="53">
        <f t="shared" si="93"/>
        <v>0</v>
      </c>
      <c r="N87" s="64">
        <f t="shared" si="93"/>
        <v>0</v>
      </c>
      <c r="O87" s="53">
        <f t="shared" si="93"/>
        <v>0</v>
      </c>
      <c r="P87" s="64">
        <f t="shared" si="93"/>
        <v>0</v>
      </c>
      <c r="Q87" s="75"/>
      <c r="R87" s="75"/>
      <c r="S87" s="53">
        <f t="shared" si="91"/>
        <v>30</v>
      </c>
      <c r="T87" s="64">
        <f t="shared" si="91"/>
        <v>3</v>
      </c>
      <c r="U87" s="53">
        <f t="shared" si="91"/>
        <v>30</v>
      </c>
      <c r="V87" s="64">
        <f t="shared" si="91"/>
        <v>2.2999999999999998</v>
      </c>
      <c r="W87" s="142">
        <f t="shared" si="91"/>
        <v>0.01</v>
      </c>
      <c r="X87" s="142">
        <f t="shared" si="91"/>
        <v>0.03</v>
      </c>
      <c r="Y87" s="142">
        <f t="shared" si="91"/>
        <v>0.04</v>
      </c>
      <c r="Z87" s="142">
        <f t="shared" si="91"/>
        <v>0.06</v>
      </c>
    </row>
    <row r="88" spans="2:26" ht="15.75" customHeight="1">
      <c r="B88" s="68" t="s">
        <v>79</v>
      </c>
      <c r="C88" s="55" t="str">
        <f>C$8</f>
        <v>４歳以上児</v>
      </c>
      <c r="D88" s="30">
        <v>20</v>
      </c>
      <c r="E88" s="34" t="str">
        <f>E$8</f>
        <v>A</v>
      </c>
      <c r="F88" s="69" t="str">
        <f t="shared" si="73"/>
        <v>20A</v>
      </c>
      <c r="G88" s="70">
        <v>320</v>
      </c>
      <c r="H88" s="71">
        <v>3.1</v>
      </c>
      <c r="I88" s="70">
        <v>280</v>
      </c>
      <c r="J88" s="71">
        <v>3.2</v>
      </c>
      <c r="K88" s="33">
        <f t="shared" ref="K88:P88" si="94">K$12</f>
        <v>0</v>
      </c>
      <c r="L88" s="72">
        <f t="shared" si="94"/>
        <v>0</v>
      </c>
      <c r="M88" s="33">
        <f t="shared" si="94"/>
        <v>30</v>
      </c>
      <c r="N88" s="72">
        <f t="shared" si="94"/>
        <v>3.7</v>
      </c>
      <c r="O88" s="33">
        <f t="shared" si="94"/>
        <v>0</v>
      </c>
      <c r="P88" s="72">
        <f t="shared" si="94"/>
        <v>0</v>
      </c>
      <c r="Q88" s="35"/>
      <c r="R88" s="35"/>
      <c r="S88" s="36">
        <v>20</v>
      </c>
      <c r="T88" s="56">
        <v>4.2</v>
      </c>
      <c r="U88" s="36">
        <v>30</v>
      </c>
      <c r="V88" s="56">
        <v>2.2000000000000002</v>
      </c>
      <c r="W88" s="143">
        <v>0.01</v>
      </c>
      <c r="X88" s="143">
        <v>0.03</v>
      </c>
      <c r="Y88" s="143">
        <v>0.04</v>
      </c>
      <c r="Z88" s="143">
        <v>0.06</v>
      </c>
    </row>
    <row r="89" spans="2:26" ht="15.75" customHeight="1">
      <c r="B89" s="28"/>
      <c r="C89" s="58" t="str">
        <f>C$9</f>
        <v>３歳児</v>
      </c>
      <c r="D89" s="38">
        <f>D88</f>
        <v>20</v>
      </c>
      <c r="E89" s="42" t="str">
        <f>E$9</f>
        <v>B</v>
      </c>
      <c r="F89" s="40" t="str">
        <f t="shared" si="73"/>
        <v>20B</v>
      </c>
      <c r="G89" s="43">
        <v>400</v>
      </c>
      <c r="H89" s="44">
        <v>3</v>
      </c>
      <c r="I89" s="43">
        <v>360</v>
      </c>
      <c r="J89" s="44">
        <v>3.1</v>
      </c>
      <c r="K89" s="41">
        <f t="shared" ref="K89:P89" si="95">K$13</f>
        <v>80</v>
      </c>
      <c r="L89" s="60">
        <f t="shared" si="95"/>
        <v>2.8</v>
      </c>
      <c r="M89" s="41">
        <f t="shared" si="95"/>
        <v>0</v>
      </c>
      <c r="N89" s="60">
        <f t="shared" si="95"/>
        <v>0</v>
      </c>
      <c r="O89" s="41">
        <f t="shared" si="95"/>
        <v>0</v>
      </c>
      <c r="P89" s="60">
        <f t="shared" si="95"/>
        <v>0</v>
      </c>
      <c r="Q89" s="74"/>
      <c r="R89" s="74"/>
      <c r="S89" s="41">
        <f t="shared" ref="S89:Z91" si="96">S$88</f>
        <v>20</v>
      </c>
      <c r="T89" s="60">
        <f t="shared" si="96"/>
        <v>4.2</v>
      </c>
      <c r="U89" s="41">
        <f t="shared" si="96"/>
        <v>30</v>
      </c>
      <c r="V89" s="60">
        <f t="shared" si="96"/>
        <v>2.2000000000000002</v>
      </c>
      <c r="W89" s="142">
        <f t="shared" si="96"/>
        <v>0.01</v>
      </c>
      <c r="X89" s="142">
        <f t="shared" si="96"/>
        <v>0.03</v>
      </c>
      <c r="Y89" s="142">
        <f t="shared" si="96"/>
        <v>0.04</v>
      </c>
      <c r="Z89" s="142">
        <f t="shared" si="96"/>
        <v>0.06</v>
      </c>
    </row>
    <row r="90" spans="2:26" ht="15.75" customHeight="1">
      <c r="B90" s="28"/>
      <c r="C90" s="58" t="str">
        <f>C$10</f>
        <v>１、２歳児</v>
      </c>
      <c r="D90" s="38">
        <f>D88</f>
        <v>20</v>
      </c>
      <c r="E90" s="42" t="str">
        <f>E$10</f>
        <v>C</v>
      </c>
      <c r="F90" s="40" t="str">
        <f t="shared" si="73"/>
        <v>20C</v>
      </c>
      <c r="G90" s="43">
        <v>980</v>
      </c>
      <c r="H90" s="44">
        <v>2.9</v>
      </c>
      <c r="I90" s="43">
        <v>950</v>
      </c>
      <c r="J90" s="44">
        <v>2.9</v>
      </c>
      <c r="K90" s="41">
        <f t="shared" ref="K90:P90" si="97">K$14</f>
        <v>0</v>
      </c>
      <c r="L90" s="60">
        <f t="shared" si="97"/>
        <v>0</v>
      </c>
      <c r="M90" s="41">
        <f t="shared" si="97"/>
        <v>0</v>
      </c>
      <c r="N90" s="60">
        <f t="shared" si="97"/>
        <v>0</v>
      </c>
      <c r="O90" s="41">
        <f t="shared" si="97"/>
        <v>160</v>
      </c>
      <c r="P90" s="60">
        <f t="shared" si="97"/>
        <v>2.8</v>
      </c>
      <c r="Q90" s="74"/>
      <c r="R90" s="74"/>
      <c r="S90" s="41">
        <f t="shared" si="96"/>
        <v>20</v>
      </c>
      <c r="T90" s="60">
        <f t="shared" si="96"/>
        <v>4.2</v>
      </c>
      <c r="U90" s="41">
        <f t="shared" si="96"/>
        <v>30</v>
      </c>
      <c r="V90" s="60">
        <f t="shared" si="96"/>
        <v>2.2000000000000002</v>
      </c>
      <c r="W90" s="142">
        <f t="shared" si="96"/>
        <v>0.01</v>
      </c>
      <c r="X90" s="142">
        <f t="shared" si="96"/>
        <v>0.03</v>
      </c>
      <c r="Y90" s="142">
        <f t="shared" si="96"/>
        <v>0.04</v>
      </c>
      <c r="Z90" s="142">
        <f t="shared" si="96"/>
        <v>0.06</v>
      </c>
    </row>
    <row r="91" spans="2:26" ht="15.75" customHeight="1">
      <c r="B91" s="73"/>
      <c r="C91" s="62" t="str">
        <f>C$11</f>
        <v>乳児</v>
      </c>
      <c r="D91" s="50">
        <f>D88</f>
        <v>20</v>
      </c>
      <c r="E91" s="54" t="str">
        <f>E$11</f>
        <v>D</v>
      </c>
      <c r="F91" s="52" t="str">
        <f t="shared" si="73"/>
        <v>20D</v>
      </c>
      <c r="G91" s="46">
        <v>1820</v>
      </c>
      <c r="H91" s="47">
        <v>2.9</v>
      </c>
      <c r="I91" s="46">
        <v>1790</v>
      </c>
      <c r="J91" s="47">
        <v>2.9</v>
      </c>
      <c r="K91" s="53">
        <f t="shared" ref="K91:P91" si="98">K$15</f>
        <v>0</v>
      </c>
      <c r="L91" s="64">
        <f t="shared" si="98"/>
        <v>0</v>
      </c>
      <c r="M91" s="53">
        <f t="shared" si="98"/>
        <v>0</v>
      </c>
      <c r="N91" s="64">
        <f t="shared" si="98"/>
        <v>0</v>
      </c>
      <c r="O91" s="53">
        <f t="shared" si="98"/>
        <v>0</v>
      </c>
      <c r="P91" s="64">
        <f t="shared" si="98"/>
        <v>0</v>
      </c>
      <c r="Q91" s="75"/>
      <c r="R91" s="75"/>
      <c r="S91" s="53">
        <f t="shared" si="96"/>
        <v>20</v>
      </c>
      <c r="T91" s="64">
        <f t="shared" si="96"/>
        <v>4.2</v>
      </c>
      <c r="U91" s="53">
        <f t="shared" si="96"/>
        <v>30</v>
      </c>
      <c r="V91" s="64">
        <f t="shared" si="96"/>
        <v>2.2000000000000002</v>
      </c>
      <c r="W91" s="142">
        <f t="shared" si="96"/>
        <v>0.01</v>
      </c>
      <c r="X91" s="142">
        <f t="shared" si="96"/>
        <v>0.03</v>
      </c>
      <c r="Y91" s="142">
        <f t="shared" si="96"/>
        <v>0.04</v>
      </c>
      <c r="Z91" s="142">
        <f t="shared" si="96"/>
        <v>0.06</v>
      </c>
    </row>
    <row r="92" spans="2:26" ht="15.75" customHeight="1">
      <c r="B92" s="68" t="s">
        <v>80</v>
      </c>
      <c r="C92" s="55" t="str">
        <f>C$8</f>
        <v>４歳以上児</v>
      </c>
      <c r="D92" s="30">
        <v>21</v>
      </c>
      <c r="E92" s="34" t="str">
        <f>E$8</f>
        <v>A</v>
      </c>
      <c r="F92" s="69" t="str">
        <f t="shared" si="73"/>
        <v>21A</v>
      </c>
      <c r="G92" s="70">
        <v>310</v>
      </c>
      <c r="H92" s="71">
        <v>3.1</v>
      </c>
      <c r="I92" s="70">
        <v>280</v>
      </c>
      <c r="J92" s="71">
        <v>3.1</v>
      </c>
      <c r="K92" s="33">
        <f t="shared" ref="K92:P92" si="99">K$12</f>
        <v>0</v>
      </c>
      <c r="L92" s="72">
        <f t="shared" si="99"/>
        <v>0</v>
      </c>
      <c r="M92" s="33">
        <f t="shared" si="99"/>
        <v>30</v>
      </c>
      <c r="N92" s="72">
        <f t="shared" si="99"/>
        <v>3.7</v>
      </c>
      <c r="O92" s="33">
        <f t="shared" si="99"/>
        <v>0</v>
      </c>
      <c r="P92" s="72">
        <f t="shared" si="99"/>
        <v>0</v>
      </c>
      <c r="Q92" s="35"/>
      <c r="R92" s="35"/>
      <c r="S92" s="36">
        <v>20</v>
      </c>
      <c r="T92" s="56">
        <v>4</v>
      </c>
      <c r="U92" s="36">
        <v>30</v>
      </c>
      <c r="V92" s="56">
        <v>2</v>
      </c>
      <c r="W92" s="143">
        <v>0.01</v>
      </c>
      <c r="X92" s="143">
        <v>0.03</v>
      </c>
      <c r="Y92" s="143">
        <v>0.04</v>
      </c>
      <c r="Z92" s="143">
        <v>0.06</v>
      </c>
    </row>
    <row r="93" spans="2:26" ht="15.75" customHeight="1">
      <c r="B93" s="28"/>
      <c r="C93" s="58" t="str">
        <f>C$9</f>
        <v>３歳児</v>
      </c>
      <c r="D93" s="38">
        <f>D92</f>
        <v>21</v>
      </c>
      <c r="E93" s="42" t="str">
        <f>E$9</f>
        <v>B</v>
      </c>
      <c r="F93" s="40" t="str">
        <f t="shared" si="73"/>
        <v>21B</v>
      </c>
      <c r="G93" s="43">
        <v>390</v>
      </c>
      <c r="H93" s="44">
        <v>3</v>
      </c>
      <c r="I93" s="43">
        <v>360</v>
      </c>
      <c r="J93" s="44">
        <v>3</v>
      </c>
      <c r="K93" s="41">
        <f t="shared" ref="K93:P93" si="100">K$13</f>
        <v>80</v>
      </c>
      <c r="L93" s="60">
        <f t="shared" si="100"/>
        <v>2.8</v>
      </c>
      <c r="M93" s="41">
        <f t="shared" si="100"/>
        <v>0</v>
      </c>
      <c r="N93" s="60">
        <f t="shared" si="100"/>
        <v>0</v>
      </c>
      <c r="O93" s="41">
        <f t="shared" si="100"/>
        <v>0</v>
      </c>
      <c r="P93" s="60">
        <f t="shared" si="100"/>
        <v>0</v>
      </c>
      <c r="Q93" s="74"/>
      <c r="R93" s="74"/>
      <c r="S93" s="41">
        <f t="shared" ref="S93:Z95" si="101">S$92</f>
        <v>20</v>
      </c>
      <c r="T93" s="60">
        <f t="shared" si="101"/>
        <v>4</v>
      </c>
      <c r="U93" s="41">
        <f t="shared" si="101"/>
        <v>30</v>
      </c>
      <c r="V93" s="60">
        <f t="shared" si="101"/>
        <v>2</v>
      </c>
      <c r="W93" s="142">
        <f t="shared" si="101"/>
        <v>0.01</v>
      </c>
      <c r="X93" s="142">
        <f t="shared" si="101"/>
        <v>0.03</v>
      </c>
      <c r="Y93" s="142">
        <f t="shared" si="101"/>
        <v>0.04</v>
      </c>
      <c r="Z93" s="142">
        <f t="shared" si="101"/>
        <v>0.06</v>
      </c>
    </row>
    <row r="94" spans="2:26" ht="15.75" customHeight="1">
      <c r="B94" s="28"/>
      <c r="C94" s="58" t="str">
        <f>C$10</f>
        <v>１、２歳児</v>
      </c>
      <c r="D94" s="38">
        <f>D92</f>
        <v>21</v>
      </c>
      <c r="E94" s="42" t="str">
        <f>E$10</f>
        <v>C</v>
      </c>
      <c r="F94" s="40" t="str">
        <f t="shared" si="73"/>
        <v>21C</v>
      </c>
      <c r="G94" s="43">
        <v>970</v>
      </c>
      <c r="H94" s="44">
        <v>2.9</v>
      </c>
      <c r="I94" s="43">
        <v>940</v>
      </c>
      <c r="J94" s="44">
        <v>2.9</v>
      </c>
      <c r="K94" s="41">
        <f t="shared" ref="K94:P94" si="102">K$14</f>
        <v>0</v>
      </c>
      <c r="L94" s="60">
        <f t="shared" si="102"/>
        <v>0</v>
      </c>
      <c r="M94" s="41">
        <f t="shared" si="102"/>
        <v>0</v>
      </c>
      <c r="N94" s="60">
        <f t="shared" si="102"/>
        <v>0</v>
      </c>
      <c r="O94" s="41">
        <f t="shared" si="102"/>
        <v>160</v>
      </c>
      <c r="P94" s="60">
        <f t="shared" si="102"/>
        <v>2.8</v>
      </c>
      <c r="Q94" s="74"/>
      <c r="R94" s="74"/>
      <c r="S94" s="41">
        <f t="shared" si="101"/>
        <v>20</v>
      </c>
      <c r="T94" s="60">
        <f t="shared" si="101"/>
        <v>4</v>
      </c>
      <c r="U94" s="41">
        <f t="shared" si="101"/>
        <v>30</v>
      </c>
      <c r="V94" s="60">
        <f t="shared" si="101"/>
        <v>2</v>
      </c>
      <c r="W94" s="142">
        <f t="shared" si="101"/>
        <v>0.01</v>
      </c>
      <c r="X94" s="142">
        <f t="shared" si="101"/>
        <v>0.03</v>
      </c>
      <c r="Y94" s="142">
        <f t="shared" si="101"/>
        <v>0.04</v>
      </c>
      <c r="Z94" s="142">
        <f t="shared" si="101"/>
        <v>0.06</v>
      </c>
    </row>
    <row r="95" spans="2:26" ht="15.75" customHeight="1">
      <c r="B95" s="73"/>
      <c r="C95" s="62" t="str">
        <f>C$11</f>
        <v>乳児</v>
      </c>
      <c r="D95" s="50">
        <f>D92</f>
        <v>21</v>
      </c>
      <c r="E95" s="54" t="str">
        <f>E$11</f>
        <v>D</v>
      </c>
      <c r="F95" s="76" t="str">
        <f t="shared" si="73"/>
        <v>21D</v>
      </c>
      <c r="G95" s="77">
        <v>1810</v>
      </c>
      <c r="H95" s="78">
        <v>2.9</v>
      </c>
      <c r="I95" s="77">
        <v>1780</v>
      </c>
      <c r="J95" s="78">
        <v>2.9</v>
      </c>
      <c r="K95" s="79">
        <f t="shared" ref="K95:P95" si="103">K$15</f>
        <v>0</v>
      </c>
      <c r="L95" s="80">
        <f t="shared" si="103"/>
        <v>0</v>
      </c>
      <c r="M95" s="79">
        <f t="shared" si="103"/>
        <v>0</v>
      </c>
      <c r="N95" s="80">
        <f t="shared" si="103"/>
        <v>0</v>
      </c>
      <c r="O95" s="79">
        <f t="shared" si="103"/>
        <v>0</v>
      </c>
      <c r="P95" s="80">
        <f t="shared" si="103"/>
        <v>0</v>
      </c>
      <c r="Q95" s="81"/>
      <c r="R95" s="81"/>
      <c r="S95" s="79">
        <f t="shared" si="101"/>
        <v>20</v>
      </c>
      <c r="T95" s="80">
        <f t="shared" si="101"/>
        <v>4</v>
      </c>
      <c r="U95" s="79">
        <f t="shared" si="101"/>
        <v>30</v>
      </c>
      <c r="V95" s="80">
        <f t="shared" si="101"/>
        <v>2</v>
      </c>
      <c r="W95" s="142">
        <f t="shared" si="101"/>
        <v>0.01</v>
      </c>
      <c r="X95" s="142">
        <f t="shared" si="101"/>
        <v>0.03</v>
      </c>
      <c r="Y95" s="142">
        <f t="shared" si="101"/>
        <v>0.04</v>
      </c>
      <c r="Z95" s="142">
        <f t="shared" si="101"/>
        <v>0.06</v>
      </c>
    </row>
  </sheetData>
  <sheetProtection algorithmName="SHA-512" hashValue="1T1frO8rQM9/TrlmZe6ZChaRzvRae4p7A8uEcbW8Y8bepw3ylv4LBNFWml/k0sjGtz6V/yommpsINiGKiOj85g==" saltValue="DBQ31z/qemMJJJ1HX+b9aw==" spinCount="100000" sheet="1" objects="1" scenarios="1"/>
  <phoneticPr fontId="6"/>
  <pageMargins left="0.70866141732283472" right="0.70866141732283472" top="0.74803149606299213" bottom="0.74803149606299213" header="0.31496062992125984" footer="0.31496062992125984"/>
  <pageSetup paperSize="9" scale="32" orientation="landscape" r:id="rId1"/>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50BB-E61C-4E85-AC30-0DACA483535F}">
  <sheetPr>
    <tabColor theme="2" tint="-9.9978637043366805E-2"/>
  </sheetPr>
  <dimension ref="A1:F11"/>
  <sheetViews>
    <sheetView workbookViewId="0"/>
  </sheetViews>
  <sheetFormatPr defaultRowHeight="12.75"/>
  <cols>
    <col min="1" max="1" width="18.875" style="426" bestFit="1" customWidth="1"/>
    <col min="2" max="5" width="9" style="426"/>
    <col min="6" max="6" width="61.625" style="426" bestFit="1" customWidth="1"/>
    <col min="7" max="16384" width="9" style="426"/>
  </cols>
  <sheetData>
    <row r="1" spans="1:6" s="83" customFormat="1">
      <c r="A1" s="83" t="s">
        <v>358</v>
      </c>
      <c r="B1" s="83" t="s">
        <v>357</v>
      </c>
      <c r="C1" s="83" t="s">
        <v>356</v>
      </c>
      <c r="D1" s="83" t="s">
        <v>355</v>
      </c>
      <c r="E1" s="83" t="s">
        <v>354</v>
      </c>
      <c r="F1" s="83" t="s">
        <v>353</v>
      </c>
    </row>
    <row r="2" spans="1:6">
      <c r="A2" s="426" t="s">
        <v>352</v>
      </c>
      <c r="B2" s="426" t="s">
        <v>351</v>
      </c>
      <c r="C2" s="426" t="s">
        <v>321</v>
      </c>
      <c r="D2" s="426" t="s">
        <v>319</v>
      </c>
      <c r="E2" s="426" t="s">
        <v>317</v>
      </c>
      <c r="F2" s="426" t="s">
        <v>359</v>
      </c>
    </row>
    <row r="3" spans="1:6">
      <c r="A3" s="426" t="s">
        <v>350</v>
      </c>
      <c r="B3" s="426" t="s">
        <v>349</v>
      </c>
      <c r="C3" s="426" t="s">
        <v>348</v>
      </c>
      <c r="D3" s="426" t="s">
        <v>347</v>
      </c>
      <c r="E3" s="426" t="s">
        <v>346</v>
      </c>
      <c r="F3" s="426" t="s">
        <v>345</v>
      </c>
    </row>
    <row r="4" spans="1:6">
      <c r="A4" s="426" t="s">
        <v>332</v>
      </c>
    </row>
    <row r="5" spans="1:6">
      <c r="A5" s="426" t="s">
        <v>344</v>
      </c>
    </row>
    <row r="6" spans="1:6">
      <c r="A6" s="426" t="s">
        <v>343</v>
      </c>
    </row>
    <row r="7" spans="1:6">
      <c r="A7" s="426" t="s">
        <v>342</v>
      </c>
    </row>
    <row r="8" spans="1:6">
      <c r="A8" s="426" t="s">
        <v>341</v>
      </c>
    </row>
    <row r="9" spans="1:6">
      <c r="A9" s="426" t="s">
        <v>340</v>
      </c>
    </row>
    <row r="10" spans="1:6">
      <c r="A10" s="426" t="s">
        <v>339</v>
      </c>
    </row>
    <row r="11" spans="1:6">
      <c r="A11" s="426" t="s">
        <v>338</v>
      </c>
    </row>
  </sheetData>
  <sheetProtection algorithmName="SHA-512" hashValue="vBMWIbLOKXs9BrC4dRVALLK3nmVHSeR2LUzYsYcgHBlw2fTz8IExHowsJe3YVmd/zWkDtu9oWPVzIn2aOMW1oA==" saltValue="MME6cCcU2wbmeGb0S7XrRQ==" spinCount="100000" sheet="1" objects="1" scenarios="1"/>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L23"/>
  <sheetViews>
    <sheetView zoomScaleNormal="100" workbookViewId="0"/>
  </sheetViews>
  <sheetFormatPr defaultRowHeight="12.75"/>
  <cols>
    <col min="1" max="1" width="13" style="84" bestFit="1" customWidth="1"/>
    <col min="2" max="3" width="7" style="84" bestFit="1" customWidth="1"/>
    <col min="4" max="4" width="28" style="84" bestFit="1" customWidth="1"/>
    <col min="5" max="5" width="7" style="84" bestFit="1" customWidth="1"/>
    <col min="6" max="6" width="11" style="84" bestFit="1" customWidth="1"/>
    <col min="7" max="7" width="8.25" style="84" bestFit="1" customWidth="1"/>
    <col min="8" max="8" width="11" style="84" customWidth="1"/>
    <col min="9" max="10" width="7.125" style="84" bestFit="1" customWidth="1"/>
    <col min="11" max="16384" width="9" style="84"/>
  </cols>
  <sheetData>
    <row r="1" spans="1:12" s="83" customFormat="1">
      <c r="A1" s="83" t="s">
        <v>81</v>
      </c>
      <c r="B1" s="83" t="s">
        <v>82</v>
      </c>
      <c r="C1" s="83" t="s">
        <v>118</v>
      </c>
      <c r="D1" s="83" t="s">
        <v>119</v>
      </c>
      <c r="E1" s="83" t="s">
        <v>120</v>
      </c>
      <c r="F1" s="83" t="s">
        <v>148</v>
      </c>
      <c r="G1" s="83" t="s">
        <v>185</v>
      </c>
      <c r="H1" s="83" t="s">
        <v>186</v>
      </c>
      <c r="I1" s="83" t="s">
        <v>137</v>
      </c>
      <c r="J1" s="83" t="s">
        <v>138</v>
      </c>
      <c r="K1" s="83" t="s">
        <v>218</v>
      </c>
      <c r="L1" s="83" t="s">
        <v>219</v>
      </c>
    </row>
    <row r="2" spans="1:12">
      <c r="A2" s="84" t="s">
        <v>85</v>
      </c>
      <c r="B2" s="84" t="s">
        <v>83</v>
      </c>
      <c r="C2" s="84" t="s">
        <v>115</v>
      </c>
      <c r="D2" s="84" t="s">
        <v>121</v>
      </c>
      <c r="E2" s="84" t="s">
        <v>123</v>
      </c>
      <c r="F2" s="84" t="s">
        <v>149</v>
      </c>
      <c r="G2" s="84">
        <v>1</v>
      </c>
      <c r="H2" s="84" t="s">
        <v>187</v>
      </c>
      <c r="I2" s="84">
        <v>1</v>
      </c>
      <c r="J2" s="84">
        <v>1</v>
      </c>
      <c r="K2" s="84">
        <v>12</v>
      </c>
      <c r="L2" s="84">
        <v>7</v>
      </c>
    </row>
    <row r="3" spans="1:12">
      <c r="A3" s="84" t="s">
        <v>86</v>
      </c>
      <c r="B3" s="84" t="s">
        <v>84</v>
      </c>
      <c r="D3" s="84" t="s">
        <v>122</v>
      </c>
      <c r="E3" s="84" t="s">
        <v>124</v>
      </c>
      <c r="F3" s="84" t="s">
        <v>150</v>
      </c>
      <c r="G3" s="84">
        <v>2</v>
      </c>
      <c r="H3" s="84" t="s">
        <v>188</v>
      </c>
      <c r="I3" s="84">
        <v>21</v>
      </c>
      <c r="J3" s="84">
        <v>2</v>
      </c>
      <c r="K3" s="84">
        <v>12</v>
      </c>
      <c r="L3" s="84">
        <v>6</v>
      </c>
    </row>
    <row r="4" spans="1:12">
      <c r="A4" s="84" t="s">
        <v>87</v>
      </c>
      <c r="E4" s="84" t="s">
        <v>125</v>
      </c>
      <c r="F4" s="84" t="s">
        <v>151</v>
      </c>
      <c r="H4" s="84" t="s">
        <v>189</v>
      </c>
      <c r="I4" s="84">
        <f t="shared" ref="I4:I11" si="0">I3+5</f>
        <v>26</v>
      </c>
      <c r="J4" s="84">
        <v>3</v>
      </c>
      <c r="K4" s="84">
        <v>11</v>
      </c>
      <c r="L4" s="84">
        <v>6</v>
      </c>
    </row>
    <row r="5" spans="1:12">
      <c r="A5" s="84" t="s">
        <v>88</v>
      </c>
      <c r="F5" s="84" t="s">
        <v>152</v>
      </c>
      <c r="H5" s="84" t="s">
        <v>190</v>
      </c>
      <c r="I5" s="84">
        <f t="shared" si="0"/>
        <v>31</v>
      </c>
      <c r="J5" s="84">
        <v>4</v>
      </c>
      <c r="K5" s="84">
        <v>10</v>
      </c>
      <c r="L5" s="84">
        <v>6</v>
      </c>
    </row>
    <row r="6" spans="1:12">
      <c r="A6" s="84" t="s">
        <v>89</v>
      </c>
      <c r="F6" s="84" t="s">
        <v>153</v>
      </c>
      <c r="I6" s="84">
        <f t="shared" si="0"/>
        <v>36</v>
      </c>
      <c r="J6" s="84">
        <v>5</v>
      </c>
      <c r="K6" s="84">
        <v>9</v>
      </c>
      <c r="L6" s="84">
        <v>6</v>
      </c>
    </row>
    <row r="7" spans="1:12">
      <c r="A7" s="84" t="s">
        <v>90</v>
      </c>
      <c r="F7" s="84" t="s">
        <v>154</v>
      </c>
      <c r="I7" s="84">
        <f t="shared" si="0"/>
        <v>41</v>
      </c>
      <c r="J7" s="84">
        <v>6</v>
      </c>
      <c r="K7" s="84">
        <v>8</v>
      </c>
      <c r="L7" s="84">
        <v>6</v>
      </c>
    </row>
    <row r="8" spans="1:12">
      <c r="A8" s="84" t="s">
        <v>91</v>
      </c>
      <c r="F8" s="84" t="s">
        <v>155</v>
      </c>
      <c r="I8" s="84">
        <f t="shared" si="0"/>
        <v>46</v>
      </c>
      <c r="J8" s="84">
        <v>7</v>
      </c>
      <c r="K8" s="84">
        <v>7</v>
      </c>
      <c r="L8" s="84">
        <v>6</v>
      </c>
    </row>
    <row r="9" spans="1:12">
      <c r="A9" s="84" t="s">
        <v>92</v>
      </c>
      <c r="F9" s="84" t="s">
        <v>156</v>
      </c>
      <c r="I9" s="84">
        <f t="shared" si="0"/>
        <v>51</v>
      </c>
      <c r="J9" s="84">
        <v>8</v>
      </c>
      <c r="K9" s="84">
        <v>6</v>
      </c>
      <c r="L9" s="84">
        <v>6</v>
      </c>
    </row>
    <row r="10" spans="1:12">
      <c r="A10" s="84" t="s">
        <v>93</v>
      </c>
      <c r="F10" s="84" t="s">
        <v>157</v>
      </c>
      <c r="I10" s="84">
        <f t="shared" si="0"/>
        <v>56</v>
      </c>
      <c r="J10" s="84">
        <v>9</v>
      </c>
      <c r="K10" s="84">
        <v>5</v>
      </c>
      <c r="L10" s="84">
        <v>6</v>
      </c>
    </row>
    <row r="11" spans="1:12">
      <c r="A11" s="84" t="s">
        <v>94</v>
      </c>
      <c r="F11" s="84" t="s">
        <v>158</v>
      </c>
      <c r="I11" s="84">
        <f t="shared" si="0"/>
        <v>61</v>
      </c>
      <c r="J11" s="84">
        <v>10</v>
      </c>
      <c r="K11" s="84">
        <v>4</v>
      </c>
      <c r="L11" s="84">
        <v>6</v>
      </c>
    </row>
    <row r="12" spans="1:12">
      <c r="A12" s="84" t="s">
        <v>95</v>
      </c>
      <c r="F12" s="84" t="s">
        <v>159</v>
      </c>
      <c r="I12" s="84">
        <f t="shared" ref="I12:I23" si="1">I11+10</f>
        <v>71</v>
      </c>
      <c r="J12" s="84">
        <v>11</v>
      </c>
      <c r="K12" s="84">
        <v>3</v>
      </c>
      <c r="L12" s="84">
        <v>6</v>
      </c>
    </row>
    <row r="13" spans="1:12">
      <c r="A13" s="84" t="s">
        <v>96</v>
      </c>
      <c r="F13" s="84" t="s">
        <v>160</v>
      </c>
      <c r="I13" s="84">
        <f t="shared" si="1"/>
        <v>81</v>
      </c>
      <c r="J13" s="84">
        <v>12</v>
      </c>
      <c r="K13" s="84">
        <v>2</v>
      </c>
      <c r="L13" s="84">
        <v>6</v>
      </c>
    </row>
    <row r="14" spans="1:12">
      <c r="F14" s="84" t="s">
        <v>161</v>
      </c>
      <c r="I14" s="84">
        <f t="shared" si="1"/>
        <v>91</v>
      </c>
      <c r="J14" s="84">
        <v>13</v>
      </c>
    </row>
    <row r="15" spans="1:12">
      <c r="F15" s="84" t="s">
        <v>162</v>
      </c>
      <c r="I15" s="84">
        <f t="shared" si="1"/>
        <v>101</v>
      </c>
      <c r="J15" s="84">
        <v>14</v>
      </c>
    </row>
    <row r="16" spans="1:12">
      <c r="I16" s="84">
        <f t="shared" si="1"/>
        <v>111</v>
      </c>
      <c r="J16" s="84">
        <v>15</v>
      </c>
    </row>
    <row r="17" spans="9:10">
      <c r="I17" s="84">
        <f t="shared" si="1"/>
        <v>121</v>
      </c>
      <c r="J17" s="84">
        <v>16</v>
      </c>
    </row>
    <row r="18" spans="9:10">
      <c r="I18" s="84">
        <f t="shared" si="1"/>
        <v>131</v>
      </c>
      <c r="J18" s="84">
        <v>17</v>
      </c>
    </row>
    <row r="19" spans="9:10">
      <c r="I19" s="84">
        <f t="shared" si="1"/>
        <v>141</v>
      </c>
      <c r="J19" s="84">
        <v>18</v>
      </c>
    </row>
    <row r="20" spans="9:10">
      <c r="I20" s="84">
        <f t="shared" si="1"/>
        <v>151</v>
      </c>
      <c r="J20" s="84">
        <v>19</v>
      </c>
    </row>
    <row r="21" spans="9:10">
      <c r="I21" s="84">
        <f t="shared" si="1"/>
        <v>161</v>
      </c>
      <c r="J21" s="84">
        <v>20</v>
      </c>
    </row>
    <row r="22" spans="9:10">
      <c r="I22" s="84">
        <f t="shared" si="1"/>
        <v>171</v>
      </c>
      <c r="J22" s="84">
        <v>21</v>
      </c>
    </row>
    <row r="23" spans="9:10">
      <c r="I23" s="84">
        <f t="shared" si="1"/>
        <v>181</v>
      </c>
      <c r="J23" s="84">
        <v>21</v>
      </c>
    </row>
  </sheetData>
  <sheetProtection algorithmName="SHA-512" hashValue="P1nngE4NIWV0XKuk4IHZ9c6geFnQta3ZgVMhrPQTqxuTi4MnddgCalhBypMvpko8e3EXtMZnob63q4+xNb6hRw==" saltValue="tbYbEYtF0+s8ufi4Fiyh/w==" spinCount="100000" sheet="1" objects="1" scenarios="1"/>
  <phoneticPr fontId="4"/>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0B50-BD7C-4039-8F94-73A6FF752FA7}">
  <dimension ref="A1:BI2"/>
  <sheetViews>
    <sheetView zoomScale="85" zoomScaleNormal="85" workbookViewId="0"/>
  </sheetViews>
  <sheetFormatPr defaultRowHeight="18.75"/>
  <cols>
    <col min="1" max="61" width="5.25" customWidth="1"/>
  </cols>
  <sheetData>
    <row r="1" spans="1:61" ht="163.5" customHeight="1">
      <c r="A1" s="738" t="s">
        <v>666</v>
      </c>
      <c r="B1" s="738" t="s">
        <v>667</v>
      </c>
      <c r="C1" s="738" t="s">
        <v>668</v>
      </c>
      <c r="D1" s="738" t="s">
        <v>669</v>
      </c>
      <c r="E1" s="738" t="s">
        <v>670</v>
      </c>
      <c r="F1" s="738" t="s">
        <v>671</v>
      </c>
      <c r="G1" s="738" t="s">
        <v>672</v>
      </c>
      <c r="H1" s="738" t="s">
        <v>673</v>
      </c>
      <c r="I1" s="738" t="s">
        <v>674</v>
      </c>
      <c r="J1" s="738" t="s">
        <v>675</v>
      </c>
      <c r="K1" s="738" t="s">
        <v>676</v>
      </c>
      <c r="L1" s="738" t="s">
        <v>677</v>
      </c>
      <c r="M1" s="738" t="s">
        <v>678</v>
      </c>
      <c r="N1" s="738" t="s">
        <v>679</v>
      </c>
      <c r="O1" s="738" t="s">
        <v>680</v>
      </c>
      <c r="P1" s="738" t="s">
        <v>681</v>
      </c>
      <c r="Q1" s="738" t="s">
        <v>682</v>
      </c>
      <c r="R1" s="738" t="s">
        <v>683</v>
      </c>
      <c r="S1" s="738" t="s">
        <v>684</v>
      </c>
      <c r="T1" s="738" t="s">
        <v>685</v>
      </c>
      <c r="U1" s="738" t="s">
        <v>686</v>
      </c>
      <c r="V1" s="738" t="s">
        <v>687</v>
      </c>
      <c r="W1" s="738" t="s">
        <v>688</v>
      </c>
      <c r="X1" s="738" t="s">
        <v>689</v>
      </c>
      <c r="Y1" s="738" t="s">
        <v>690</v>
      </c>
      <c r="Z1" s="738" t="s">
        <v>691</v>
      </c>
      <c r="AA1" s="738" t="s">
        <v>692</v>
      </c>
      <c r="AB1" s="738" t="s">
        <v>693</v>
      </c>
      <c r="AC1" s="738" t="s">
        <v>694</v>
      </c>
      <c r="AD1" s="738" t="s">
        <v>695</v>
      </c>
      <c r="AE1" s="738" t="s">
        <v>696</v>
      </c>
      <c r="AF1" s="738" t="s">
        <v>697</v>
      </c>
      <c r="AG1" s="738" t="s">
        <v>698</v>
      </c>
      <c r="AH1" s="738" t="s">
        <v>699</v>
      </c>
      <c r="AI1" s="738" t="s">
        <v>700</v>
      </c>
      <c r="AJ1" s="738" t="s">
        <v>701</v>
      </c>
      <c r="AK1" s="738" t="s">
        <v>702</v>
      </c>
      <c r="AL1" s="738" t="s">
        <v>703</v>
      </c>
      <c r="AM1" s="738" t="s">
        <v>704</v>
      </c>
      <c r="AN1" s="738" t="s">
        <v>705</v>
      </c>
      <c r="AO1" s="738" t="s">
        <v>706</v>
      </c>
      <c r="AP1" s="738" t="s">
        <v>707</v>
      </c>
      <c r="AQ1" s="738" t="s">
        <v>708</v>
      </c>
      <c r="AR1" s="738" t="s">
        <v>709</v>
      </c>
      <c r="AS1" s="738" t="s">
        <v>710</v>
      </c>
      <c r="AT1" s="738" t="s">
        <v>711</v>
      </c>
      <c r="AU1" s="738" t="s">
        <v>712</v>
      </c>
      <c r="AV1" s="738" t="s">
        <v>713</v>
      </c>
      <c r="AW1" s="738" t="s">
        <v>714</v>
      </c>
      <c r="AX1" s="738" t="s">
        <v>715</v>
      </c>
      <c r="AY1" s="738" t="s">
        <v>716</v>
      </c>
      <c r="AZ1" s="738" t="s">
        <v>717</v>
      </c>
      <c r="BA1" s="738" t="s">
        <v>718</v>
      </c>
      <c r="BB1" s="738" t="s">
        <v>719</v>
      </c>
      <c r="BC1" s="738" t="s">
        <v>720</v>
      </c>
      <c r="BD1" s="738" t="s">
        <v>721</v>
      </c>
      <c r="BE1" s="738" t="s">
        <v>722</v>
      </c>
      <c r="BF1" s="738" t="s">
        <v>723</v>
      </c>
      <c r="BG1" s="738" t="s">
        <v>724</v>
      </c>
      <c r="BH1" s="738" t="s">
        <v>725</v>
      </c>
      <c r="BI1" s="738" t="s">
        <v>726</v>
      </c>
    </row>
    <row r="2" spans="1:61">
      <c r="A2" s="739">
        <f>'0_基本情報'!$D$3</f>
        <v>0</v>
      </c>
      <c r="B2" s="739">
        <f>'0_基本情報'!$D$4</f>
        <v>0</v>
      </c>
      <c r="C2" s="739">
        <f>'0_基本情報'!$D$5</f>
        <v>0</v>
      </c>
      <c r="D2" s="739" t="str">
        <f>IF('0_基本情報'!$D$9='【リスト】 (2)'!$B$2,"○","")</f>
        <v/>
      </c>
      <c r="E2" s="739" t="str">
        <f>IF('0_基本情報'!$D$11='【リスト】 (2)'!$B$2,"○","")</f>
        <v/>
      </c>
      <c r="F2" s="739" t="str">
        <f>IF('0_基本情報'!$D$15='【リスト】 (2)'!$B$2,"○","")</f>
        <v/>
      </c>
      <c r="G2" s="739" t="str">
        <f>IF('0_基本情報'!$D$19='【リスト】 (2)'!$B$2,"○","")</f>
        <v/>
      </c>
      <c r="H2" s="739" t="str">
        <f>IF('0_基本情報'!$D$24='【リスト】 (2)'!$C$2,"○","")</f>
        <v/>
      </c>
      <c r="I2" s="739" t="str">
        <f>IF('0_基本情報'!$D$25='【リスト】 (2)'!$C$2,"○","")</f>
        <v/>
      </c>
      <c r="J2" s="739" t="str">
        <f>IF('0_基本情報'!$D$26='【リスト】 (2)'!$C$2,"○","")</f>
        <v/>
      </c>
      <c r="K2" s="739" t="str">
        <f>IF('0_基本情報'!$B$35='【リスト】 (2)'!$F$2,"○","")</f>
        <v/>
      </c>
      <c r="L2" s="739" t="str">
        <f>'0_基本情報'!$H$36</f>
        <v>-</v>
      </c>
      <c r="M2" s="739" t="str">
        <f>'0_基本情報'!$H$37</f>
        <v>-</v>
      </c>
      <c r="N2" s="739" t="str">
        <f>'0_基本情報'!$H$38</f>
        <v>-</v>
      </c>
      <c r="O2" s="739" t="str">
        <f>'0_基本情報'!$H$39</f>
        <v>-</v>
      </c>
      <c r="P2" s="739" t="str">
        <f>'0_基本情報'!$H$40</f>
        <v>-</v>
      </c>
      <c r="Q2" s="739" t="str">
        <f>'0_基本情報'!$H$41</f>
        <v>-</v>
      </c>
      <c r="R2" s="739" t="str">
        <f>'0_基本情報'!$H$42</f>
        <v>-</v>
      </c>
      <c r="S2" s="739" t="str">
        <f>'0_基本情報'!$H$43</f>
        <v>-</v>
      </c>
      <c r="T2" s="739" t="str">
        <f>'0_基本情報'!$H$46</f>
        <v>-</v>
      </c>
      <c r="U2" s="739" t="str">
        <f>'0_基本情報'!$H$47</f>
        <v>-</v>
      </c>
      <c r="V2" s="739" t="e">
        <f>【参考】計算結果!$D$5</f>
        <v>#N/A</v>
      </c>
      <c r="W2" s="739" t="e">
        <f>【参考】計算結果!$D$6</f>
        <v>#N/A</v>
      </c>
      <c r="X2" s="739" t="e">
        <f>【参考】計算結果!$D$9</f>
        <v>#N/A</v>
      </c>
      <c r="Y2" s="739" t="e">
        <f>【参考】計算結果!$D$10</f>
        <v>#N/A</v>
      </c>
      <c r="Z2" s="739" t="e">
        <f>【参考】計算結果!$D$13</f>
        <v>#N/A</v>
      </c>
      <c r="AA2" s="739" t="e">
        <f>【参考】計算結果!$D$14</f>
        <v>#N/A</v>
      </c>
      <c r="AB2" s="739">
        <f>【参考】計算結果!$D$19</f>
        <v>0</v>
      </c>
      <c r="AC2" s="739">
        <f>【参考】計算結果!$D$20</f>
        <v>0</v>
      </c>
      <c r="AD2" s="739" t="str">
        <f>【参考】計算結果!$D$17</f>
        <v>実人数を入力してください。</v>
      </c>
      <c r="AE2" s="739" t="str">
        <f>【参考】計算結果!$D$18</f>
        <v>実人数を入力してください。</v>
      </c>
      <c r="AF2" s="739">
        <f>様式1!$F$17</f>
        <v>0</v>
      </c>
      <c r="AG2" s="739">
        <f>様式1!$F$51</f>
        <v>0</v>
      </c>
      <c r="AH2" s="740">
        <f>様式2!$AB$16</f>
        <v>0</v>
      </c>
      <c r="AI2" s="740">
        <f>様式2!$AB$20</f>
        <v>0</v>
      </c>
      <c r="AJ2" s="739">
        <f>様式3!$Q$16</f>
        <v>0</v>
      </c>
      <c r="AK2" s="739">
        <f>様式3!$Q$17</f>
        <v>0</v>
      </c>
      <c r="AL2" s="739">
        <f>様式3!$Q$18</f>
        <v>0</v>
      </c>
      <c r="AM2" s="739" t="str">
        <f>様式3!$AA$94</f>
        <v>実人数を入力してください。</v>
      </c>
      <c r="AN2" s="739" t="str">
        <f>様式3!$AA$95</f>
        <v>実人数を入力してください。</v>
      </c>
      <c r="AO2" s="739">
        <f>様式3!$AA$21</f>
        <v>0</v>
      </c>
      <c r="AP2" s="739" t="str">
        <f>様式3!$AF$15</f>
        <v>×</v>
      </c>
      <c r="AQ2" s="739" t="e">
        <f>様式4!$N$12</f>
        <v>#N/A</v>
      </c>
      <c r="AR2" s="739">
        <f>様式4!$N$14</f>
        <v>0</v>
      </c>
      <c r="AS2" s="739">
        <f>様式4!$N$15</f>
        <v>0</v>
      </c>
      <c r="AT2" s="739">
        <f>様式4!$W$12</f>
        <v>0</v>
      </c>
      <c r="AU2" s="739">
        <f>様式4!$W$14</f>
        <v>0</v>
      </c>
      <c r="AV2" s="739">
        <f>様式4!$W$15</f>
        <v>0</v>
      </c>
      <c r="AW2" s="739" t="str">
        <f>様式4!$AJ$11</f>
        <v/>
      </c>
      <c r="AX2" s="739" t="str">
        <f>様式4!$AJ$12</f>
        <v>○</v>
      </c>
      <c r="AY2" s="739" t="str">
        <f>様式4!$AJ$18</f>
        <v>○</v>
      </c>
      <c r="AZ2" s="739">
        <f>_xlfn.MAXIFS(様式4別添1!$X$11:$X$60,様式4別添1!$AI$11:$AI$60,1)</f>
        <v>0</v>
      </c>
      <c r="BA2" s="739">
        <f>_xlfn.MINIFS(様式4別添1!$X$11:$X$60,様式4別添1!$AI$11:$AI$60,1)</f>
        <v>0</v>
      </c>
      <c r="BB2" s="739">
        <f>_xlfn.MAXIFS(様式4別添1!$X$11:$X$60,様式4別添1!$AI$11:$AI$60,2)</f>
        <v>0</v>
      </c>
      <c r="BC2" s="739">
        <f>_xlfn.MINIFS(様式4別添1!$X$11:$X$60,様式4別添1!$AI$11:$AI$60,2)</f>
        <v>0</v>
      </c>
      <c r="BD2" s="739" t="str">
        <f>様式4別添1!$Y$63</f>
        <v/>
      </c>
      <c r="BE2" s="739" t="str">
        <f>様式4別添1!$AD$63</f>
        <v>○</v>
      </c>
      <c r="BF2" s="739" t="e">
        <f>様式5!$K$11</f>
        <v>#N/A</v>
      </c>
      <c r="BG2" s="739">
        <f>様式5!$T$11</f>
        <v>0</v>
      </c>
      <c r="BH2" s="739" t="str">
        <f>様式5!$B$15</f>
        <v>　</v>
      </c>
      <c r="BI2" s="739" t="str">
        <f>様式5!$B$16</f>
        <v>　</v>
      </c>
    </row>
  </sheetData>
  <sheetProtection algorithmName="SHA-512" hashValue="KlE8+thPlHoI/29fnnBtaWERstWqkA2wXE/CXXHPHQnuPQAXlvIFJiuBTYvJWLcUKvMxsCaZa28HhDzAWkgQDw==" saltValue="aw29banNH158YFifIpOUvA==" spinCount="100000" sheet="1" objects="1" scenarios="1"/>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9B1A-66D4-430A-A1B9-63E50EC46D19}">
  <dimension ref="A1:U2"/>
  <sheetViews>
    <sheetView zoomScale="85" zoomScaleNormal="85" workbookViewId="0"/>
  </sheetViews>
  <sheetFormatPr defaultRowHeight="18.75"/>
  <cols>
    <col min="1" max="21" width="5.25" customWidth="1"/>
  </cols>
  <sheetData>
    <row r="1" spans="1:21" ht="163.5" customHeight="1">
      <c r="A1" s="738" t="s">
        <v>666</v>
      </c>
      <c r="B1" s="738" t="s">
        <v>667</v>
      </c>
      <c r="C1" s="738" t="s">
        <v>668</v>
      </c>
      <c r="D1" s="738" t="s">
        <v>727</v>
      </c>
      <c r="E1" s="738" t="s">
        <v>728</v>
      </c>
      <c r="F1" s="738" t="s">
        <v>729</v>
      </c>
      <c r="G1" s="738" t="s">
        <v>730</v>
      </c>
      <c r="H1" s="738" t="s">
        <v>731</v>
      </c>
      <c r="I1" s="738" t="s">
        <v>732</v>
      </c>
      <c r="J1" s="738" t="s">
        <v>15</v>
      </c>
      <c r="K1" s="738" t="s">
        <v>738</v>
      </c>
      <c r="L1" s="738" t="s">
        <v>733</v>
      </c>
      <c r="M1" s="738" t="s">
        <v>285</v>
      </c>
      <c r="N1" s="738" t="s">
        <v>739</v>
      </c>
      <c r="O1" s="738" t="s">
        <v>734</v>
      </c>
      <c r="P1" s="738" t="s">
        <v>280</v>
      </c>
      <c r="Q1" s="738" t="s">
        <v>735</v>
      </c>
      <c r="R1" s="738" t="s">
        <v>282</v>
      </c>
      <c r="S1" s="738" t="s">
        <v>736</v>
      </c>
      <c r="T1" s="738" t="s">
        <v>737</v>
      </c>
      <c r="U1" s="738" t="s">
        <v>742</v>
      </c>
    </row>
    <row r="2" spans="1:21">
      <c r="A2">
        <f>'0_基本情報'!$D$3</f>
        <v>0</v>
      </c>
      <c r="B2">
        <f>'0_基本情報'!$D$4</f>
        <v>0</v>
      </c>
      <c r="C2">
        <f>'0_基本情報'!$D$5</f>
        <v>0</v>
      </c>
      <c r="D2" s="739">
        <f>'2_区分12加算額計算表'!$D$8</f>
        <v>0</v>
      </c>
      <c r="E2" s="739">
        <f>'2_区分12加算額計算表'!$D$19</f>
        <v>0</v>
      </c>
      <c r="F2" s="739">
        <f>様式3!$F$27+様式3!$M$27+様式3!$T$27+様式3!$AA$27</f>
        <v>0</v>
      </c>
      <c r="G2" s="739">
        <f>'2_区分12加算額計算表'!F22</f>
        <v>0</v>
      </c>
      <c r="H2" s="739">
        <f>'2_区分12加算額計算表'!F23</f>
        <v>0</v>
      </c>
      <c r="I2" s="739">
        <f>'2_区分12加算額計算表'!F24</f>
        <v>0</v>
      </c>
      <c r="J2" s="739">
        <f>'2_区分12加算額計算表'!F25</f>
        <v>0</v>
      </c>
      <c r="K2" s="739">
        <f>'2_区分12加算額計算表'!I25</f>
        <v>0</v>
      </c>
      <c r="L2" s="739">
        <f>'2_区分12加算額計算表'!F26</f>
        <v>0</v>
      </c>
      <c r="M2" s="739">
        <f>'2_区分12加算額計算表'!F27</f>
        <v>0</v>
      </c>
      <c r="N2" s="739">
        <f>'2_区分12加算額計算表'!I27</f>
        <v>0</v>
      </c>
      <c r="O2" s="739">
        <f>'2_区分12加算額計算表'!F28</f>
        <v>0</v>
      </c>
      <c r="P2" s="739">
        <f>'2_区分12加算額計算表'!F29</f>
        <v>0</v>
      </c>
      <c r="Q2" s="739">
        <f>'2_区分12加算額計算表'!F30</f>
        <v>0</v>
      </c>
      <c r="R2" s="739">
        <f>'2_区分12加算額計算表'!F31</f>
        <v>0</v>
      </c>
      <c r="S2" s="739">
        <f>'2_区分12加算額計算表'!F32</f>
        <v>0</v>
      </c>
      <c r="T2" s="739">
        <f>'2_区分12加算額計算表'!F33</f>
        <v>0</v>
      </c>
      <c r="U2" s="739">
        <f>'2_区分12加算額計算表'!F34</f>
        <v>0</v>
      </c>
    </row>
  </sheetData>
  <sheetProtection algorithmName="SHA-512" hashValue="PkE2qsmBv/9yy7TAN0/u+gM4/6BMB9NvVZdidT00ALXoYZ5bT++0JHco48AKgICIW7+0aUVlFcIO57GuoMW4Fg==" saltValue="3dL4z+NnBiyL+VcXwgVc3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0_基本情報</vt:lpstr>
      <vt:lpstr>1-1_児童数計算表</vt:lpstr>
      <vt:lpstr>1-2_児童数計算表_分園</vt:lpstr>
      <vt:lpstr>2_区分12加算額計算表</vt:lpstr>
      <vt:lpstr>3_区分3計算表</vt:lpstr>
      <vt:lpstr>【参考】計算結果</vt:lpstr>
      <vt:lpstr>様式1</vt:lpstr>
      <vt:lpstr>様式2</vt:lpstr>
      <vt:lpstr>様式3</vt:lpstr>
      <vt:lpstr>様式4</vt:lpstr>
      <vt:lpstr>様式4別添1</vt:lpstr>
      <vt:lpstr>様式4別添2</vt:lpstr>
      <vt:lpstr>様式5</vt:lpstr>
      <vt:lpstr>様式7</vt:lpstr>
      <vt:lpstr>区分12計算</vt:lpstr>
      <vt:lpstr>保育所単価</vt:lpstr>
      <vt:lpstr>【リスト】 (2)</vt:lpstr>
      <vt:lpstr>【リスト】</vt:lpstr>
      <vt:lpstr>京都市集計用_共通</vt:lpstr>
      <vt:lpstr>京都市集計用_保育所</vt:lpstr>
      <vt:lpstr>'0_基本情報'!Print_Area</vt:lpstr>
      <vt:lpstr>'1-1_児童数計算表'!Print_Area</vt:lpstr>
      <vt:lpstr>'1-2_児童数計算表_分園'!Print_Area</vt:lpstr>
      <vt:lpstr>'2_区分12加算額計算表'!Print_Area</vt:lpstr>
      <vt:lpstr>'3_区分3計算表'!Print_Area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北島</dc:creator>
  <cp:lastModifiedBy>nakajo</cp:lastModifiedBy>
  <cp:lastPrinted>2025-05-30T04:46:18Z</cp:lastPrinted>
  <dcterms:created xsi:type="dcterms:W3CDTF">2025-05-03T04:15:18Z</dcterms:created>
  <dcterms:modified xsi:type="dcterms:W3CDTF">2025-07-15T07:30:37Z</dcterms:modified>
</cp:coreProperties>
</file>