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qbe253\Desktop\"/>
    </mc:Choice>
  </mc:AlternateContent>
  <xr:revisionPtr revIDLastSave="0" documentId="13_ncr:1_{01FCE113-72AA-45AB-82F7-D6AF2D0FDB12}" xr6:coauthVersionLast="47" xr6:coauthVersionMax="47" xr10:uidLastSave="{00000000-0000-0000-0000-000000000000}"/>
  <bookViews>
    <workbookView xWindow="-28920" yWindow="-4650" windowWidth="29040" windowHeight="15840" xr2:uid="{A1034D49-B53E-417C-B404-380A2316C874}"/>
  </bookViews>
  <sheets>
    <sheet name="【保育所】児童数" sheetId="2" r:id="rId1"/>
    <sheet name="【保育所】児童数 (分園)" sheetId="3" r:id="rId2"/>
    <sheet name="【保育所】対象人数" sheetId="4" r:id="rId3"/>
    <sheet name="【認こ】（1号）児童数" sheetId="5" r:id="rId4"/>
    <sheet name="【認こ】（2・3号）児童数" sheetId="6" r:id="rId5"/>
    <sheet name="【認こ】（2・3号）児童数 (分園) " sheetId="7" r:id="rId6"/>
    <sheet name="【認こ】対象人数" sheetId="8" r:id="rId7"/>
    <sheet name="【幼稚園】児童数" sheetId="9" r:id="rId8"/>
    <sheet name="【幼稚園】対象人数" sheetId="10" r:id="rId9"/>
    <sheet name="【小規模・事業所内AB】児童数 " sheetId="11" r:id="rId10"/>
    <sheet name="【小規模・事業所内AB】対象人数 " sheetId="12" r:id="rId11"/>
    <sheet name="【事業所内20人以上】児童数" sheetId="13" r:id="rId12"/>
    <sheet name="【事業所内20人以上】対象人数" sheetId="14" r:id="rId13"/>
    <sheet name="【家庭的】児童数" sheetId="15" r:id="rId14"/>
    <sheet name="【家庭的】対象人数" sheetId="16" r:id="rId15"/>
  </sheets>
  <definedNames>
    <definedName name="aaaa">#REF!</definedName>
    <definedName name="_xlnm.Print_Area" localSheetId="14">【家庭的】対象人数!$A$1:$H$17</definedName>
    <definedName name="_xlnm.Print_Area" localSheetId="12">【事業所内20人以上】対象人数!$A$1:$H$30</definedName>
    <definedName name="_xlnm.Print_Area" localSheetId="10">'【小規模・事業所内AB】対象人数 '!$A$1:$H$28</definedName>
    <definedName name="_xlnm.Print_Area" localSheetId="6">【認こ】対象人数!$A$1:$L$66</definedName>
    <definedName name="_xlnm.Print_Area" localSheetId="2">【保育所】対象人数!$A$1:$L$40</definedName>
    <definedName name="_xlnm.Print_Area" localSheetId="8">【幼稚園】対象人数!$A$1:$H$38</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G31" i="8"/>
  <c r="H31" i="8" s="1"/>
  <c r="G30" i="8"/>
  <c r="H30" i="8" s="1"/>
  <c r="H28" i="8"/>
  <c r="H29" i="8"/>
  <c r="H32" i="8"/>
  <c r="H27" i="8"/>
  <c r="G32" i="8"/>
  <c r="G29" i="8"/>
  <c r="G28" i="8"/>
  <c r="G27" i="8"/>
  <c r="F31" i="8"/>
  <c r="F29" i="8"/>
  <c r="F27" i="8"/>
  <c r="J36" i="8"/>
  <c r="I37" i="8"/>
  <c r="K37" i="8" s="1"/>
  <c r="L37" i="8" s="1"/>
  <c r="I35" i="8"/>
  <c r="K34" i="8" s="1"/>
  <c r="G37" i="8"/>
  <c r="H37" i="8" s="1"/>
  <c r="G36" i="8"/>
  <c r="H36" i="8" s="1"/>
  <c r="G35" i="8"/>
  <c r="H35" i="8" s="1"/>
  <c r="G34" i="8"/>
  <c r="H33" i="8" l="1"/>
  <c r="K35" i="8"/>
  <c r="L35" i="8" s="1"/>
  <c r="K36" i="8"/>
  <c r="L36" i="8" s="1"/>
  <c r="K19" i="4" l="1"/>
  <c r="L19" i="4" s="1"/>
  <c r="K18" i="4"/>
  <c r="I21" i="4"/>
  <c r="K21" i="4" s="1"/>
  <c r="L21" i="4" s="1"/>
  <c r="I19" i="4"/>
  <c r="K20" i="4" l="1"/>
  <c r="L20" i="4" s="1"/>
  <c r="G19" i="4"/>
  <c r="H11" i="16"/>
  <c r="H10" i="16"/>
  <c r="H9" i="16"/>
  <c r="H8" i="16"/>
  <c r="H13" i="16" s="1"/>
  <c r="H14" i="16" s="1"/>
  <c r="H17" i="16" s="1"/>
  <c r="E46" i="15"/>
  <c r="Q46" i="15" s="1"/>
  <c r="E45" i="15"/>
  <c r="Q45" i="15" s="1"/>
  <c r="E44" i="15"/>
  <c r="Q44" i="15" s="1"/>
  <c r="E43" i="15"/>
  <c r="Q43" i="15" s="1"/>
  <c r="E42" i="15"/>
  <c r="E47" i="15" s="1"/>
  <c r="B40" i="15"/>
  <c r="E33" i="15"/>
  <c r="I32" i="15"/>
  <c r="M31" i="15"/>
  <c r="I30" i="15"/>
  <c r="M29" i="15"/>
  <c r="I28" i="15"/>
  <c r="E22" i="15"/>
  <c r="P21" i="15"/>
  <c r="P32" i="15" s="1"/>
  <c r="O21" i="15"/>
  <c r="O32" i="15" s="1"/>
  <c r="N21" i="15"/>
  <c r="N32" i="15" s="1"/>
  <c r="M21" i="15"/>
  <c r="M32" i="15" s="1"/>
  <c r="L21" i="15"/>
  <c r="L32" i="15" s="1"/>
  <c r="K21" i="15"/>
  <c r="K32" i="15" s="1"/>
  <c r="J21" i="15"/>
  <c r="J32" i="15" s="1"/>
  <c r="I21" i="15"/>
  <c r="H21" i="15"/>
  <c r="H32" i="15" s="1"/>
  <c r="G21" i="15"/>
  <c r="G32" i="15" s="1"/>
  <c r="F21" i="15"/>
  <c r="F32" i="15" s="1"/>
  <c r="Q20" i="15"/>
  <c r="P19" i="15"/>
  <c r="P31" i="15" s="1"/>
  <c r="O19" i="15"/>
  <c r="O31" i="15" s="1"/>
  <c r="N19" i="15"/>
  <c r="N31" i="15" s="1"/>
  <c r="M19" i="15"/>
  <c r="L19" i="15"/>
  <c r="L31" i="15" s="1"/>
  <c r="K19" i="15"/>
  <c r="K31" i="15" s="1"/>
  <c r="J19" i="15"/>
  <c r="J31" i="15" s="1"/>
  <c r="I19" i="15"/>
  <c r="I31" i="15" s="1"/>
  <c r="H19" i="15"/>
  <c r="H31" i="15" s="1"/>
  <c r="G19" i="15"/>
  <c r="G31" i="15" s="1"/>
  <c r="F19" i="15"/>
  <c r="F31" i="15" s="1"/>
  <c r="Q18" i="15"/>
  <c r="P17" i="15"/>
  <c r="P30" i="15" s="1"/>
  <c r="O17" i="15"/>
  <c r="O30" i="15" s="1"/>
  <c r="N17" i="15"/>
  <c r="N30" i="15" s="1"/>
  <c r="M17" i="15"/>
  <c r="M30" i="15" s="1"/>
  <c r="L17" i="15"/>
  <c r="L30" i="15" s="1"/>
  <c r="K17" i="15"/>
  <c r="K30" i="15" s="1"/>
  <c r="J17" i="15"/>
  <c r="J30" i="15" s="1"/>
  <c r="I17" i="15"/>
  <c r="H17" i="15"/>
  <c r="H30" i="15" s="1"/>
  <c r="G17" i="15"/>
  <c r="G30" i="15" s="1"/>
  <c r="F17" i="15"/>
  <c r="F30" i="15" s="1"/>
  <c r="Q16" i="15"/>
  <c r="P15" i="15"/>
  <c r="P29" i="15" s="1"/>
  <c r="O15" i="15"/>
  <c r="O29" i="15" s="1"/>
  <c r="N15" i="15"/>
  <c r="N29" i="15" s="1"/>
  <c r="M15" i="15"/>
  <c r="L15" i="15"/>
  <c r="L29" i="15" s="1"/>
  <c r="K15" i="15"/>
  <c r="K29" i="15" s="1"/>
  <c r="J15" i="15"/>
  <c r="J29" i="15" s="1"/>
  <c r="I15" i="15"/>
  <c r="I29" i="15" s="1"/>
  <c r="H15" i="15"/>
  <c r="H29" i="15" s="1"/>
  <c r="G15" i="15"/>
  <c r="G29" i="15" s="1"/>
  <c r="F15" i="15"/>
  <c r="F29" i="15" s="1"/>
  <c r="Q14" i="15"/>
  <c r="P13" i="15"/>
  <c r="P28" i="15" s="1"/>
  <c r="O13" i="15"/>
  <c r="O28" i="15" s="1"/>
  <c r="N13" i="15"/>
  <c r="N28" i="15" s="1"/>
  <c r="M13" i="15"/>
  <c r="M28" i="15" s="1"/>
  <c r="L13" i="15"/>
  <c r="L28" i="15" s="1"/>
  <c r="K13" i="15"/>
  <c r="K28" i="15" s="1"/>
  <c r="J13" i="15"/>
  <c r="J28" i="15" s="1"/>
  <c r="I13" i="15"/>
  <c r="H13" i="15"/>
  <c r="H28" i="15" s="1"/>
  <c r="G13" i="15"/>
  <c r="G28" i="15" s="1"/>
  <c r="F13" i="15"/>
  <c r="F28" i="15" s="1"/>
  <c r="Q12" i="15"/>
  <c r="Q22" i="15" s="1"/>
  <c r="Q28" i="15" l="1"/>
  <c r="Q30" i="15"/>
  <c r="Q32" i="15"/>
  <c r="Q29" i="15"/>
  <c r="Q31" i="15"/>
  <c r="Q42" i="15"/>
  <c r="Q47" i="15" s="1"/>
  <c r="Q33" i="15" l="1"/>
  <c r="H25" i="14" l="1"/>
  <c r="H24" i="14"/>
  <c r="H23" i="14"/>
  <c r="H22" i="14"/>
  <c r="H21" i="14"/>
  <c r="H20" i="14"/>
  <c r="G20" i="14"/>
  <c r="H19" i="14"/>
  <c r="H26" i="14" s="1"/>
  <c r="H27" i="14" s="1"/>
  <c r="H30" i="14" s="1"/>
  <c r="G17" i="14"/>
  <c r="H17" i="14" s="1"/>
  <c r="G16" i="14"/>
  <c r="H16" i="14" s="1"/>
  <c r="G15" i="14"/>
  <c r="H15" i="14" s="1"/>
  <c r="H14" i="14"/>
  <c r="G14" i="14"/>
  <c r="G13" i="14"/>
  <c r="H13" i="14" s="1"/>
  <c r="H18" i="14" s="1"/>
  <c r="H12" i="14" s="1"/>
  <c r="Q46" i="13"/>
  <c r="E46" i="13"/>
  <c r="E45" i="13"/>
  <c r="Q45" i="13" s="1"/>
  <c r="E44" i="13"/>
  <c r="Q44" i="13" s="1"/>
  <c r="E43" i="13"/>
  <c r="Q43" i="13" s="1"/>
  <c r="Q42" i="13"/>
  <c r="E42" i="13"/>
  <c r="B40" i="13"/>
  <c r="E33" i="13"/>
  <c r="O32" i="13"/>
  <c r="I32" i="13"/>
  <c r="G32" i="13"/>
  <c r="M31" i="13"/>
  <c r="K31" i="13"/>
  <c r="O30" i="13"/>
  <c r="I30" i="13"/>
  <c r="G30" i="13"/>
  <c r="M29" i="13"/>
  <c r="K29" i="13"/>
  <c r="O28" i="13"/>
  <c r="I28" i="13"/>
  <c r="G28" i="13"/>
  <c r="E22" i="13"/>
  <c r="P21" i="13"/>
  <c r="P32" i="13" s="1"/>
  <c r="O21" i="13"/>
  <c r="N21" i="13"/>
  <c r="N32" i="13" s="1"/>
  <c r="M21" i="13"/>
  <c r="M32" i="13" s="1"/>
  <c r="L21" i="13"/>
  <c r="L32" i="13" s="1"/>
  <c r="K21" i="13"/>
  <c r="K32" i="13" s="1"/>
  <c r="J21" i="13"/>
  <c r="J32" i="13" s="1"/>
  <c r="I21" i="13"/>
  <c r="H21" i="13"/>
  <c r="H32" i="13" s="1"/>
  <c r="G21" i="13"/>
  <c r="F21" i="13"/>
  <c r="F32" i="13" s="1"/>
  <c r="Q32" i="13" s="1"/>
  <c r="Q20" i="13"/>
  <c r="P19" i="13"/>
  <c r="P31" i="13" s="1"/>
  <c r="O19" i="13"/>
  <c r="O31" i="13" s="1"/>
  <c r="N19" i="13"/>
  <c r="N31" i="13" s="1"/>
  <c r="M19" i="13"/>
  <c r="L19" i="13"/>
  <c r="L31" i="13" s="1"/>
  <c r="K19" i="13"/>
  <c r="J19" i="13"/>
  <c r="J31" i="13" s="1"/>
  <c r="I19" i="13"/>
  <c r="I31" i="13" s="1"/>
  <c r="H19" i="13"/>
  <c r="H31" i="13" s="1"/>
  <c r="G19" i="13"/>
  <c r="G31" i="13" s="1"/>
  <c r="F19" i="13"/>
  <c r="F31" i="13" s="1"/>
  <c r="Q18" i="13"/>
  <c r="P17" i="13"/>
  <c r="P30" i="13" s="1"/>
  <c r="O17" i="13"/>
  <c r="N17" i="13"/>
  <c r="N30" i="13" s="1"/>
  <c r="M17" i="13"/>
  <c r="M30" i="13" s="1"/>
  <c r="L17" i="13"/>
  <c r="L30" i="13" s="1"/>
  <c r="K17" i="13"/>
  <c r="K30" i="13" s="1"/>
  <c r="J17" i="13"/>
  <c r="J30" i="13" s="1"/>
  <c r="I17" i="13"/>
  <c r="H17" i="13"/>
  <c r="H30" i="13" s="1"/>
  <c r="G17" i="13"/>
  <c r="F17" i="13"/>
  <c r="F30" i="13" s="1"/>
  <c r="Q30" i="13" s="1"/>
  <c r="Q16" i="13"/>
  <c r="P15" i="13"/>
  <c r="P29" i="13" s="1"/>
  <c r="O15" i="13"/>
  <c r="O29" i="13" s="1"/>
  <c r="N15" i="13"/>
  <c r="N29" i="13" s="1"/>
  <c r="M15" i="13"/>
  <c r="L15" i="13"/>
  <c r="L29" i="13" s="1"/>
  <c r="K15" i="13"/>
  <c r="J15" i="13"/>
  <c r="J29" i="13" s="1"/>
  <c r="I15" i="13"/>
  <c r="I29" i="13" s="1"/>
  <c r="H15" i="13"/>
  <c r="H29" i="13" s="1"/>
  <c r="G15" i="13"/>
  <c r="G29" i="13" s="1"/>
  <c r="F15" i="13"/>
  <c r="F29" i="13" s="1"/>
  <c r="Q14" i="13"/>
  <c r="P13" i="13"/>
  <c r="P28" i="13" s="1"/>
  <c r="O13" i="13"/>
  <c r="N13" i="13"/>
  <c r="N28" i="13" s="1"/>
  <c r="M13" i="13"/>
  <c r="M28" i="13" s="1"/>
  <c r="L13" i="13"/>
  <c r="L28" i="13" s="1"/>
  <c r="K13" i="13"/>
  <c r="K28" i="13" s="1"/>
  <c r="J13" i="13"/>
  <c r="J28" i="13" s="1"/>
  <c r="I13" i="13"/>
  <c r="H13" i="13"/>
  <c r="H28" i="13" s="1"/>
  <c r="G13" i="13"/>
  <c r="F13" i="13"/>
  <c r="F28" i="13" s="1"/>
  <c r="Q28" i="13" s="1"/>
  <c r="Q12" i="13"/>
  <c r="Q22" i="13" s="1"/>
  <c r="Q29" i="13" l="1"/>
  <c r="Q31" i="13"/>
  <c r="Q47" i="13"/>
  <c r="Q33" i="13"/>
  <c r="E47" i="13"/>
  <c r="H22" i="12" l="1"/>
  <c r="H21" i="12"/>
  <c r="H20" i="12"/>
  <c r="H19" i="12"/>
  <c r="H18" i="12"/>
  <c r="G18" i="12"/>
  <c r="H17" i="12"/>
  <c r="G14" i="12"/>
  <c r="H14" i="12" s="1"/>
  <c r="G13" i="12"/>
  <c r="H13" i="12" s="1"/>
  <c r="H12" i="12"/>
  <c r="G12" i="12"/>
  <c r="G11" i="12"/>
  <c r="H11" i="12" s="1"/>
  <c r="G10" i="12"/>
  <c r="H10" i="12" s="1"/>
  <c r="E46" i="11"/>
  <c r="Q46" i="11" s="1"/>
  <c r="E45" i="11"/>
  <c r="Q45" i="11" s="1"/>
  <c r="E44" i="11"/>
  <c r="Q44" i="11" s="1"/>
  <c r="Q43" i="11"/>
  <c r="E43" i="11"/>
  <c r="E47" i="11" s="1"/>
  <c r="E42" i="11"/>
  <c r="Q42" i="11" s="1"/>
  <c r="B40" i="11"/>
  <c r="E33" i="11"/>
  <c r="P32" i="11"/>
  <c r="O32" i="11"/>
  <c r="I32" i="11"/>
  <c r="H32" i="11"/>
  <c r="G32" i="11"/>
  <c r="M31" i="11"/>
  <c r="L31" i="11"/>
  <c r="K31" i="11"/>
  <c r="P30" i="11"/>
  <c r="O30" i="11"/>
  <c r="I30" i="11"/>
  <c r="H30" i="11"/>
  <c r="G30" i="11"/>
  <c r="M29" i="11"/>
  <c r="L29" i="11"/>
  <c r="K29" i="11"/>
  <c r="P28" i="11"/>
  <c r="O28" i="11"/>
  <c r="I28" i="11"/>
  <c r="H28" i="11"/>
  <c r="G28" i="11"/>
  <c r="E22" i="11"/>
  <c r="P21" i="11"/>
  <c r="O21" i="11"/>
  <c r="N21" i="11"/>
  <c r="N32" i="11" s="1"/>
  <c r="M21" i="11"/>
  <c r="M32" i="11" s="1"/>
  <c r="L21" i="11"/>
  <c r="L32" i="11" s="1"/>
  <c r="K21" i="11"/>
  <c r="K32" i="11" s="1"/>
  <c r="J21" i="11"/>
  <c r="J32" i="11" s="1"/>
  <c r="I21" i="11"/>
  <c r="H21" i="11"/>
  <c r="G21" i="11"/>
  <c r="F21" i="11"/>
  <c r="F32" i="11" s="1"/>
  <c r="Q20" i="11"/>
  <c r="P19" i="11"/>
  <c r="P31" i="11" s="1"/>
  <c r="O19" i="11"/>
  <c r="O31" i="11" s="1"/>
  <c r="N19" i="11"/>
  <c r="N31" i="11" s="1"/>
  <c r="M19" i="11"/>
  <c r="L19" i="11"/>
  <c r="K19" i="11"/>
  <c r="J19" i="11"/>
  <c r="J31" i="11" s="1"/>
  <c r="I19" i="11"/>
  <c r="I31" i="11" s="1"/>
  <c r="H19" i="11"/>
  <c r="H31" i="11" s="1"/>
  <c r="G19" i="11"/>
  <c r="G31" i="11" s="1"/>
  <c r="F19" i="11"/>
  <c r="F31" i="11" s="1"/>
  <c r="Q18" i="11"/>
  <c r="P17" i="11"/>
  <c r="O17" i="11"/>
  <c r="N17" i="11"/>
  <c r="N30" i="11" s="1"/>
  <c r="M17" i="11"/>
  <c r="M30" i="11" s="1"/>
  <c r="L17" i="11"/>
  <c r="L30" i="11" s="1"/>
  <c r="K17" i="11"/>
  <c r="K30" i="11" s="1"/>
  <c r="J17" i="11"/>
  <c r="J30" i="11" s="1"/>
  <c r="I17" i="11"/>
  <c r="H17" i="11"/>
  <c r="G17" i="11"/>
  <c r="F17" i="11"/>
  <c r="F30" i="11" s="1"/>
  <c r="Q16" i="11"/>
  <c r="P15" i="11"/>
  <c r="P29" i="11" s="1"/>
  <c r="O15" i="11"/>
  <c r="O29" i="11" s="1"/>
  <c r="N15" i="11"/>
  <c r="N29" i="11" s="1"/>
  <c r="M15" i="11"/>
  <c r="L15" i="11"/>
  <c r="K15" i="11"/>
  <c r="J15" i="11"/>
  <c r="J29" i="11" s="1"/>
  <c r="I15" i="11"/>
  <c r="I29" i="11" s="1"/>
  <c r="H15" i="11"/>
  <c r="H29" i="11" s="1"/>
  <c r="G15" i="11"/>
  <c r="G29" i="11" s="1"/>
  <c r="F15" i="11"/>
  <c r="F29" i="11" s="1"/>
  <c r="Q14" i="11"/>
  <c r="P13" i="11"/>
  <c r="O13" i="11"/>
  <c r="N13" i="11"/>
  <c r="N28" i="11" s="1"/>
  <c r="M13" i="11"/>
  <c r="M28" i="11" s="1"/>
  <c r="L13" i="11"/>
  <c r="L28" i="11" s="1"/>
  <c r="K13" i="11"/>
  <c r="K28" i="11" s="1"/>
  <c r="J13" i="11"/>
  <c r="J28" i="11" s="1"/>
  <c r="I13" i="11"/>
  <c r="H13" i="11"/>
  <c r="G13" i="11"/>
  <c r="F13" i="11"/>
  <c r="F28" i="11" s="1"/>
  <c r="Q12" i="11"/>
  <c r="Q22" i="11" s="1"/>
  <c r="Q32" i="11" l="1"/>
  <c r="Q28" i="11"/>
  <c r="Q30" i="11"/>
  <c r="H16" i="12"/>
  <c r="H9" i="12" s="1"/>
  <c r="H24" i="12" s="1"/>
  <c r="H25" i="12" s="1"/>
  <c r="H28" i="12" s="1"/>
  <c r="Q29" i="11"/>
  <c r="Q31" i="11"/>
  <c r="Q47" i="11"/>
  <c r="Q33" i="11" l="1"/>
  <c r="G33" i="10" l="1"/>
  <c r="G32" i="10"/>
  <c r="G31" i="10"/>
  <c r="G30" i="10"/>
  <c r="G29" i="10"/>
  <c r="G28" i="10"/>
  <c r="G27" i="10"/>
  <c r="G26" i="10"/>
  <c r="G25" i="10"/>
  <c r="G24" i="10"/>
  <c r="G23" i="10"/>
  <c r="G22" i="10"/>
  <c r="E37" i="9"/>
  <c r="Q37" i="9" s="1"/>
  <c r="Q36" i="9"/>
  <c r="E36" i="9"/>
  <c r="E35" i="9"/>
  <c r="E38" i="9" s="1"/>
  <c r="B33" i="9"/>
  <c r="E26" i="9"/>
  <c r="P25" i="9"/>
  <c r="L25" i="9"/>
  <c r="H25" i="9"/>
  <c r="P24" i="9"/>
  <c r="L24" i="9"/>
  <c r="H24" i="9"/>
  <c r="P23" i="9"/>
  <c r="L23" i="9"/>
  <c r="H23" i="9"/>
  <c r="E17" i="9"/>
  <c r="P16" i="9"/>
  <c r="O16" i="9"/>
  <c r="O25" i="9" s="1"/>
  <c r="N16" i="9"/>
  <c r="N25" i="9" s="1"/>
  <c r="M16" i="9"/>
  <c r="M25" i="9" s="1"/>
  <c r="L16" i="9"/>
  <c r="K16" i="9"/>
  <c r="K25" i="9" s="1"/>
  <c r="J16" i="9"/>
  <c r="J25" i="9" s="1"/>
  <c r="I16" i="9"/>
  <c r="I25" i="9" s="1"/>
  <c r="H16" i="9"/>
  <c r="G16" i="9"/>
  <c r="G25" i="9" s="1"/>
  <c r="F16" i="9"/>
  <c r="F25" i="9" s="1"/>
  <c r="Q25" i="9" s="1"/>
  <c r="F11" i="10" s="1"/>
  <c r="Q15" i="9"/>
  <c r="P14" i="9"/>
  <c r="O14" i="9"/>
  <c r="O24" i="9" s="1"/>
  <c r="N14" i="9"/>
  <c r="N24" i="9" s="1"/>
  <c r="M14" i="9"/>
  <c r="M24" i="9" s="1"/>
  <c r="L14" i="9"/>
  <c r="K14" i="9"/>
  <c r="K24" i="9" s="1"/>
  <c r="J14" i="9"/>
  <c r="J24" i="9" s="1"/>
  <c r="I14" i="9"/>
  <c r="I24" i="9" s="1"/>
  <c r="H14" i="9"/>
  <c r="G14" i="9"/>
  <c r="G24" i="9" s="1"/>
  <c r="F14" i="9"/>
  <c r="F24" i="9" s="1"/>
  <c r="Q13" i="9"/>
  <c r="P12" i="9"/>
  <c r="O12" i="9"/>
  <c r="O23" i="9" s="1"/>
  <c r="N12" i="9"/>
  <c r="N23" i="9" s="1"/>
  <c r="M12" i="9"/>
  <c r="M23" i="9" s="1"/>
  <c r="L12" i="9"/>
  <c r="K12" i="9"/>
  <c r="K23" i="9" s="1"/>
  <c r="J12" i="9"/>
  <c r="J23" i="9" s="1"/>
  <c r="I12" i="9"/>
  <c r="I23" i="9" s="1"/>
  <c r="H12" i="9"/>
  <c r="G12" i="9"/>
  <c r="G23" i="9" s="1"/>
  <c r="F12" i="9"/>
  <c r="F23" i="9" s="1"/>
  <c r="Q23" i="9" s="1"/>
  <c r="Q11" i="9"/>
  <c r="Q17" i="9" s="1"/>
  <c r="F9" i="10" l="1"/>
  <c r="Q24" i="9"/>
  <c r="F10" i="10" s="1"/>
  <c r="G19" i="10" s="1"/>
  <c r="Q35" i="9"/>
  <c r="Q38" i="9" s="1"/>
  <c r="G18" i="10" l="1"/>
  <c r="G21" i="10" s="1"/>
  <c r="G17" i="10" s="1"/>
  <c r="G34" i="10" s="1"/>
  <c r="G35" i="10" s="1"/>
  <c r="G38" i="10" s="1"/>
  <c r="F8" i="10"/>
  <c r="Q26" i="9"/>
  <c r="L63" i="8" l="1"/>
  <c r="L61" i="8"/>
  <c r="K61" i="8"/>
  <c r="G61" i="8"/>
  <c r="H61" i="8" s="1"/>
  <c r="I60" i="8"/>
  <c r="G60" i="8"/>
  <c r="H60" i="8" s="1"/>
  <c r="L59" i="8"/>
  <c r="E59" i="8"/>
  <c r="H58" i="8"/>
  <c r="I57" i="8"/>
  <c r="H57" i="8"/>
  <c r="I56" i="8"/>
  <c r="H56" i="8"/>
  <c r="H55" i="8"/>
  <c r="I54" i="8"/>
  <c r="H54" i="8"/>
  <c r="I53" i="8"/>
  <c r="H53" i="8"/>
  <c r="I52" i="8"/>
  <c r="H52" i="8"/>
  <c r="I51" i="8"/>
  <c r="H51" i="8"/>
  <c r="I50" i="8"/>
  <c r="H50" i="8"/>
  <c r="I49" i="8"/>
  <c r="H49" i="8"/>
  <c r="G49" i="8"/>
  <c r="I48" i="8"/>
  <c r="H48" i="8"/>
  <c r="I47" i="8"/>
  <c r="H47" i="8"/>
  <c r="I46" i="8"/>
  <c r="H46" i="8"/>
  <c r="I45" i="8"/>
  <c r="H45" i="8"/>
  <c r="I44" i="8"/>
  <c r="H44" i="8"/>
  <c r="L43" i="8"/>
  <c r="H43" i="8"/>
  <c r="L42" i="8"/>
  <c r="H42" i="8"/>
  <c r="L41" i="8"/>
  <c r="H41" i="8"/>
  <c r="J39" i="8"/>
  <c r="K39" i="8" s="1"/>
  <c r="L39" i="8" s="1"/>
  <c r="J38" i="8"/>
  <c r="K38" i="8" s="1"/>
  <c r="L38" i="8" s="1"/>
  <c r="J34" i="8"/>
  <c r="L34" i="8" s="1"/>
  <c r="I31" i="8"/>
  <c r="I30" i="8"/>
  <c r="I29" i="8"/>
  <c r="I28" i="8"/>
  <c r="I27" i="8"/>
  <c r="I24" i="8"/>
  <c r="H11" i="8"/>
  <c r="H7" i="8"/>
  <c r="F7" i="8"/>
  <c r="H6" i="8"/>
  <c r="Q46" i="7"/>
  <c r="E46" i="7"/>
  <c r="Q45" i="7"/>
  <c r="E45" i="7"/>
  <c r="E44" i="7"/>
  <c r="Q44" i="7" s="1"/>
  <c r="Q43" i="7"/>
  <c r="Q47" i="7" s="1"/>
  <c r="E43" i="7"/>
  <c r="E47" i="7" s="1"/>
  <c r="Q42" i="7"/>
  <c r="E42" i="7"/>
  <c r="B40" i="7"/>
  <c r="E33" i="7"/>
  <c r="P32" i="7"/>
  <c r="I32" i="7"/>
  <c r="H32" i="7"/>
  <c r="M31" i="7"/>
  <c r="L31" i="7"/>
  <c r="P30" i="7"/>
  <c r="I30" i="7"/>
  <c r="H30" i="7"/>
  <c r="M29" i="7"/>
  <c r="L29" i="7"/>
  <c r="P28" i="7"/>
  <c r="I28" i="7"/>
  <c r="H28" i="7"/>
  <c r="E22" i="7"/>
  <c r="P21" i="7"/>
  <c r="O21" i="7"/>
  <c r="O32" i="7" s="1"/>
  <c r="N21" i="7"/>
  <c r="N32" i="7" s="1"/>
  <c r="M21" i="7"/>
  <c r="M32" i="7" s="1"/>
  <c r="L21" i="7"/>
  <c r="L32" i="7" s="1"/>
  <c r="K21" i="7"/>
  <c r="K32" i="7" s="1"/>
  <c r="J21" i="7"/>
  <c r="J32" i="7" s="1"/>
  <c r="I21" i="7"/>
  <c r="H21" i="7"/>
  <c r="G21" i="7"/>
  <c r="G32" i="7" s="1"/>
  <c r="F21" i="7"/>
  <c r="F32" i="7" s="1"/>
  <c r="Q20" i="7"/>
  <c r="P19" i="7"/>
  <c r="P31" i="7" s="1"/>
  <c r="O19" i="7"/>
  <c r="O31" i="7" s="1"/>
  <c r="N19" i="7"/>
  <c r="N31" i="7" s="1"/>
  <c r="M19" i="7"/>
  <c r="L19" i="7"/>
  <c r="K19" i="7"/>
  <c r="K31" i="7" s="1"/>
  <c r="J19" i="7"/>
  <c r="J31" i="7" s="1"/>
  <c r="I19" i="7"/>
  <c r="I31" i="7" s="1"/>
  <c r="H19" i="7"/>
  <c r="H31" i="7" s="1"/>
  <c r="G19" i="7"/>
  <c r="G31" i="7" s="1"/>
  <c r="F19" i="7"/>
  <c r="F31" i="7" s="1"/>
  <c r="Q31" i="7" s="1"/>
  <c r="H19" i="8" s="1"/>
  <c r="Q18" i="7"/>
  <c r="P17" i="7"/>
  <c r="O17" i="7"/>
  <c r="O30" i="7" s="1"/>
  <c r="N17" i="7"/>
  <c r="N30" i="7" s="1"/>
  <c r="M17" i="7"/>
  <c r="M30" i="7" s="1"/>
  <c r="L17" i="7"/>
  <c r="L30" i="7" s="1"/>
  <c r="K17" i="7"/>
  <c r="K30" i="7" s="1"/>
  <c r="J17" i="7"/>
  <c r="J30" i="7" s="1"/>
  <c r="I17" i="7"/>
  <c r="H17" i="7"/>
  <c r="G17" i="7"/>
  <c r="G30" i="7" s="1"/>
  <c r="F17" i="7"/>
  <c r="F30" i="7" s="1"/>
  <c r="Q16" i="7"/>
  <c r="P15" i="7"/>
  <c r="P29" i="7" s="1"/>
  <c r="O15" i="7"/>
  <c r="O29" i="7" s="1"/>
  <c r="N15" i="7"/>
  <c r="N29" i="7" s="1"/>
  <c r="M15" i="7"/>
  <c r="L15" i="7"/>
  <c r="K15" i="7"/>
  <c r="K29" i="7" s="1"/>
  <c r="J15" i="7"/>
  <c r="J29" i="7" s="1"/>
  <c r="I15" i="7"/>
  <c r="I29" i="7" s="1"/>
  <c r="H15" i="7"/>
  <c r="H29" i="7" s="1"/>
  <c r="G15" i="7"/>
  <c r="G29" i="7" s="1"/>
  <c r="F15" i="7"/>
  <c r="F29" i="7" s="1"/>
  <c r="Q29" i="7" s="1"/>
  <c r="H17" i="8" s="1"/>
  <c r="Q14" i="7"/>
  <c r="P13" i="7"/>
  <c r="O13" i="7"/>
  <c r="O28" i="7" s="1"/>
  <c r="N13" i="7"/>
  <c r="N28" i="7" s="1"/>
  <c r="M13" i="7"/>
  <c r="M28" i="7" s="1"/>
  <c r="L13" i="7"/>
  <c r="L28" i="7" s="1"/>
  <c r="K13" i="7"/>
  <c r="K28" i="7" s="1"/>
  <c r="J13" i="7"/>
  <c r="J28" i="7" s="1"/>
  <c r="I13" i="7"/>
  <c r="H13" i="7"/>
  <c r="G13" i="7"/>
  <c r="G28" i="7" s="1"/>
  <c r="F13" i="7"/>
  <c r="F28" i="7" s="1"/>
  <c r="Q12" i="7"/>
  <c r="Q22" i="7" s="1"/>
  <c r="Q46" i="6"/>
  <c r="E46" i="6"/>
  <c r="E45" i="6"/>
  <c r="Q45" i="6" s="1"/>
  <c r="Q44" i="6"/>
  <c r="E44" i="6"/>
  <c r="Q43" i="6"/>
  <c r="E43" i="6"/>
  <c r="Q42" i="6"/>
  <c r="Q47" i="6" s="1"/>
  <c r="E42" i="6"/>
  <c r="E47" i="6" s="1"/>
  <c r="B40" i="6"/>
  <c r="E33" i="6"/>
  <c r="K32" i="6"/>
  <c r="J32" i="6"/>
  <c r="O31" i="6"/>
  <c r="N31" i="6"/>
  <c r="G31" i="6"/>
  <c r="F31" i="6"/>
  <c r="K30" i="6"/>
  <c r="J30" i="6"/>
  <c r="O29" i="6"/>
  <c r="N29" i="6"/>
  <c r="G29" i="6"/>
  <c r="F29" i="6"/>
  <c r="K28" i="6"/>
  <c r="J28" i="6"/>
  <c r="E22" i="6"/>
  <c r="P21" i="6"/>
  <c r="P32" i="6" s="1"/>
  <c r="O21" i="6"/>
  <c r="O32" i="6" s="1"/>
  <c r="N21" i="6"/>
  <c r="N32" i="6" s="1"/>
  <c r="M21" i="6"/>
  <c r="M32" i="6" s="1"/>
  <c r="L21" i="6"/>
  <c r="L32" i="6" s="1"/>
  <c r="K21" i="6"/>
  <c r="J21" i="6"/>
  <c r="I21" i="6"/>
  <c r="I32" i="6" s="1"/>
  <c r="H21" i="6"/>
  <c r="H32" i="6" s="1"/>
  <c r="G21" i="6"/>
  <c r="G32" i="6" s="1"/>
  <c r="F21" i="6"/>
  <c r="F32" i="6" s="1"/>
  <c r="Q20" i="6"/>
  <c r="P19" i="6"/>
  <c r="P31" i="6" s="1"/>
  <c r="O19" i="6"/>
  <c r="N19" i="6"/>
  <c r="M19" i="6"/>
  <c r="M31" i="6" s="1"/>
  <c r="L19" i="6"/>
  <c r="L31" i="6" s="1"/>
  <c r="K19" i="6"/>
  <c r="K31" i="6" s="1"/>
  <c r="J19" i="6"/>
  <c r="J31" i="6" s="1"/>
  <c r="I19" i="6"/>
  <c r="I31" i="6" s="1"/>
  <c r="H19" i="6"/>
  <c r="H31" i="6" s="1"/>
  <c r="G19" i="6"/>
  <c r="F19" i="6"/>
  <c r="Q18" i="6"/>
  <c r="P17" i="6"/>
  <c r="P30" i="6" s="1"/>
  <c r="O17" i="6"/>
  <c r="O30" i="6" s="1"/>
  <c r="N17" i="6"/>
  <c r="N30" i="6" s="1"/>
  <c r="M17" i="6"/>
  <c r="M30" i="6" s="1"/>
  <c r="L17" i="6"/>
  <c r="L30" i="6" s="1"/>
  <c r="K17" i="6"/>
  <c r="J17" i="6"/>
  <c r="I17" i="6"/>
  <c r="I30" i="6" s="1"/>
  <c r="H17" i="6"/>
  <c r="H30" i="6" s="1"/>
  <c r="G17" i="6"/>
  <c r="G30" i="6" s="1"/>
  <c r="F17" i="6"/>
  <c r="F30" i="6" s="1"/>
  <c r="Q16" i="6"/>
  <c r="P15" i="6"/>
  <c r="P29" i="6" s="1"/>
  <c r="O15" i="6"/>
  <c r="N15" i="6"/>
  <c r="M15" i="6"/>
  <c r="M29" i="6" s="1"/>
  <c r="L15" i="6"/>
  <c r="L29" i="6" s="1"/>
  <c r="K15" i="6"/>
  <c r="K29" i="6" s="1"/>
  <c r="J15" i="6"/>
  <c r="J29" i="6" s="1"/>
  <c r="I15" i="6"/>
  <c r="I29" i="6" s="1"/>
  <c r="H15" i="6"/>
  <c r="H29" i="6" s="1"/>
  <c r="G15" i="6"/>
  <c r="F15" i="6"/>
  <c r="Q14" i="6"/>
  <c r="P13" i="6"/>
  <c r="P28" i="6" s="1"/>
  <c r="O13" i="6"/>
  <c r="O28" i="6" s="1"/>
  <c r="N13" i="6"/>
  <c r="N28" i="6" s="1"/>
  <c r="M13" i="6"/>
  <c r="M28" i="6" s="1"/>
  <c r="L13" i="6"/>
  <c r="L28" i="6" s="1"/>
  <c r="K13" i="6"/>
  <c r="J13" i="6"/>
  <c r="I13" i="6"/>
  <c r="I28" i="6" s="1"/>
  <c r="H13" i="6"/>
  <c r="H28" i="6" s="1"/>
  <c r="G13" i="6"/>
  <c r="G28" i="6" s="1"/>
  <c r="F13" i="6"/>
  <c r="F28" i="6" s="1"/>
  <c r="Q12" i="6"/>
  <c r="Q22" i="6" s="1"/>
  <c r="E46" i="5"/>
  <c r="Q46" i="5" s="1"/>
  <c r="Q45" i="5"/>
  <c r="E45" i="5"/>
  <c r="E44" i="5"/>
  <c r="Q44" i="5" s="1"/>
  <c r="Q43" i="5"/>
  <c r="E43" i="5"/>
  <c r="E42" i="5"/>
  <c r="E47" i="5" s="1"/>
  <c r="B40" i="5"/>
  <c r="E33" i="5"/>
  <c r="M32" i="5"/>
  <c r="L32" i="5"/>
  <c r="P31" i="5"/>
  <c r="I31" i="5"/>
  <c r="H31" i="5"/>
  <c r="M30" i="5"/>
  <c r="L30" i="5"/>
  <c r="P29" i="5"/>
  <c r="I29" i="5"/>
  <c r="H29" i="5"/>
  <c r="M28" i="5"/>
  <c r="L28" i="5"/>
  <c r="E22" i="5"/>
  <c r="P21" i="5"/>
  <c r="P32" i="5" s="1"/>
  <c r="O21" i="5"/>
  <c r="O32" i="5" s="1"/>
  <c r="N21" i="5"/>
  <c r="N32" i="5" s="1"/>
  <c r="M21" i="5"/>
  <c r="L21" i="5"/>
  <c r="K21" i="5"/>
  <c r="K32" i="5" s="1"/>
  <c r="J21" i="5"/>
  <c r="J32" i="5" s="1"/>
  <c r="I21" i="5"/>
  <c r="I32" i="5" s="1"/>
  <c r="H21" i="5"/>
  <c r="H32" i="5" s="1"/>
  <c r="G21" i="5"/>
  <c r="G32" i="5" s="1"/>
  <c r="F21" i="5"/>
  <c r="F32" i="5" s="1"/>
  <c r="Q20" i="5"/>
  <c r="P19" i="5"/>
  <c r="O19" i="5"/>
  <c r="O31" i="5" s="1"/>
  <c r="N19" i="5"/>
  <c r="N31" i="5" s="1"/>
  <c r="M19" i="5"/>
  <c r="M31" i="5" s="1"/>
  <c r="L19" i="5"/>
  <c r="L31" i="5" s="1"/>
  <c r="K19" i="5"/>
  <c r="K31" i="5" s="1"/>
  <c r="J19" i="5"/>
  <c r="J31" i="5" s="1"/>
  <c r="I19" i="5"/>
  <c r="H19" i="5"/>
  <c r="G19" i="5"/>
  <c r="G31" i="5" s="1"/>
  <c r="F19" i="5"/>
  <c r="F31" i="5" s="1"/>
  <c r="Q31" i="5" s="1"/>
  <c r="Q18" i="5"/>
  <c r="P17" i="5"/>
  <c r="P30" i="5" s="1"/>
  <c r="O17" i="5"/>
  <c r="O30" i="5" s="1"/>
  <c r="N17" i="5"/>
  <c r="N30" i="5" s="1"/>
  <c r="M17" i="5"/>
  <c r="L17" i="5"/>
  <c r="K17" i="5"/>
  <c r="K30" i="5" s="1"/>
  <c r="J17" i="5"/>
  <c r="J30" i="5" s="1"/>
  <c r="I17" i="5"/>
  <c r="I30" i="5" s="1"/>
  <c r="H17" i="5"/>
  <c r="H30" i="5" s="1"/>
  <c r="G17" i="5"/>
  <c r="G30" i="5" s="1"/>
  <c r="F17" i="5"/>
  <c r="F30" i="5" s="1"/>
  <c r="Q16" i="5"/>
  <c r="P15" i="5"/>
  <c r="O15" i="5"/>
  <c r="O29" i="5" s="1"/>
  <c r="N15" i="5"/>
  <c r="N29" i="5" s="1"/>
  <c r="M15" i="5"/>
  <c r="M29" i="5" s="1"/>
  <c r="L15" i="5"/>
  <c r="L29" i="5" s="1"/>
  <c r="K15" i="5"/>
  <c r="K29" i="5" s="1"/>
  <c r="J15" i="5"/>
  <c r="J29" i="5" s="1"/>
  <c r="I15" i="5"/>
  <c r="H15" i="5"/>
  <c r="G15" i="5"/>
  <c r="G29" i="5" s="1"/>
  <c r="F15" i="5"/>
  <c r="F29" i="5" s="1"/>
  <c r="Q14" i="5"/>
  <c r="Q22" i="5" s="1"/>
  <c r="P13" i="5"/>
  <c r="P28" i="5" s="1"/>
  <c r="O13" i="5"/>
  <c r="O28" i="5" s="1"/>
  <c r="N13" i="5"/>
  <c r="N28" i="5" s="1"/>
  <c r="M13" i="5"/>
  <c r="L13" i="5"/>
  <c r="K13" i="5"/>
  <c r="K28" i="5" s="1"/>
  <c r="J13" i="5"/>
  <c r="J28" i="5" s="1"/>
  <c r="I13" i="5"/>
  <c r="I28" i="5" s="1"/>
  <c r="H13" i="5"/>
  <c r="H28" i="5" s="1"/>
  <c r="G13" i="5"/>
  <c r="G28" i="5" s="1"/>
  <c r="F13" i="5"/>
  <c r="F28" i="5" s="1"/>
  <c r="Q12" i="5"/>
  <c r="Q31" i="6" l="1"/>
  <c r="F19" i="8" s="1"/>
  <c r="F38" i="8" s="1"/>
  <c r="G38" i="8" s="1"/>
  <c r="H38" i="8" s="1"/>
  <c r="Q29" i="5"/>
  <c r="F13" i="8" s="1"/>
  <c r="Q28" i="5"/>
  <c r="Q30" i="5"/>
  <c r="F14" i="8" s="1"/>
  <c r="Q32" i="5"/>
  <c r="Q29" i="6"/>
  <c r="F17" i="8" s="1"/>
  <c r="F36" i="8" s="1"/>
  <c r="Q28" i="7"/>
  <c r="Q30" i="7"/>
  <c r="H18" i="8" s="1"/>
  <c r="Q32" i="7"/>
  <c r="H20" i="8" s="1"/>
  <c r="Q28" i="6"/>
  <c r="Q30" i="6"/>
  <c r="F18" i="8" s="1"/>
  <c r="Q32" i="6"/>
  <c r="F20" i="8" s="1"/>
  <c r="F39" i="8" s="1"/>
  <c r="G39" i="8" s="1"/>
  <c r="H39" i="8" s="1"/>
  <c r="L40" i="8"/>
  <c r="L26" i="8" s="1"/>
  <c r="L62" i="8" s="1"/>
  <c r="Q42" i="5"/>
  <c r="Q47" i="5" s="1"/>
  <c r="F16" i="8" l="1"/>
  <c r="Q33" i="6"/>
  <c r="Q33" i="5"/>
  <c r="F12" i="8"/>
  <c r="H16" i="8"/>
  <c r="H15" i="8" s="1"/>
  <c r="H10" i="8" s="1"/>
  <c r="Q33" i="7"/>
  <c r="F11" i="8" l="1"/>
  <c r="F34" i="8"/>
  <c r="H34" i="8" s="1"/>
  <c r="H40" i="8" s="1"/>
  <c r="F15" i="8"/>
  <c r="H26" i="8" l="1"/>
  <c r="H62" i="8" s="1"/>
  <c r="H63" i="8" s="1"/>
  <c r="H66" i="8" s="1"/>
  <c r="F10" i="8"/>
  <c r="L35" i="4" l="1"/>
  <c r="H35" i="4"/>
  <c r="I34" i="4"/>
  <c r="H34" i="4"/>
  <c r="L33" i="4"/>
  <c r="J33" i="4"/>
  <c r="E33" i="4"/>
  <c r="I32" i="4"/>
  <c r="H32" i="4"/>
  <c r="I31" i="4"/>
  <c r="H31" i="4"/>
  <c r="I30" i="4"/>
  <c r="H30" i="4"/>
  <c r="I29" i="4"/>
  <c r="H29" i="4"/>
  <c r="G29" i="4"/>
  <c r="I28" i="4"/>
  <c r="H28" i="4"/>
  <c r="I27" i="4"/>
  <c r="H27" i="4"/>
  <c r="I26" i="4"/>
  <c r="H26" i="4"/>
  <c r="L25" i="4"/>
  <c r="H25" i="4"/>
  <c r="J23" i="4"/>
  <c r="K23" i="4" s="1"/>
  <c r="L23" i="4" s="1"/>
  <c r="J22" i="4"/>
  <c r="K22" i="4" s="1"/>
  <c r="L22" i="4" s="1"/>
  <c r="J20" i="4"/>
  <c r="G20" i="4"/>
  <c r="H20" i="4" s="1"/>
  <c r="H19" i="4"/>
  <c r="L18" i="4"/>
  <c r="J18" i="4"/>
  <c r="G18" i="4"/>
  <c r="H18" i="4" s="1"/>
  <c r="I15" i="4"/>
  <c r="I5" i="4"/>
  <c r="E47" i="3"/>
  <c r="Q46" i="3"/>
  <c r="E46" i="3"/>
  <c r="Q45" i="3"/>
  <c r="E45" i="3"/>
  <c r="E44" i="3"/>
  <c r="Q44" i="3" s="1"/>
  <c r="E43" i="3"/>
  <c r="Q43" i="3" s="1"/>
  <c r="Q42" i="3"/>
  <c r="E42" i="3"/>
  <c r="B40" i="3"/>
  <c r="E33" i="3"/>
  <c r="O32" i="3"/>
  <c r="N32" i="3"/>
  <c r="G32" i="3"/>
  <c r="F32" i="3"/>
  <c r="P31" i="3"/>
  <c r="K31" i="3"/>
  <c r="J31" i="3"/>
  <c r="H31" i="3"/>
  <c r="O30" i="3"/>
  <c r="N30" i="3"/>
  <c r="L30" i="3"/>
  <c r="G30" i="3"/>
  <c r="F30" i="3"/>
  <c r="P29" i="3"/>
  <c r="K29" i="3"/>
  <c r="J29" i="3"/>
  <c r="H29" i="3"/>
  <c r="O28" i="3"/>
  <c r="N28" i="3"/>
  <c r="L28" i="3"/>
  <c r="G28" i="3"/>
  <c r="F28" i="3"/>
  <c r="E22" i="3"/>
  <c r="P21" i="3"/>
  <c r="P32" i="3" s="1"/>
  <c r="O21" i="3"/>
  <c r="N21" i="3"/>
  <c r="M21" i="3"/>
  <c r="M32" i="3" s="1"/>
  <c r="L21" i="3"/>
  <c r="L32" i="3" s="1"/>
  <c r="K21" i="3"/>
  <c r="K32" i="3" s="1"/>
  <c r="J21" i="3"/>
  <c r="J32" i="3" s="1"/>
  <c r="I21" i="3"/>
  <c r="I32" i="3" s="1"/>
  <c r="H21" i="3"/>
  <c r="H32" i="3" s="1"/>
  <c r="G21" i="3"/>
  <c r="F21" i="3"/>
  <c r="Q20" i="3"/>
  <c r="P19" i="3"/>
  <c r="O19" i="3"/>
  <c r="O31" i="3" s="1"/>
  <c r="N19" i="3"/>
  <c r="N31" i="3" s="1"/>
  <c r="M19" i="3"/>
  <c r="M31" i="3" s="1"/>
  <c r="L19" i="3"/>
  <c r="L31" i="3" s="1"/>
  <c r="K19" i="3"/>
  <c r="J19" i="3"/>
  <c r="I19" i="3"/>
  <c r="I31" i="3" s="1"/>
  <c r="H19" i="3"/>
  <c r="G19" i="3"/>
  <c r="G31" i="3" s="1"/>
  <c r="F19" i="3"/>
  <c r="F31" i="3" s="1"/>
  <c r="Q18" i="3"/>
  <c r="P17" i="3"/>
  <c r="P30" i="3" s="1"/>
  <c r="O17" i="3"/>
  <c r="N17" i="3"/>
  <c r="M17" i="3"/>
  <c r="M30" i="3" s="1"/>
  <c r="L17" i="3"/>
  <c r="K17" i="3"/>
  <c r="K30" i="3" s="1"/>
  <c r="J17" i="3"/>
  <c r="J30" i="3" s="1"/>
  <c r="I17" i="3"/>
  <c r="I30" i="3" s="1"/>
  <c r="H17" i="3"/>
  <c r="H30" i="3" s="1"/>
  <c r="G17" i="3"/>
  <c r="F17" i="3"/>
  <c r="Q16" i="3"/>
  <c r="P15" i="3"/>
  <c r="O15" i="3"/>
  <c r="O29" i="3" s="1"/>
  <c r="N15" i="3"/>
  <c r="N29" i="3" s="1"/>
  <c r="M15" i="3"/>
  <c r="M29" i="3" s="1"/>
  <c r="L15" i="3"/>
  <c r="L29" i="3" s="1"/>
  <c r="K15" i="3"/>
  <c r="J15" i="3"/>
  <c r="I15" i="3"/>
  <c r="I29" i="3" s="1"/>
  <c r="H15" i="3"/>
  <c r="G15" i="3"/>
  <c r="G29" i="3" s="1"/>
  <c r="F15" i="3"/>
  <c r="F29" i="3" s="1"/>
  <c r="Q14" i="3"/>
  <c r="P13" i="3"/>
  <c r="P28" i="3" s="1"/>
  <c r="O13" i="3"/>
  <c r="N13" i="3"/>
  <c r="M13" i="3"/>
  <c r="M28" i="3" s="1"/>
  <c r="L13" i="3"/>
  <c r="K13" i="3"/>
  <c r="K28" i="3" s="1"/>
  <c r="J13" i="3"/>
  <c r="J28" i="3" s="1"/>
  <c r="I13" i="3"/>
  <c r="I28" i="3" s="1"/>
  <c r="H13" i="3"/>
  <c r="H28" i="3" s="1"/>
  <c r="G13" i="3"/>
  <c r="F13" i="3"/>
  <c r="Q12" i="3"/>
  <c r="Q22" i="3" s="1"/>
  <c r="E46" i="2"/>
  <c r="Q46" i="2" s="1"/>
  <c r="E45" i="2"/>
  <c r="Q45" i="2" s="1"/>
  <c r="E44" i="2"/>
  <c r="Q44" i="2" s="1"/>
  <c r="E43" i="2"/>
  <c r="Q43" i="2" s="1"/>
  <c r="Q42" i="2"/>
  <c r="E42" i="2"/>
  <c r="B40" i="2"/>
  <c r="E33" i="2"/>
  <c r="P32" i="2"/>
  <c r="N32" i="2"/>
  <c r="I32" i="2"/>
  <c r="H32" i="2"/>
  <c r="F32" i="2"/>
  <c r="M31" i="2"/>
  <c r="L31" i="2"/>
  <c r="J31" i="2"/>
  <c r="P30" i="2"/>
  <c r="N30" i="2"/>
  <c r="I30" i="2"/>
  <c r="H30" i="2"/>
  <c r="F30" i="2"/>
  <c r="E22" i="2"/>
  <c r="P21" i="2"/>
  <c r="O21" i="2"/>
  <c r="O32" i="2" s="1"/>
  <c r="N21" i="2"/>
  <c r="M21" i="2"/>
  <c r="M32" i="2" s="1"/>
  <c r="L21" i="2"/>
  <c r="L32" i="2" s="1"/>
  <c r="K21" i="2"/>
  <c r="K32" i="2" s="1"/>
  <c r="J21" i="2"/>
  <c r="J32" i="2" s="1"/>
  <c r="I21" i="2"/>
  <c r="H21" i="2"/>
  <c r="G21" i="2"/>
  <c r="G32" i="2" s="1"/>
  <c r="F21" i="2"/>
  <c r="Q20" i="2"/>
  <c r="P19" i="2"/>
  <c r="P31" i="2" s="1"/>
  <c r="O19" i="2"/>
  <c r="O31" i="2" s="1"/>
  <c r="N19" i="2"/>
  <c r="N31" i="2" s="1"/>
  <c r="M19" i="2"/>
  <c r="L19" i="2"/>
  <c r="K19" i="2"/>
  <c r="K31" i="2" s="1"/>
  <c r="J19" i="2"/>
  <c r="I19" i="2"/>
  <c r="I31" i="2" s="1"/>
  <c r="H19" i="2"/>
  <c r="H31" i="2" s="1"/>
  <c r="G19" i="2"/>
  <c r="G31" i="2" s="1"/>
  <c r="F19" i="2"/>
  <c r="F31" i="2" s="1"/>
  <c r="Q18" i="2"/>
  <c r="P17" i="2"/>
  <c r="O17" i="2"/>
  <c r="O30" i="2" s="1"/>
  <c r="N17" i="2"/>
  <c r="M17" i="2"/>
  <c r="M30" i="2" s="1"/>
  <c r="L17" i="2"/>
  <c r="L30" i="2" s="1"/>
  <c r="K17" i="2"/>
  <c r="K30" i="2" s="1"/>
  <c r="J17" i="2"/>
  <c r="J30" i="2" s="1"/>
  <c r="I17" i="2"/>
  <c r="H17" i="2"/>
  <c r="G17" i="2"/>
  <c r="G30" i="2" s="1"/>
  <c r="F17" i="2"/>
  <c r="Q16" i="2"/>
  <c r="P15" i="2"/>
  <c r="P29" i="2" s="1"/>
  <c r="O15" i="2"/>
  <c r="O29" i="2" s="1"/>
  <c r="N15" i="2"/>
  <c r="N29" i="2" s="1"/>
  <c r="M15" i="2"/>
  <c r="M29" i="2" s="1"/>
  <c r="L15" i="2"/>
  <c r="L29" i="2" s="1"/>
  <c r="K15" i="2"/>
  <c r="K29" i="2" s="1"/>
  <c r="J15" i="2"/>
  <c r="J29" i="2" s="1"/>
  <c r="I15" i="2"/>
  <c r="I29" i="2" s="1"/>
  <c r="H15" i="2"/>
  <c r="H29" i="2" s="1"/>
  <c r="G15" i="2"/>
  <c r="G29" i="2" s="1"/>
  <c r="F15" i="2"/>
  <c r="F29" i="2" s="1"/>
  <c r="Q14" i="2"/>
  <c r="P13" i="2"/>
  <c r="P28" i="2" s="1"/>
  <c r="O13" i="2"/>
  <c r="O28" i="2" s="1"/>
  <c r="N13" i="2"/>
  <c r="N28" i="2" s="1"/>
  <c r="M13" i="2"/>
  <c r="M28" i="2" s="1"/>
  <c r="L13" i="2"/>
  <c r="L28" i="2" s="1"/>
  <c r="K13" i="2"/>
  <c r="K28" i="2" s="1"/>
  <c r="J13" i="2"/>
  <c r="J28" i="2" s="1"/>
  <c r="I13" i="2"/>
  <c r="I28" i="2" s="1"/>
  <c r="H13" i="2"/>
  <c r="H28" i="2" s="1"/>
  <c r="G13" i="2"/>
  <c r="G28" i="2" s="1"/>
  <c r="F13" i="2"/>
  <c r="F28" i="2" s="1"/>
  <c r="Q12" i="2"/>
  <c r="Q22" i="2" l="1"/>
  <c r="Q31" i="2"/>
  <c r="F10" i="4" s="1"/>
  <c r="F22" i="4" s="1"/>
  <c r="G22" i="4" s="1"/>
  <c r="H22" i="4" s="1"/>
  <c r="E47" i="2"/>
  <c r="Q29" i="2"/>
  <c r="F20" i="4" s="1"/>
  <c r="G21" i="4" s="1"/>
  <c r="H21" i="4" s="1"/>
  <c r="Q47" i="2"/>
  <c r="Q28" i="2"/>
  <c r="Q30" i="2"/>
  <c r="L24" i="4"/>
  <c r="L17" i="4" s="1"/>
  <c r="L36" i="4" s="1"/>
  <c r="L37" i="4" s="1"/>
  <c r="Q32" i="2"/>
  <c r="F11" i="4" s="1"/>
  <c r="F23" i="4" s="1"/>
  <c r="G23" i="4" s="1"/>
  <c r="H23" i="4" s="1"/>
  <c r="Q32" i="3"/>
  <c r="I11" i="4" s="1"/>
  <c r="Q31" i="3"/>
  <c r="I10" i="4" s="1"/>
  <c r="Q28" i="3"/>
  <c r="Q29" i="3"/>
  <c r="I9" i="4" s="1"/>
  <c r="Q30" i="3"/>
  <c r="Q47" i="3"/>
  <c r="H24" i="4" l="1"/>
  <c r="H17" i="4" s="1"/>
  <c r="H36" i="4" s="1"/>
  <c r="H37" i="4" s="1"/>
  <c r="H40" i="4" s="1"/>
  <c r="Q33" i="3"/>
  <c r="I8" i="4"/>
  <c r="I7" i="4" s="1"/>
  <c r="Q33" i="2"/>
  <c r="F8" i="4"/>
  <c r="F7" i="4" l="1"/>
  <c r="F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080A95BB-B30B-4B36-8686-9F8F51BD02B9}">
      <text>
        <r>
          <rPr>
            <sz val="20"/>
            <color indexed="81"/>
            <rFont val="MS P ゴシック"/>
            <family val="3"/>
            <charset val="128"/>
          </rPr>
          <t>シート「児童数」の（２）平均児童数の数字を組み込んでいます。
※
シート「児童数」の（３）を活用されている場合は、（３）平均児童数の数字を転記ください。</t>
        </r>
      </text>
    </comment>
    <comment ref="A14" authorId="0" shapeId="0" xr:uid="{AB318DDB-C18F-49A3-8225-C108360E3EAB}">
      <text>
        <r>
          <rPr>
            <sz val="20"/>
            <color indexed="81"/>
            <rFont val="MS P ゴシック"/>
            <family val="3"/>
            <charset val="128"/>
          </rPr>
          <t>当該年度の４月時点の状況
※（社労士・会計士等の担当者さまへ）申請に基づくものであり、施設で認識・把握されているものです</t>
        </r>
      </text>
    </comment>
    <comment ref="F27" authorId="0" shapeId="0" xr:uid="{586770F9-6377-4C5B-99C7-01FAAFF94453}">
      <text>
        <r>
          <rPr>
            <sz val="20"/>
            <color indexed="81"/>
            <rFont val="MS P ゴシック"/>
            <family val="3"/>
            <charset val="128"/>
          </rPr>
          <t>Ａ：特別児童扶養手当支給対象児童受入施設
Ｂ：それ以外の障害児受入施設</t>
        </r>
      </text>
    </comment>
    <comment ref="F29" authorId="0" shapeId="0" xr:uid="{FBF444F7-8EA2-4EAC-A807-318BF4E2185A}">
      <text>
        <r>
          <rPr>
            <sz val="20"/>
            <color indexed="81"/>
            <rFont val="ＭＳ Ｐゴシック"/>
            <family val="3"/>
            <charset val="128"/>
          </rPr>
          <t>休日保育の年間延べ利用子ども数を入力</t>
        </r>
      </text>
    </comment>
    <comment ref="F31" authorId="0" shapeId="0" xr:uid="{B94028F9-8646-434F-A00E-AB402F291D6B}">
      <text>
        <r>
          <rPr>
            <sz val="20"/>
            <color indexed="81"/>
            <rFont val="MS P ゴシック"/>
            <family val="3"/>
            <charset val="128"/>
          </rPr>
          <t>加算算定上の「加配人数」を入力</t>
        </r>
      </text>
    </comment>
    <comment ref="C32" authorId="0" shapeId="0" xr:uid="{6CF43D3F-A63B-4EF1-AFCD-A21EBD3A9BC3}">
      <text>
        <r>
          <rPr>
            <sz val="16"/>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CE636DD0-6B05-4D9A-B0A5-38FBD4FE1430}">
      <text>
        <r>
          <rPr>
            <sz val="20"/>
            <color indexed="81"/>
            <rFont val="MS P ゴシック"/>
            <family val="3"/>
            <charset val="128"/>
          </rPr>
          <t>シート「児童数」の（２）平均児童数の数字を組み込んでいます。
※
シート「児童数」の（３）を活用されている場合は、（３）平均児童数の数字を転記ください。</t>
        </r>
      </text>
    </comment>
    <comment ref="A23" authorId="0" shapeId="0" xr:uid="{BE18E792-A317-4D1F-A0E2-FC8E1292EFEA}">
      <text>
        <r>
          <rPr>
            <sz val="20"/>
            <color indexed="81"/>
            <rFont val="MS P ゴシック"/>
            <family val="3"/>
            <charset val="128"/>
          </rPr>
          <t>当該年度の４月時点の状況
※（社労士・会計士等の担当者さまへ）申請に基づくものであり、施設で認識・把握されているものです</t>
        </r>
      </text>
    </comment>
    <comment ref="F46" authorId="0" shapeId="0" xr:uid="{3A1B48D0-E178-442C-B8CB-229F95859509}">
      <text>
        <r>
          <rPr>
            <sz val="20"/>
            <color indexed="81"/>
            <rFont val="ＭＳ Ｐゴシック"/>
            <family val="3"/>
            <charset val="128"/>
          </rPr>
          <t>加算算定上の「加配人数」を入力</t>
        </r>
      </text>
    </comment>
    <comment ref="F49" authorId="0" shapeId="0" xr:uid="{B97C1884-EA65-4F52-8A06-3F52D5E0D5AD}">
      <text>
        <r>
          <rPr>
            <sz val="20"/>
            <color indexed="81"/>
            <rFont val="ＭＳ Ｐゴシック"/>
            <family val="3"/>
            <charset val="128"/>
          </rPr>
          <t>休日保育の年間延べ利用子ども数を入力</t>
        </r>
      </text>
    </comment>
    <comment ref="F51" authorId="0" shapeId="0" xr:uid="{BB8ABF08-9759-42DB-B009-C25383347598}">
      <text>
        <r>
          <rPr>
            <sz val="20"/>
            <color indexed="81"/>
            <rFont val="MS P ゴシック"/>
            <family val="3"/>
            <charset val="128"/>
          </rPr>
          <t>Ａ：特別児童扶養手当支給対象児童受入施設
Ｂ：それ以外の障害児受入施設</t>
        </r>
      </text>
    </comment>
    <comment ref="C55" authorId="0" shapeId="0" xr:uid="{86924DCA-A3E4-4F88-97EB-CF91C37C0587}">
      <text>
        <r>
          <rPr>
            <sz val="16"/>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F56" authorId="0" shapeId="0" xr:uid="{0BB9E764-40F8-40A2-A66B-0D45AD310910}">
      <text>
        <r>
          <rPr>
            <sz val="20"/>
            <color indexed="81"/>
            <rFont val="MS P ゴシック"/>
            <family val="3"/>
            <charset val="128"/>
          </rPr>
          <t>適用を受ける区分を入力</t>
        </r>
      </text>
    </comment>
    <comment ref="F57" authorId="0" shapeId="0" xr:uid="{EEF778EB-E9BF-4C4C-BD18-80632B3DCCC9}">
      <text>
        <r>
          <rPr>
            <sz val="20"/>
            <color indexed="81"/>
            <rFont val="MS P ゴシック"/>
            <family val="3"/>
            <charset val="128"/>
          </rPr>
          <t>「必要保育教諭等数－配置保育教諭等数」
の値を入力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C067E0F1-CB34-4ED8-BDCD-194D9EDE02B8}">
      <text>
        <r>
          <rPr>
            <sz val="20"/>
            <color indexed="81"/>
            <rFont val="MS P ゴシック"/>
            <family val="3"/>
            <charset val="128"/>
          </rPr>
          <t>シート「児童数」の（２）平均児童数の数字を組み込んでいます。
※
シート「児童数」の（３）を活用されている場合は、（３）平均児童数の数字を転記ください。</t>
        </r>
      </text>
    </comment>
    <comment ref="A15" authorId="0" shapeId="0" xr:uid="{89D8370F-E55E-4550-BE05-F34A1E2971CB}">
      <text>
        <r>
          <rPr>
            <sz val="20"/>
            <color indexed="81"/>
            <rFont val="MS P ゴシック"/>
            <family val="3"/>
            <charset val="128"/>
          </rPr>
          <t>当該年度の４月時点の状況
※（社労士・会計士等の担当者さまへ）申請に基づくものであり、施設で認識・把握されているものです</t>
        </r>
      </text>
    </comment>
    <comment ref="F23" authorId="0" shapeId="0" xr:uid="{DFE7DB1C-5BD1-4950-9A3C-8B4370A688C2}">
      <text>
        <r>
          <rPr>
            <sz val="20"/>
            <color indexed="81"/>
            <rFont val="MS P ゴシック"/>
            <family val="3"/>
            <charset val="128"/>
          </rPr>
          <t>加算算定上の「加配人数」を入力</t>
        </r>
      </text>
    </comment>
    <comment ref="F25" authorId="0" shapeId="0" xr:uid="{F1862F3A-37FC-4DDE-879D-D80EE83B288A}">
      <text>
        <r>
          <rPr>
            <sz val="20"/>
            <color indexed="81"/>
            <rFont val="MS P ゴシック"/>
            <family val="3"/>
            <charset val="128"/>
          </rPr>
          <t>適用されている区分を入力</t>
        </r>
      </text>
    </comment>
    <comment ref="F27" authorId="0" shapeId="0" xr:uid="{D72CF160-B76B-4E5A-895C-55D303EF33F7}">
      <text>
        <r>
          <rPr>
            <sz val="20"/>
            <color indexed="81"/>
            <rFont val="MS P ゴシック"/>
            <family val="3"/>
            <charset val="128"/>
          </rPr>
          <t>Ａ：特別児童扶養手当支給対象児童受入施設
Ｂ：それ以外の障害児受入施設</t>
        </r>
      </text>
    </comment>
    <comment ref="C31" authorId="0" shapeId="0" xr:uid="{C86F0831-7AB4-4FF8-A48D-E2A91BF1B468}">
      <text>
        <r>
          <rPr>
            <sz val="16"/>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F32" authorId="0" shapeId="0" xr:uid="{49BA5DB1-477E-4FC5-8133-574291C9D1F4}">
      <text>
        <r>
          <rPr>
            <sz val="20"/>
            <color indexed="81"/>
            <rFont val="MS P ゴシック"/>
            <family val="3"/>
            <charset val="128"/>
          </rPr>
          <t>「必要教員数－配置教員数」の値を入力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8" authorId="0" shapeId="0" xr:uid="{E86FEDC7-4A71-4F2F-9A03-893CF6FE4560}">
      <text>
        <r>
          <rPr>
            <sz val="12"/>
            <color indexed="81"/>
            <rFont val="ＭＳ Ｐゴシック"/>
            <family val="3"/>
            <charset val="128"/>
          </rPr>
          <t>休日保育の年間延べ利用子ども数を入力</t>
        </r>
      </text>
    </comment>
    <comment ref="C20" authorId="0" shapeId="0" xr:uid="{F171BD9C-63BE-42FC-B2EF-A71C9BA93886}">
      <text>
        <r>
          <rPr>
            <sz val="18"/>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BDD12E72-9B3D-4014-8FFD-3AAD3AFA5F83}">
      <text>
        <r>
          <rPr>
            <sz val="20"/>
            <color indexed="81"/>
            <rFont val="ＭＳ Ｐゴシック"/>
            <family val="3"/>
            <charset val="128"/>
          </rPr>
          <t>休日保育の年間延べ利用子ども数を入力</t>
        </r>
      </text>
    </comment>
    <comment ref="C22" authorId="0" shapeId="0" xr:uid="{D8FEE09B-CD52-4D2E-BDE5-CD8F9CFD3CF5}">
      <text>
        <r>
          <rPr>
            <sz val="18"/>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ADB683BD-C9DE-4345-9DFD-424BDC1A1572}">
      <text>
        <r>
          <rPr>
            <sz val="20"/>
            <color indexed="81"/>
            <rFont val="MS P ゴシック"/>
            <family val="3"/>
            <charset val="128"/>
          </rPr>
          <t>利用子どもの人数に応じて選択</t>
        </r>
      </text>
    </comment>
    <comment ref="F9" authorId="0" shapeId="0" xr:uid="{D28382D5-E494-4FB5-BCFB-7344B7112116}">
      <text>
        <r>
          <rPr>
            <sz val="20"/>
            <color indexed="81"/>
            <rFont val="MS P ゴシック"/>
            <family val="3"/>
            <charset val="128"/>
          </rPr>
          <t>特別な支援が必要な利用子どもの人数を入力</t>
        </r>
      </text>
    </comment>
    <comment ref="C10" authorId="0" shapeId="0" xr:uid="{0D885F04-FEBA-4ECB-A1CB-FF9154221184}">
      <text>
        <r>
          <rPr>
            <sz val="18"/>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sharedStrings.xml><?xml version="1.0" encoding="utf-8"?>
<sst xmlns="http://schemas.openxmlformats.org/spreadsheetml/2006/main" count="880" uniqueCount="181">
  <si>
    <t>平均年齢別児童数計算表</t>
    <rPh sb="0" eb="2">
      <t>ヘイキン</t>
    </rPh>
    <rPh sb="2" eb="5">
      <t>ネンレイベツ</t>
    </rPh>
    <rPh sb="5" eb="8">
      <t>ジドウスウ</t>
    </rPh>
    <rPh sb="8" eb="11">
      <t>ケイサンヒョウ</t>
    </rPh>
    <phoneticPr fontId="4"/>
  </si>
  <si>
    <t>施設・事業所名</t>
    <rPh sb="0" eb="2">
      <t>シセツ</t>
    </rPh>
    <rPh sb="3" eb="6">
      <t>ジギョウショ</t>
    </rPh>
    <rPh sb="6" eb="7">
      <t>メイ</t>
    </rPh>
    <phoneticPr fontId="4"/>
  </si>
  <si>
    <t>黄色セルは入力項目</t>
    <rPh sb="0" eb="2">
      <t>キイロ</t>
    </rPh>
    <rPh sb="1" eb="2">
      <t>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</si>
  <si>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</si>
  <si>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</si>
  <si>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r>
      <t>（１）</t>
    </r>
    <r>
      <rPr>
        <b/>
        <sz val="14"/>
        <color rgb="FFFF0000"/>
        <rFont val="游ゴシック"/>
        <family val="3"/>
        <charset val="128"/>
        <scheme val="minor"/>
      </rPr>
      <t>令和５年度</t>
    </r>
    <r>
      <rPr>
        <b/>
        <sz val="14"/>
        <rFont val="游ゴシック"/>
        <family val="3"/>
        <charset val="128"/>
        <scheme val="minor"/>
      </rPr>
      <t>実績</t>
    </r>
    <phoneticPr fontId="4"/>
  </si>
  <si>
    <t>５年度</t>
    <rPh sb="1" eb="3">
      <t>ネンド</t>
    </rPh>
    <phoneticPr fontId="4"/>
  </si>
  <si>
    <t>平均
児童数</t>
    <rPh sb="0" eb="2">
      <t>ヘイキン</t>
    </rPh>
    <rPh sb="3" eb="6">
      <t>ジドウスウ</t>
    </rPh>
    <phoneticPr fontId="4"/>
  </si>
  <si>
    <t>実績</t>
    <rPh sb="0" eb="2">
      <t>ジッセキ</t>
    </rPh>
    <phoneticPr fontId="4"/>
  </si>
  <si>
    <t>４歳以上児</t>
    <rPh sb="1" eb="2">
      <t>サイ</t>
    </rPh>
    <rPh sb="4" eb="5">
      <t>ジ</t>
    </rPh>
    <phoneticPr fontId="4"/>
  </si>
  <si>
    <t>児童数</t>
    <rPh sb="0" eb="3">
      <t>ジドウスウ</t>
    </rPh>
    <phoneticPr fontId="4"/>
  </si>
  <si>
    <t>伸び率</t>
    <rPh sb="0" eb="1">
      <t>ノ</t>
    </rPh>
    <rPh sb="2" eb="3">
      <t>リツ</t>
    </rPh>
    <phoneticPr fontId="4"/>
  </si>
  <si>
    <t xml:space="preserve"> </t>
    <phoneticPr fontId="4"/>
  </si>
  <si>
    <t>３歳児</t>
    <rPh sb="1" eb="3">
      <t>サイジ</t>
    </rPh>
    <phoneticPr fontId="4"/>
  </si>
  <si>
    <r>
      <t xml:space="preserve">うち満３歳児
</t>
    </r>
    <r>
      <rPr>
        <sz val="8"/>
        <color theme="1"/>
        <rFont val="游ゴシック"/>
        <family val="3"/>
        <charset val="128"/>
        <scheme val="minor"/>
      </rPr>
      <t>（認定こども園のみ）</t>
    </r>
    <rPh sb="2" eb="3">
      <t>マン</t>
    </rPh>
    <rPh sb="4" eb="6">
      <t>サイジ</t>
    </rPh>
    <rPh sb="8" eb="10">
      <t>ニン</t>
    </rPh>
    <phoneticPr fontId="4"/>
  </si>
  <si>
    <t>１，２歳児</t>
    <rPh sb="3" eb="5">
      <t>サイジ</t>
    </rPh>
    <phoneticPr fontId="4"/>
  </si>
  <si>
    <t>０歳児</t>
    <rPh sb="1" eb="3">
      <t>サイジ</t>
    </rPh>
    <phoneticPr fontId="4"/>
  </si>
  <si>
    <t>合計</t>
    <rPh sb="0" eb="2">
      <t>ゴウケイ</t>
    </rPh>
    <phoneticPr fontId="4"/>
  </si>
  <si>
    <r>
      <t>（２）前年実績による</t>
    </r>
    <r>
      <rPr>
        <b/>
        <sz val="14"/>
        <color rgb="FFFF0000"/>
        <rFont val="游ゴシック"/>
        <family val="3"/>
        <charset val="128"/>
        <scheme val="minor"/>
      </rPr>
      <t>令和６年度</t>
    </r>
    <r>
      <rPr>
        <b/>
        <sz val="14"/>
        <rFont val="游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</si>
  <si>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６年度</t>
    <rPh sb="1" eb="3">
      <t>ネンド</t>
    </rPh>
    <phoneticPr fontId="4"/>
  </si>
  <si>
    <t>見込み（４月実績×（１）で算出された伸び率）</t>
    <phoneticPr fontId="4"/>
  </si>
  <si>
    <r>
      <t xml:space="preserve">うち満３歳児
</t>
    </r>
    <r>
      <rPr>
        <sz val="8"/>
        <color theme="1"/>
        <rFont val="游ゴシック"/>
        <family val="3"/>
        <charset val="128"/>
        <scheme val="minor"/>
      </rPr>
      <t>（認定こども園のみ）</t>
    </r>
    <rPh sb="2" eb="3">
      <t>マン</t>
    </rPh>
    <rPh sb="4" eb="6">
      <t>サイジ</t>
    </rPh>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</si>
  <si>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</si>
  <si>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</si>
  <si>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</si>
  <si>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</si>
  <si>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</si>
  <si>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平均年齢別児童数計算表（分園用）</t>
    <rPh sb="0" eb="2">
      <t>ヘイキン</t>
    </rPh>
    <rPh sb="2" eb="5">
      <t>ネンレイベツ</t>
    </rPh>
    <rPh sb="5" eb="8">
      <t>ジドウスウ</t>
    </rPh>
    <rPh sb="8" eb="11">
      <t>ケイサンヒョウ</t>
    </rPh>
    <rPh sb="12" eb="14">
      <t>ブンエン</t>
    </rPh>
    <rPh sb="14" eb="15">
      <t>ヨウ</t>
    </rPh>
    <phoneticPr fontId="4"/>
  </si>
  <si>
    <r>
      <t>（１）</t>
    </r>
    <r>
      <rPr>
        <b/>
        <sz val="14"/>
        <color rgb="FFFF0000"/>
        <rFont val="游ゴシック"/>
        <family val="3"/>
        <charset val="128"/>
        <scheme val="minor"/>
      </rPr>
      <t>令和５年度</t>
    </r>
    <r>
      <rPr>
        <b/>
        <sz val="14"/>
        <color theme="1"/>
        <rFont val="游ゴシック"/>
        <family val="3"/>
        <charset val="128"/>
        <scheme val="minor"/>
      </rPr>
      <t>実績</t>
    </r>
    <phoneticPr fontId="4"/>
  </si>
  <si>
    <r>
      <t>（２）前年実績による</t>
    </r>
    <r>
      <rPr>
        <b/>
        <sz val="14"/>
        <color rgb="FFFF0000"/>
        <rFont val="游ゴシック"/>
        <family val="3"/>
        <charset val="128"/>
        <scheme val="minor"/>
      </rPr>
      <t>令和６年度</t>
    </r>
    <r>
      <rPr>
        <b/>
        <sz val="14"/>
        <color theme="1"/>
        <rFont val="游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</si>
  <si>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加算Ⅲ算定対象人数計算表</t>
    <rPh sb="0" eb="2">
      <t>カサン</t>
    </rPh>
    <rPh sb="3" eb="5">
      <t>サンテイ</t>
    </rPh>
    <rPh sb="5" eb="7">
      <t>タイショウ</t>
    </rPh>
    <rPh sb="7" eb="9">
      <t>ニンズウ</t>
    </rPh>
    <rPh sb="9" eb="11">
      <t>ケイサン</t>
    </rPh>
    <rPh sb="11" eb="12">
      <t>オモテ</t>
    </rPh>
    <phoneticPr fontId="4"/>
  </si>
  <si>
    <t>0．基礎情報</t>
    <rPh sb="2" eb="4">
      <t>キソ</t>
    </rPh>
    <rPh sb="4" eb="6">
      <t>ジョウホウ</t>
    </rPh>
    <phoneticPr fontId="4"/>
  </si>
  <si>
    <t>選択項目</t>
    <rPh sb="0" eb="2">
      <t>センタク</t>
    </rPh>
    <rPh sb="2" eb="4">
      <t>コウモク</t>
    </rPh>
    <phoneticPr fontId="4"/>
  </si>
  <si>
    <t>入力項目</t>
    <rPh sb="0" eb="2">
      <t>ニュウリョク</t>
    </rPh>
    <rPh sb="2" eb="4">
      <t>コウモク</t>
    </rPh>
    <phoneticPr fontId="4"/>
  </si>
  <si>
    <t>分園の有無</t>
    <rPh sb="0" eb="2">
      <t>ブンエン</t>
    </rPh>
    <rPh sb="3" eb="5">
      <t>ウム</t>
    </rPh>
    <phoneticPr fontId="4"/>
  </si>
  <si>
    <t>本園分を
記入</t>
    <rPh sb="0" eb="1">
      <t>ホン</t>
    </rPh>
    <rPh sb="1" eb="2">
      <t>エン</t>
    </rPh>
    <rPh sb="2" eb="3">
      <t>ブン</t>
    </rPh>
    <rPh sb="5" eb="7">
      <t>キニュウ</t>
    </rPh>
    <phoneticPr fontId="4"/>
  </si>
  <si>
    <t>利用定員数</t>
    <rPh sb="0" eb="2">
      <t>リヨウ</t>
    </rPh>
    <rPh sb="2" eb="4">
      <t>テイイン</t>
    </rPh>
    <rPh sb="4" eb="5">
      <t>スウ</t>
    </rPh>
    <phoneticPr fontId="4"/>
  </si>
  <si>
    <t>年齢別児童数</t>
    <rPh sb="0" eb="3">
      <t>ネンレイベツ</t>
    </rPh>
    <rPh sb="3" eb="6">
      <t>ジドウスウ</t>
    </rPh>
    <phoneticPr fontId="4"/>
  </si>
  <si>
    <t>４歳児以上児</t>
    <rPh sb="1" eb="3">
      <t>サイジ</t>
    </rPh>
    <rPh sb="3" eb="5">
      <t>イジョウ</t>
    </rPh>
    <rPh sb="5" eb="6">
      <t>ジ</t>
    </rPh>
    <phoneticPr fontId="4"/>
  </si>
  <si>
    <t>３歳児</t>
    <rPh sb="1" eb="2">
      <t>サイ</t>
    </rPh>
    <rPh sb="2" eb="3">
      <t>ジ</t>
    </rPh>
    <phoneticPr fontId="4"/>
  </si>
  <si>
    <t>※</t>
    <phoneticPr fontId="4"/>
  </si>
  <si>
    <r>
      <t xml:space="preserve">各月平均の年齢別児童数を使用する場合は、別途配布している「平均年齢別児童数計算表」により計算した児童数を入力すること。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1">
      <t>ヘイキン</t>
    </rPh>
    <rPh sb="31" eb="33">
      <t>ネンレイ</t>
    </rPh>
    <rPh sb="33" eb="34">
      <t>ベツ</t>
    </rPh>
    <rPh sb="34" eb="36">
      <t>ジドウ</t>
    </rPh>
    <rPh sb="36" eb="37">
      <t>スウ</t>
    </rPh>
    <rPh sb="37" eb="39">
      <t>ケイサン</t>
    </rPh>
    <rPh sb="39" eb="40">
      <t>ヒョウ</t>
    </rPh>
    <rPh sb="44" eb="46">
      <t>ケイサン</t>
    </rPh>
    <rPh sb="48" eb="51">
      <t>ジドウスウ</t>
    </rPh>
    <rPh sb="52" eb="54">
      <t>ニュウリョク</t>
    </rPh>
    <phoneticPr fontId="4"/>
  </si>
  <si>
    <t>１．加算Ⅲの加算算定対象人数（人）</t>
    <rPh sb="2" eb="4">
      <t>カサン</t>
    </rPh>
    <rPh sb="6" eb="8">
      <t>カサン</t>
    </rPh>
    <rPh sb="8" eb="10">
      <t>サンテイ</t>
    </rPh>
    <rPh sb="10" eb="12">
      <t>タイショウ</t>
    </rPh>
    <rPh sb="12" eb="14">
      <t>ニンズウ</t>
    </rPh>
    <rPh sb="15" eb="16">
      <t>ニン</t>
    </rPh>
    <phoneticPr fontId="4"/>
  </si>
  <si>
    <t>本園分</t>
    <rPh sb="0" eb="1">
      <t>ホン</t>
    </rPh>
    <rPh sb="1" eb="2">
      <t>エン</t>
    </rPh>
    <rPh sb="2" eb="3">
      <t>ブン</t>
    </rPh>
    <phoneticPr fontId="4"/>
  </si>
  <si>
    <t>選択
項目</t>
    <rPh sb="0" eb="2">
      <t>センタク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</si>
  <si>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</si>
  <si>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</si>
  <si>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</si>
  <si>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t>4歳以上児</t>
    <rPh sb="1" eb="4">
      <t>サイイジョウ</t>
    </rPh>
    <rPh sb="2" eb="4">
      <t>イジョウ</t>
    </rPh>
    <rPh sb="4" eb="5">
      <t>ジ</t>
    </rPh>
    <phoneticPr fontId="4"/>
  </si>
  <si>
    <t xml:space="preserve">  ４歳以上児配置改善加算</t>
    <rPh sb="3" eb="6">
      <t>サイイジョウ</t>
    </rPh>
    <rPh sb="6" eb="7">
      <t>ジ</t>
    </rPh>
    <rPh sb="7" eb="9">
      <t>ハイチ</t>
    </rPh>
    <rPh sb="9" eb="11">
      <t>カイゼン</t>
    </rPh>
    <rPh sb="11" eb="13">
      <t>カサン</t>
    </rPh>
    <phoneticPr fontId="24"/>
  </si>
  <si>
    <t>3歳児</t>
    <rPh sb="1" eb="3">
      <t>サイジ</t>
    </rPh>
    <phoneticPr fontId="4"/>
  </si>
  <si>
    <t xml:space="preserve">  3歳児配置改善加算</t>
    <rPh sb="3" eb="5">
      <t>サイジ</t>
    </rPh>
    <rPh sb="5" eb="7">
      <t>ハイチ</t>
    </rPh>
    <rPh sb="7" eb="9">
      <t>カイゼン</t>
    </rPh>
    <rPh sb="9" eb="11">
      <t>カサン</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</si>
  <si>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</si>
  <si>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</si>
  <si>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保育標準時間認定の児童</t>
    <rPh sb="0" eb="2">
      <t>ホイク</t>
    </rPh>
    <rPh sb="2" eb="4">
      <t>ヒョウジュン</t>
    </rPh>
    <rPh sb="4" eb="6">
      <t>ジカン</t>
    </rPh>
    <rPh sb="6" eb="8">
      <t>ニンテイ</t>
    </rPh>
    <rPh sb="9" eb="11">
      <t>ジドウ</t>
    </rPh>
    <phoneticPr fontId="4"/>
  </si>
  <si>
    <t>ｃ</t>
    <phoneticPr fontId="4"/>
  </si>
  <si>
    <t>主任保育士専任加算</t>
    <rPh sb="0" eb="2">
      <t>シュニン</t>
    </rPh>
    <rPh sb="2" eb="5">
      <t>ホイクシ</t>
    </rPh>
    <rPh sb="5" eb="7">
      <t>センニン</t>
    </rPh>
    <rPh sb="7" eb="9">
      <t>カサン</t>
    </rPh>
    <phoneticPr fontId="4"/>
  </si>
  <si>
    <t>ｄ</t>
    <phoneticPr fontId="4"/>
  </si>
  <si>
    <t>療育支援加算</t>
    <rPh sb="0" eb="2">
      <t>リョウイク</t>
    </rPh>
    <rPh sb="2" eb="4">
      <t>シエン</t>
    </rPh>
    <rPh sb="4" eb="6">
      <t>カサン</t>
    </rPh>
    <phoneticPr fontId="4"/>
  </si>
  <si>
    <t>ｅ</t>
    <phoneticPr fontId="4"/>
  </si>
  <si>
    <t>事務職員雇上加算</t>
    <rPh sb="0" eb="2">
      <t>ジム</t>
    </rPh>
    <rPh sb="2" eb="4">
      <t>ショクイン</t>
    </rPh>
    <rPh sb="4" eb="5">
      <t>ヤト</t>
    </rPh>
    <rPh sb="5" eb="6">
      <t>ア</t>
    </rPh>
    <rPh sb="6" eb="8">
      <t>カサン</t>
    </rPh>
    <phoneticPr fontId="4"/>
  </si>
  <si>
    <t>ｆ</t>
    <phoneticPr fontId="4"/>
  </si>
  <si>
    <t>休日保育加算</t>
    <rPh sb="0" eb="2">
      <t>キュウジツ</t>
    </rPh>
    <rPh sb="2" eb="4">
      <t>ホイク</t>
    </rPh>
    <rPh sb="4" eb="6">
      <t>カサン</t>
    </rPh>
    <phoneticPr fontId="4"/>
  </si>
  <si>
    <t>g</t>
    <phoneticPr fontId="4"/>
  </si>
  <si>
    <t>夜間保育加算</t>
    <rPh sb="0" eb="2">
      <t>ヤカン</t>
    </rPh>
    <rPh sb="2" eb="4">
      <t>ホイク</t>
    </rPh>
    <rPh sb="4" eb="6">
      <t>カサン</t>
    </rPh>
    <phoneticPr fontId="4"/>
  </si>
  <si>
    <t>h</t>
    <phoneticPr fontId="4"/>
  </si>
  <si>
    <t>チーム保育推進加算</t>
    <rPh sb="3" eb="5">
      <t>ホイク</t>
    </rPh>
    <rPh sb="5" eb="7">
      <t>スイシン</t>
    </rPh>
    <rPh sb="7" eb="9">
      <t>カサン</t>
    </rPh>
    <phoneticPr fontId="4"/>
  </si>
  <si>
    <t>i</t>
    <phoneticPr fontId="4"/>
  </si>
  <si>
    <t>栄養管理加算</t>
    <rPh sb="0" eb="2">
      <t>エイヨウ</t>
    </rPh>
    <rPh sb="2" eb="4">
      <t>カンリ</t>
    </rPh>
    <rPh sb="4" eb="6">
      <t>カサン</t>
    </rPh>
    <phoneticPr fontId="4"/>
  </si>
  <si>
    <t>j</t>
    <phoneticPr fontId="4"/>
  </si>
  <si>
    <t>分園の場合</t>
    <rPh sb="0" eb="1">
      <t>ブン</t>
    </rPh>
    <rPh sb="1" eb="2">
      <t>エン</t>
    </rPh>
    <rPh sb="3" eb="5">
      <t>バアイ</t>
    </rPh>
    <phoneticPr fontId="4"/>
  </si>
  <si>
    <t>k</t>
    <phoneticPr fontId="4"/>
  </si>
  <si>
    <t>施設長を配置していない場合</t>
    <rPh sb="0" eb="3">
      <t>シセツチョウ</t>
    </rPh>
    <rPh sb="4" eb="6">
      <t>ハイチ</t>
    </rPh>
    <rPh sb="11" eb="13">
      <t>バアイ</t>
    </rPh>
    <phoneticPr fontId="4"/>
  </si>
  <si>
    <t>利用定員数に基づく職員数</t>
    <rPh sb="0" eb="2">
      <t>リヨウ</t>
    </rPh>
    <rPh sb="2" eb="4">
      <t>テイイン</t>
    </rPh>
    <rPh sb="4" eb="5">
      <t>スウ</t>
    </rPh>
    <rPh sb="6" eb="7">
      <t>モト</t>
    </rPh>
    <rPh sb="9" eb="12">
      <t>ショクインスウ</t>
    </rPh>
    <phoneticPr fontId="4"/>
  </si>
  <si>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4"/>
  </si>
  <si>
    <t>（参考）加算見込額（円）</t>
    <phoneticPr fontId="4"/>
  </si>
  <si>
    <t>円　×　加算Ⅲ算定対象人数</t>
    <rPh sb="0" eb="1">
      <t>エン</t>
    </rPh>
    <rPh sb="4" eb="6">
      <t>カサン</t>
    </rPh>
    <rPh sb="7" eb="9">
      <t>サンテイ</t>
    </rPh>
    <rPh sb="9" eb="11">
      <t>タイショウ</t>
    </rPh>
    <rPh sb="11" eb="13">
      <t>ニンズウ</t>
    </rPh>
    <phoneticPr fontId="4"/>
  </si>
  <si>
    <t>休日保育加算を受けている場合</t>
    <rPh sb="0" eb="2">
      <t>キュウジツ</t>
    </rPh>
    <rPh sb="2" eb="4">
      <t>ホイク</t>
    </rPh>
    <rPh sb="4" eb="6">
      <t>カサン</t>
    </rPh>
    <rPh sb="7" eb="8">
      <t>ウ</t>
    </rPh>
    <rPh sb="12" eb="14">
      <t>バアイ</t>
    </rPh>
    <phoneticPr fontId="4"/>
  </si>
  <si>
    <t>～210人</t>
    <rPh sb="4" eb="5">
      <t>ニン</t>
    </rPh>
    <phoneticPr fontId="4"/>
  </si>
  <si>
    <t>211人～279人</t>
    <rPh sb="3" eb="4">
      <t>ニン</t>
    </rPh>
    <rPh sb="8" eb="9">
      <t>ニン</t>
    </rPh>
    <phoneticPr fontId="4"/>
  </si>
  <si>
    <t>280人～349人</t>
    <rPh sb="3" eb="4">
      <t>ニン</t>
    </rPh>
    <rPh sb="8" eb="9">
      <t>ニン</t>
    </rPh>
    <phoneticPr fontId="4"/>
  </si>
  <si>
    <t>350人～419人</t>
    <rPh sb="3" eb="4">
      <t>ニン</t>
    </rPh>
    <rPh sb="8" eb="9">
      <t>ニン</t>
    </rPh>
    <phoneticPr fontId="4"/>
  </si>
  <si>
    <t>420人～489人</t>
    <rPh sb="3" eb="4">
      <t>ニン</t>
    </rPh>
    <rPh sb="8" eb="9">
      <t>ニン</t>
    </rPh>
    <phoneticPr fontId="4"/>
  </si>
  <si>
    <t>490人～559人</t>
    <rPh sb="3" eb="4">
      <t>ニン</t>
    </rPh>
    <rPh sb="8" eb="9">
      <t>ニン</t>
    </rPh>
    <phoneticPr fontId="4"/>
  </si>
  <si>
    <t>560人～629人</t>
    <rPh sb="3" eb="4">
      <t>ニン</t>
    </rPh>
    <rPh sb="8" eb="9">
      <t>ニン</t>
    </rPh>
    <phoneticPr fontId="4"/>
  </si>
  <si>
    <t>630人～699人</t>
    <rPh sb="3" eb="4">
      <t>ニン</t>
    </rPh>
    <rPh sb="8" eb="9">
      <t>ニン</t>
    </rPh>
    <phoneticPr fontId="4"/>
  </si>
  <si>
    <t>700人～769人</t>
    <rPh sb="3" eb="4">
      <t>ニン</t>
    </rPh>
    <rPh sb="8" eb="9">
      <t>ニン</t>
    </rPh>
    <phoneticPr fontId="4"/>
  </si>
  <si>
    <t>770人～839人</t>
    <rPh sb="3" eb="4">
      <t>ニン</t>
    </rPh>
    <rPh sb="8" eb="9">
      <t>ニン</t>
    </rPh>
    <phoneticPr fontId="4"/>
  </si>
  <si>
    <t>840人～909人</t>
    <rPh sb="3" eb="4">
      <t>ニン</t>
    </rPh>
    <rPh sb="8" eb="9">
      <t>ニン</t>
    </rPh>
    <phoneticPr fontId="4"/>
  </si>
  <si>
    <t>910人～979人</t>
    <rPh sb="3" eb="4">
      <t>ニン</t>
    </rPh>
    <rPh sb="8" eb="9">
      <t>ニン</t>
    </rPh>
    <phoneticPr fontId="4"/>
  </si>
  <si>
    <t>980人～1,049人</t>
    <rPh sb="3" eb="4">
      <t>ニン</t>
    </rPh>
    <rPh sb="10" eb="11">
      <t>ニン</t>
    </rPh>
    <phoneticPr fontId="4"/>
  </si>
  <si>
    <t>1,050人～</t>
    <rPh sb="5" eb="6">
      <t>ニン</t>
    </rPh>
    <phoneticPr fontId="4"/>
  </si>
  <si>
    <t>平均年齢別児童数計算表【1号】</t>
    <rPh sb="0" eb="2">
      <t>ヘイキン</t>
    </rPh>
    <rPh sb="2" eb="5">
      <t>ネンレイベツ</t>
    </rPh>
    <rPh sb="5" eb="8">
      <t>ジドウスウ</t>
    </rPh>
    <rPh sb="8" eb="11">
      <t>ケイサンヒョウ</t>
    </rPh>
    <rPh sb="13" eb="14">
      <t>ゴウ</t>
    </rPh>
    <phoneticPr fontId="4"/>
  </si>
  <si>
    <t>平均年齢別児童数計算表【２・３号】</t>
    <rPh sb="0" eb="2">
      <t>ヘイキン</t>
    </rPh>
    <rPh sb="2" eb="5">
      <t>ネンレイベツ</t>
    </rPh>
    <rPh sb="5" eb="8">
      <t>ジドウスウ</t>
    </rPh>
    <rPh sb="8" eb="11">
      <t>ケイサンヒョウ</t>
    </rPh>
    <rPh sb="15" eb="16">
      <t>ゴウ</t>
    </rPh>
    <phoneticPr fontId="4"/>
  </si>
  <si>
    <t>平均年齢別児童数計算表（分園用）【２・３号】</t>
    <rPh sb="0" eb="2">
      <t>ヘイキン</t>
    </rPh>
    <rPh sb="2" eb="5">
      <t>ネンレイベツ</t>
    </rPh>
    <rPh sb="5" eb="8">
      <t>ジドウスウ</t>
    </rPh>
    <rPh sb="8" eb="11">
      <t>ケイサンヒョウ</t>
    </rPh>
    <rPh sb="12" eb="14">
      <t>ブンエン</t>
    </rPh>
    <rPh sb="14" eb="15">
      <t>ヨウ</t>
    </rPh>
    <rPh sb="20" eb="21">
      <t>ゴウ</t>
    </rPh>
    <phoneticPr fontId="4"/>
  </si>
  <si>
    <t>処遇改善等加算Ⅲ　加算Ⅲ算定対象人数計算表（認定こども園）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4">
      <t>ニン</t>
    </rPh>
    <phoneticPr fontId="4"/>
  </si>
  <si>
    <t>入力
項目</t>
    <rPh sb="0" eb="2">
      <t>ニュウリョク</t>
    </rPh>
    <rPh sb="3" eb="5">
      <t>コウモク</t>
    </rPh>
    <phoneticPr fontId="4"/>
  </si>
  <si>
    <t>１号</t>
    <rPh sb="1" eb="2">
      <t>ゴウ</t>
    </rPh>
    <phoneticPr fontId="4"/>
  </si>
  <si>
    <t>２・３号</t>
    <rPh sb="3" eb="4">
      <t>ゴウ</t>
    </rPh>
    <phoneticPr fontId="4"/>
  </si>
  <si>
    <t>　４歳児以上児</t>
    <rPh sb="2" eb="4">
      <t>サイジ</t>
    </rPh>
    <rPh sb="4" eb="6">
      <t>イジョウ</t>
    </rPh>
    <rPh sb="6" eb="7">
      <t>ジ</t>
    </rPh>
    <phoneticPr fontId="4"/>
  </si>
  <si>
    <t>　３歳児</t>
    <rPh sb="2" eb="3">
      <t>サイ</t>
    </rPh>
    <rPh sb="3" eb="4">
      <t>ジ</t>
    </rPh>
    <phoneticPr fontId="4"/>
  </si>
  <si>
    <t>　　うち満３歳児</t>
    <rPh sb="4" eb="5">
      <t>マン</t>
    </rPh>
    <rPh sb="6" eb="8">
      <t>サイジ</t>
    </rPh>
    <phoneticPr fontId="4"/>
  </si>
  <si>
    <t>　１，２歳児</t>
    <rPh sb="4" eb="6">
      <t>サイジ</t>
    </rPh>
    <phoneticPr fontId="4"/>
  </si>
  <si>
    <t>　０歳児</t>
    <rPh sb="2" eb="4">
      <t>サイジ</t>
    </rPh>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</si>
  <si>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</si>
  <si>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　４歳以上児配置改善加算</t>
    <rPh sb="2" eb="5">
      <t>サイイジョウ</t>
    </rPh>
    <rPh sb="5" eb="6">
      <t>ジ</t>
    </rPh>
    <rPh sb="6" eb="8">
      <t>ハイチ</t>
    </rPh>
    <rPh sb="8" eb="10">
      <t>カイゼン</t>
    </rPh>
    <rPh sb="10" eb="12">
      <t>カサン</t>
    </rPh>
    <phoneticPr fontId="24"/>
  </si>
  <si>
    <t>3歳児（満３歳児含む）</t>
    <rPh sb="1" eb="3">
      <t>サイジ</t>
    </rPh>
    <rPh sb="4" eb="5">
      <t>マン</t>
    </rPh>
    <rPh sb="6" eb="8">
      <t>サイジ</t>
    </rPh>
    <rPh sb="8" eb="9">
      <t>フク</t>
    </rPh>
    <phoneticPr fontId="4"/>
  </si>
  <si>
    <t>　３歳児配置改善加算</t>
    <phoneticPr fontId="4"/>
  </si>
  <si>
    <t>　満３歳児対応加配加算</t>
    <rPh sb="1" eb="2">
      <t>マン</t>
    </rPh>
    <rPh sb="3" eb="4">
      <t>サイ</t>
    </rPh>
    <rPh sb="4" eb="5">
      <t>ジ</t>
    </rPh>
    <rPh sb="5" eb="7">
      <t>タイオウ</t>
    </rPh>
    <rPh sb="7" eb="9">
      <t>カハイ</t>
    </rPh>
    <rPh sb="9" eb="11">
      <t>カサン</t>
    </rPh>
    <phoneticPr fontId="4"/>
  </si>
  <si>
    <t>b</t>
    <phoneticPr fontId="4"/>
  </si>
  <si>
    <t>休けい保育教諭</t>
    <rPh sb="0" eb="1">
      <t>キュウ</t>
    </rPh>
    <rPh sb="3" eb="5">
      <t>ホイク</t>
    </rPh>
    <rPh sb="5" eb="7">
      <t>キョウユ</t>
    </rPh>
    <phoneticPr fontId="4"/>
  </si>
  <si>
    <t>調理員</t>
    <rPh sb="0" eb="3">
      <t>チョウリイン</t>
    </rPh>
    <phoneticPr fontId="4"/>
  </si>
  <si>
    <t>d</t>
    <phoneticPr fontId="4"/>
  </si>
  <si>
    <t>e</t>
    <phoneticPr fontId="4"/>
  </si>
  <si>
    <t>学級編制調整加配加算</t>
    <rPh sb="0" eb="2">
      <t>ガッキュウ</t>
    </rPh>
    <rPh sb="2" eb="4">
      <t>ヘンセイ</t>
    </rPh>
    <rPh sb="4" eb="6">
      <t>チョウセイ</t>
    </rPh>
    <rPh sb="6" eb="8">
      <t>カハイ</t>
    </rPh>
    <rPh sb="8" eb="10">
      <t>カサン</t>
    </rPh>
    <phoneticPr fontId="4"/>
  </si>
  <si>
    <t>f</t>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</si>
  <si>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</si>
  <si>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</si>
  <si>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</si>
  <si>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t>
    <rPh sb="0" eb="2">
      <t>キュウショク</t>
    </rPh>
    <rPh sb="2" eb="4">
      <t>ジッシ</t>
    </rPh>
    <rPh sb="4" eb="6">
      <t>カサン</t>
    </rPh>
    <phoneticPr fontId="4"/>
  </si>
  <si>
    <t>j</t>
  </si>
  <si>
    <t>夜間保育加算</t>
    <rPh sb="0" eb="4">
      <t>ヤカンホイク</t>
    </rPh>
    <rPh sb="4" eb="6">
      <t>カサン</t>
    </rPh>
    <phoneticPr fontId="4"/>
  </si>
  <si>
    <t>l</t>
    <phoneticPr fontId="4"/>
  </si>
  <si>
    <t>m</t>
    <phoneticPr fontId="4"/>
  </si>
  <si>
    <t>事務職員配置加算</t>
    <rPh sb="0" eb="2">
      <t>ジム</t>
    </rPh>
    <rPh sb="2" eb="4">
      <t>ショクイン</t>
    </rPh>
    <rPh sb="4" eb="6">
      <t>ハイチ</t>
    </rPh>
    <rPh sb="6" eb="8">
      <t>カサン</t>
    </rPh>
    <phoneticPr fontId="4"/>
  </si>
  <si>
    <t>n</t>
    <phoneticPr fontId="4"/>
  </si>
  <si>
    <t>指導充実加配加算</t>
    <rPh sb="0" eb="2">
      <t>シドウ</t>
    </rPh>
    <rPh sb="2" eb="4">
      <t>ジュウジツ</t>
    </rPh>
    <rPh sb="4" eb="6">
      <t>カハイ</t>
    </rPh>
    <rPh sb="6" eb="8">
      <t>カサン</t>
    </rPh>
    <phoneticPr fontId="4"/>
  </si>
  <si>
    <t>o</t>
    <phoneticPr fontId="4"/>
  </si>
  <si>
    <t>事務負担対応加配加算</t>
    <rPh sb="0" eb="2">
      <t>ジム</t>
    </rPh>
    <rPh sb="2" eb="4">
      <t>フタン</t>
    </rPh>
    <rPh sb="4" eb="6">
      <t>タイオウ</t>
    </rPh>
    <rPh sb="6" eb="8">
      <t>カハイ</t>
    </rPh>
    <rPh sb="8" eb="10">
      <t>カサン</t>
    </rPh>
    <phoneticPr fontId="4"/>
  </si>
  <si>
    <t>p</t>
    <phoneticPr fontId="4"/>
  </si>
  <si>
    <t>q</t>
    <phoneticPr fontId="4"/>
  </si>
  <si>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4"/>
  </si>
  <si>
    <t>r</t>
    <phoneticPr fontId="4"/>
  </si>
  <si>
    <t>年齢別配置基準を下回る場合</t>
    <rPh sb="0" eb="3">
      <t>ネンレイベツ</t>
    </rPh>
    <rPh sb="3" eb="7">
      <t>ハイキ</t>
    </rPh>
    <rPh sb="8" eb="10">
      <t>シタマワ</t>
    </rPh>
    <rPh sb="11" eb="13">
      <t>バアイ</t>
    </rPh>
    <phoneticPr fontId="4"/>
  </si>
  <si>
    <t>s</t>
    <phoneticPr fontId="4"/>
  </si>
  <si>
    <t>１号認定こどもの利用定員を設定しない場合</t>
    <rPh sb="1" eb="2">
      <t>ゴウ</t>
    </rPh>
    <rPh sb="2" eb="4">
      <t>ニンテイ</t>
    </rPh>
    <rPh sb="8" eb="12">
      <t>リヨウテイイン</t>
    </rPh>
    <rPh sb="13" eb="15">
      <t>セッテイ</t>
    </rPh>
    <rPh sb="18" eb="20">
      <t>バアイ</t>
    </rPh>
    <phoneticPr fontId="4"/>
  </si>
  <si>
    <t>t</t>
    <phoneticPr fontId="4"/>
  </si>
  <si>
    <t>利用定員数に基づく職員数（１号）</t>
    <rPh sb="0" eb="2">
      <t>リヨウ</t>
    </rPh>
    <rPh sb="2" eb="4">
      <t>テイイン</t>
    </rPh>
    <rPh sb="4" eb="5">
      <t>スウ</t>
    </rPh>
    <rPh sb="6" eb="7">
      <t>モト</t>
    </rPh>
    <rPh sb="9" eb="11">
      <t>ショクイン</t>
    </rPh>
    <rPh sb="11" eb="12">
      <t>スウ</t>
    </rPh>
    <rPh sb="14" eb="15">
      <t>ゴウ</t>
    </rPh>
    <phoneticPr fontId="4"/>
  </si>
  <si>
    <t>利用定員数に基づく職員数（２・３号）</t>
    <rPh sb="0" eb="2">
      <t>リヨウ</t>
    </rPh>
    <rPh sb="2" eb="4">
      <t>テイイン</t>
    </rPh>
    <rPh sb="4" eb="5">
      <t>スウ</t>
    </rPh>
    <rPh sb="6" eb="7">
      <t>モト</t>
    </rPh>
    <rPh sb="9" eb="12">
      <t>ショクインスウ</t>
    </rPh>
    <rPh sb="16" eb="17">
      <t>ゴウ</t>
    </rPh>
    <phoneticPr fontId="4"/>
  </si>
  <si>
    <t>（参考）加算見込額（円）</t>
    <rPh sb="1" eb="3">
      <t>サンコウ</t>
    </rPh>
    <rPh sb="4" eb="6">
      <t>カサン</t>
    </rPh>
    <rPh sb="6" eb="8">
      <t>ミコ</t>
    </rPh>
    <rPh sb="8" eb="9">
      <t>ガク</t>
    </rPh>
    <rPh sb="10" eb="11">
      <t>エン</t>
    </rPh>
    <phoneticPr fontId="4"/>
  </si>
  <si>
    <t>平均年齢別児童数計算表（幼稚園）</t>
    <rPh sb="0" eb="2">
      <t>ヘイキン</t>
    </rPh>
    <rPh sb="2" eb="5">
      <t>ネンレイベツ</t>
    </rPh>
    <rPh sb="5" eb="8">
      <t>ジドウスウ</t>
    </rPh>
    <rPh sb="8" eb="11">
      <t>ケイサンヒョウ</t>
    </rPh>
    <rPh sb="12" eb="15">
      <t>ヨウチエン</t>
    </rPh>
    <phoneticPr fontId="4"/>
  </si>
  <si>
    <t>黄緑色セルは入力項目、黄色セルは自動計算。</t>
    <rPh sb="0" eb="2">
      <t>キミドリ</t>
    </rPh>
    <rPh sb="2" eb="3">
      <t>イロ</t>
    </rPh>
    <rPh sb="6" eb="8">
      <t>ニュウリョク</t>
    </rPh>
    <rPh sb="8" eb="10">
      <t>コウモク</t>
    </rPh>
    <rPh sb="11" eb="13">
      <t>キイロ</t>
    </rPh>
    <rPh sb="16" eb="18">
      <t>ジドウ</t>
    </rPh>
    <rPh sb="18" eb="20">
      <t>ケイサン</t>
    </rPh>
    <phoneticPr fontId="4"/>
  </si>
  <si>
    <r>
      <t>（１）</t>
    </r>
    <r>
      <rPr>
        <b/>
        <sz val="14"/>
        <color rgb="FFFF0000"/>
        <rFont val="游ゴシック"/>
        <family val="3"/>
        <charset val="128"/>
        <scheme val="minor"/>
      </rPr>
      <t>令和５年度</t>
    </r>
    <r>
      <rPr>
        <b/>
        <sz val="14"/>
        <color theme="1"/>
        <rFont val="游ゴシック"/>
        <family val="3"/>
        <charset val="128"/>
        <scheme val="minor"/>
      </rPr>
      <t>実績</t>
    </r>
    <rPh sb="3" eb="5">
      <t>レイワ</t>
    </rPh>
    <rPh sb="6" eb="8">
      <t>ネンド</t>
    </rPh>
    <rPh sb="8" eb="10">
      <t>ジッセキ</t>
    </rPh>
    <phoneticPr fontId="4"/>
  </si>
  <si>
    <t>４年度</t>
    <rPh sb="1" eb="3">
      <t>ネンド</t>
    </rPh>
    <phoneticPr fontId="4"/>
  </si>
  <si>
    <t>うち満３歳児</t>
    <rPh sb="2" eb="3">
      <t>マン</t>
    </rPh>
    <rPh sb="4" eb="5">
      <t>サイ</t>
    </rPh>
    <rPh sb="5" eb="6">
      <t>ジ</t>
    </rPh>
    <phoneticPr fontId="4"/>
  </si>
  <si>
    <t>うち満３歳児</t>
    <rPh sb="2" eb="3">
      <t>マン</t>
    </rPh>
    <rPh sb="4" eb="6">
      <t>サイジ</t>
    </rPh>
    <phoneticPr fontId="4"/>
  </si>
  <si>
    <t>例：近隣の幼稚園が、10月に閉園予定であり、その児童数の○○人を受け入れる予定であるため。</t>
    <rPh sb="0" eb="1">
      <t>レイ</t>
    </rPh>
    <rPh sb="2" eb="4">
      <t>キンリン</t>
    </rPh>
    <rPh sb="5" eb="8">
      <t>ヨ</t>
    </rPh>
    <rPh sb="12" eb="13">
      <t>ガツ</t>
    </rPh>
    <rPh sb="14" eb="16">
      <t>ヘイエン</t>
    </rPh>
    <rPh sb="16" eb="18">
      <t>ヨテイ</t>
    </rPh>
    <rPh sb="24" eb="27">
      <t>ジドウスウ</t>
    </rPh>
    <rPh sb="30" eb="31">
      <t>ジン</t>
    </rPh>
    <rPh sb="32" eb="33">
      <t>ウ</t>
    </rPh>
    <rPh sb="34" eb="35">
      <t>イ</t>
    </rPh>
    <rPh sb="37" eb="39">
      <t>ヨテイ</t>
    </rPh>
    <phoneticPr fontId="4"/>
  </si>
  <si>
    <t>処遇改善等加算Ⅲ　加算Ⅲ算定対象人数計算表（幼稚園）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ヨウチエン</t>
    </rPh>
    <phoneticPr fontId="4"/>
  </si>
  <si>
    <t>在籍園児数</t>
    <rPh sb="0" eb="2">
      <t>ザイセキ</t>
    </rPh>
    <rPh sb="2" eb="4">
      <t>エンジ</t>
    </rPh>
    <rPh sb="4" eb="5">
      <t>スウ</t>
    </rPh>
    <phoneticPr fontId="4"/>
  </si>
  <si>
    <t>３歳児（※満３歳児含む）</t>
    <rPh sb="1" eb="2">
      <t>サイ</t>
    </rPh>
    <rPh sb="2" eb="3">
      <t>ジ</t>
    </rPh>
    <rPh sb="5" eb="6">
      <t>マン</t>
    </rPh>
    <rPh sb="7" eb="8">
      <t>サイ</t>
    </rPh>
    <rPh sb="8" eb="9">
      <t>ジ</t>
    </rPh>
    <rPh sb="9" eb="10">
      <t>フク</t>
    </rPh>
    <phoneticPr fontId="4"/>
  </si>
  <si>
    <t>４歳以上児配置改善加算</t>
    <rPh sb="1" eb="4">
      <t>サイイジョウ</t>
    </rPh>
    <rPh sb="4" eb="5">
      <t>ジ</t>
    </rPh>
    <rPh sb="5" eb="7">
      <t>ハイチ</t>
    </rPh>
    <rPh sb="7" eb="9">
      <t>カイゼン</t>
    </rPh>
    <rPh sb="9" eb="11">
      <t>カサン</t>
    </rPh>
    <phoneticPr fontId="24"/>
  </si>
  <si>
    <t>３歳児配置改善加算</t>
    <phoneticPr fontId="4"/>
  </si>
  <si>
    <t>満３歳児配置改善加算</t>
    <rPh sb="0" eb="1">
      <t>マン</t>
    </rPh>
    <rPh sb="2" eb="3">
      <t>サイ</t>
    </rPh>
    <rPh sb="3" eb="4">
      <t>ジ</t>
    </rPh>
    <rPh sb="4" eb="6">
      <t>ハイチ</t>
    </rPh>
    <rPh sb="6" eb="8">
      <t>カイゼン</t>
    </rPh>
    <rPh sb="8" eb="10">
      <t>カサン</t>
    </rPh>
    <phoneticPr fontId="4"/>
  </si>
  <si>
    <t>小計（小数点第一位四捨五入）</t>
    <rPh sb="0" eb="2">
      <t>ショウケイ</t>
    </rPh>
    <phoneticPr fontId="4"/>
  </si>
  <si>
    <t>主幹教諭等専任加算</t>
    <rPh sb="0" eb="2">
      <t>シュカン</t>
    </rPh>
    <rPh sb="2" eb="4">
      <t>キョウユ</t>
    </rPh>
    <rPh sb="4" eb="5">
      <t>トウ</t>
    </rPh>
    <rPh sb="5" eb="7">
      <t>センニン</t>
    </rPh>
    <rPh sb="7" eb="9">
      <t>カサン</t>
    </rPh>
    <phoneticPr fontId="4"/>
  </si>
  <si>
    <t>年齢別配置基準</t>
    <rPh sb="0" eb="2">
      <t>ネンレイ</t>
    </rPh>
    <rPh sb="2" eb="3">
      <t>ベツ</t>
    </rPh>
    <rPh sb="3" eb="5">
      <t>ハイチ</t>
    </rPh>
    <rPh sb="5" eb="7">
      <t>キジュン</t>
    </rPh>
    <phoneticPr fontId="4"/>
  </si>
  <si>
    <t>利用定員数に基づく職員数</t>
    <rPh sb="0" eb="2">
      <t>リヨウ</t>
    </rPh>
    <rPh sb="2" eb="5">
      <t>テイインスウ</t>
    </rPh>
    <rPh sb="6" eb="7">
      <t>モト</t>
    </rPh>
    <rPh sb="9" eb="12">
      <t>ショクインスウ</t>
    </rPh>
    <phoneticPr fontId="4"/>
  </si>
  <si>
    <t>×加算Ⅲ算定対象人数</t>
    <rPh sb="1" eb="3">
      <t>カサン</t>
    </rPh>
    <rPh sb="4" eb="6">
      <t>サンテイ</t>
    </rPh>
    <rPh sb="6" eb="8">
      <t>タイショウ</t>
    </rPh>
    <rPh sb="8" eb="10">
      <t>ニンズウ</t>
    </rPh>
    <phoneticPr fontId="4"/>
  </si>
  <si>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4"/>
  </si>
  <si>
    <t>（小規模保育所A型、Ｂ型）</t>
  </si>
  <si>
    <t>（事業所内保育所　定員6人以上　小規模A型、Ｂ型適用）</t>
    <rPh sb="1" eb="4">
      <t>ジギョウショ</t>
    </rPh>
    <rPh sb="4" eb="5">
      <t>ナイ</t>
    </rPh>
    <rPh sb="9" eb="11">
      <t>テイイン</t>
    </rPh>
    <rPh sb="12" eb="15">
      <t>ニンイジョウ</t>
    </rPh>
    <rPh sb="16" eb="19">
      <t>ショウキボ</t>
    </rPh>
    <rPh sb="24" eb="26">
      <t>テキヨウ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</si>
  <si>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42"/>
  </si>
  <si>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42"/>
  </si>
  <si>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42"/>
  </si>
  <si>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</si>
  <si>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</si>
  <si>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</si>
  <si>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</si>
  <si>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管理者を配置していない場合</t>
    <rPh sb="0" eb="3">
      <t>カンリシャ</t>
    </rPh>
    <rPh sb="4" eb="6">
      <t>ハイチ</t>
    </rPh>
    <rPh sb="11" eb="13">
      <t>バアイ</t>
    </rPh>
    <phoneticPr fontId="4"/>
  </si>
  <si>
    <t>加算</t>
    <rPh sb="0" eb="2">
      <t>カサン</t>
    </rPh>
    <phoneticPr fontId="4"/>
  </si>
  <si>
    <t>（事業所内保育所　定員２０人以上）</t>
    <rPh sb="1" eb="4">
      <t>ジギョウショ</t>
    </rPh>
    <rPh sb="4" eb="5">
      <t>ナイ</t>
    </rPh>
    <rPh sb="9" eb="11">
      <t>テイイン</t>
    </rPh>
    <rPh sb="13" eb="16">
      <t>ニンイジョウ</t>
    </rPh>
    <phoneticPr fontId="4"/>
  </si>
  <si>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4"/>
  </si>
  <si>
    <t>利用定員数に基づく職員数</t>
  </si>
  <si>
    <t>（家庭的保育事業）</t>
    <rPh sb="1" eb="4">
      <t>カテイテキ</t>
    </rPh>
    <rPh sb="4" eb="6">
      <t>ホイク</t>
    </rPh>
    <rPh sb="6" eb="8">
      <t>ジギョウ</t>
    </rPh>
    <phoneticPr fontId="4"/>
  </si>
  <si>
    <t>a</t>
    <phoneticPr fontId="4"/>
  </si>
  <si>
    <t>家庭的保育補助者加算</t>
    <rPh sb="0" eb="3">
      <t>カテイテキ</t>
    </rPh>
    <rPh sb="3" eb="5">
      <t>ホイク</t>
    </rPh>
    <rPh sb="5" eb="8">
      <t>ホジョシャ</t>
    </rPh>
    <rPh sb="8" eb="10">
      <t>カサン</t>
    </rPh>
    <phoneticPr fontId="4"/>
  </si>
  <si>
    <t>障害児保育加算</t>
    <rPh sb="0" eb="2">
      <t>ショウガイ</t>
    </rPh>
    <rPh sb="2" eb="3">
      <t>ジ</t>
    </rPh>
    <rPh sb="3" eb="5">
      <t>ホイク</t>
    </rPh>
    <rPh sb="5" eb="7">
      <t>カサン</t>
    </rPh>
    <phoneticPr fontId="4"/>
  </si>
  <si>
    <t>c</t>
    <phoneticPr fontId="4"/>
  </si>
  <si>
    <t>　4歳以上児配置改善加算</t>
    <rPh sb="2" eb="5">
      <t>サイイジョウ</t>
    </rPh>
    <rPh sb="3" eb="5">
      <t>イジョウ</t>
    </rPh>
    <rPh sb="5" eb="6">
      <t>ジ</t>
    </rPh>
    <rPh sb="6" eb="8">
      <t>ハイチ</t>
    </rPh>
    <rPh sb="8" eb="10">
      <t>カイゼン</t>
    </rPh>
    <rPh sb="10" eb="12">
      <t>カサン</t>
    </rPh>
    <phoneticPr fontId="4"/>
  </si>
  <si>
    <t>　３歳児配置改善加算</t>
    <rPh sb="2" eb="10">
      <t>サイジハイチカイゼンカサン</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</si>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</sst>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月&quot;\ "/>
    <numFmt numFmtId="177" formatCode="#,##0&quot;人&quot;\ "/>
    <numFmt numFmtId="178" formatCode="0.00_ "/>
    <numFmt numFmtId="179" formatCode="#,##0.0&quot;人&quot;\ "/>
    <numFmt numFmtId="180" formatCode="0_);[Red]\(0\)"/>
    <numFmt numFmtId="181" formatCode="0.0_);[Red]\(0.0\)"/>
    <numFmt numFmtId="182" formatCode="0.00_);[Red]\(0.00\)"/>
    <numFmt numFmtId="183" formatCode="0.000_);[Red]\(0.000\)"/>
    <numFmt numFmtId="184" formatCode="0.0_ ;[Red]\-0.0\ "/>
    <numFmt numFmtId="185" formatCode="#,##0_);[Red]\(#,##0\)"/>
  </numFmts>
  <fonts count="45">
    <font>
      <sz val="11"/>
      <color theme="1"/>
      <name val="ＭＳ Ｐゴシック"/>
      <family val="2"/>
      <charset val="128"/>
    </font>
    <font>
      <sz val="11"/>
      <color theme="1"/>
      <name val="游ゴシック"/>
      <family val="2"/>
      <charset val="128"/>
      <scheme val="minor"/>
    </font>
    <font>
      <b/>
      <sz val="24"/>
      <color theme="1"/>
      <name val="游ゴシック"/>
      <family val="3"/>
      <charset val="128"/>
      <scheme val="minor"/>
    </font>
    <font>
      <sz val="6"/>
      <name val="ＭＳ Ｐゴシック"/>
      <family val="2"/>
      <charset val="128"/>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4"/>
      <name val="游ゴシック"/>
      <family val="3"/>
      <charset val="128"/>
      <scheme val="minor"/>
    </font>
    <font>
      <b/>
      <sz val="14"/>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b/>
      <sz val="11"/>
      <color rgb="FFC00000"/>
      <name val="游ゴシック"/>
      <family val="3"/>
      <charset val="128"/>
      <scheme val="minor"/>
    </font>
    <font>
      <b/>
      <sz val="12"/>
      <color theme="1"/>
      <name val="游ゴシック"/>
      <family val="3"/>
      <charset val="128"/>
      <scheme val="minor"/>
    </font>
    <font>
      <sz val="14"/>
      <color theme="1"/>
      <name val="HG丸ｺﾞｼｯｸM-PRO"/>
      <family val="3"/>
      <charset val="128"/>
    </font>
    <font>
      <sz val="14"/>
      <color theme="1"/>
      <name val="游ゴシック"/>
      <family val="2"/>
      <charset val="128"/>
      <scheme val="minor"/>
    </font>
    <font>
      <b/>
      <sz val="12"/>
      <color theme="1"/>
      <name val="HG丸ｺﾞｼｯｸM-PRO"/>
      <family val="3"/>
      <charset val="128"/>
    </font>
    <font>
      <sz val="11"/>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6"/>
      <name val="ＭＳ Ｐゴシック"/>
      <family val="3"/>
      <charset val="128"/>
    </font>
    <font>
      <sz val="10"/>
      <color theme="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sz val="20"/>
      <color indexed="81"/>
      <name val="MS P ゴシック"/>
      <family val="3"/>
      <charset val="128"/>
    </font>
    <font>
      <sz val="20"/>
      <color indexed="81"/>
      <name val="ＭＳ Ｐゴシック"/>
      <family val="3"/>
      <charset val="128"/>
    </font>
    <font>
      <sz val="16"/>
      <color indexed="81"/>
      <name val="MS P ゴシック"/>
      <family val="3"/>
      <charset val="128"/>
    </font>
    <font>
      <sz val="16"/>
      <color theme="1"/>
      <name val="HG丸ｺﾞｼｯｸM-PRO"/>
      <family val="3"/>
      <charset val="128"/>
    </font>
    <font>
      <sz val="8"/>
      <color theme="1"/>
      <name val="游ゴシック"/>
      <family val="2"/>
      <charset val="128"/>
      <scheme val="minor"/>
    </font>
    <font>
      <b/>
      <sz val="11"/>
      <color theme="1"/>
      <name val="HG丸ｺﾞｼｯｸM-PRO"/>
      <family val="3"/>
      <charset val="128"/>
    </font>
    <font>
      <b/>
      <sz val="11"/>
      <name val="游ゴシック"/>
      <family val="3"/>
      <charset val="128"/>
      <scheme val="minor"/>
    </font>
    <font>
      <sz val="11"/>
      <color theme="0" tint="-0.249977111117893"/>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2"/>
      <color indexed="81"/>
      <name val="ＭＳ Ｐゴシック"/>
      <family val="3"/>
      <charset val="128"/>
    </font>
    <font>
      <sz val="18"/>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theme="0" tint="-4.9989318521683403E-2"/>
        <bgColor indexed="64"/>
      </patternFill>
    </fill>
  </fills>
  <borders count="1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double">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diagonal style="thin">
        <color indexed="64"/>
      </diagonal>
    </border>
    <border>
      <left style="medium">
        <color indexed="64"/>
      </left>
      <right style="medium">
        <color indexed="64"/>
      </right>
      <top style="hair">
        <color indexed="64"/>
      </top>
      <bottom/>
      <diagonal/>
    </border>
    <border>
      <left/>
      <right style="thin">
        <color indexed="64"/>
      </right>
      <top style="hair">
        <color indexed="64"/>
      </top>
      <bottom style="double">
        <color indexed="64"/>
      </bottom>
      <diagonal/>
    </border>
    <border diagonalUp="1">
      <left style="thin">
        <color indexed="64"/>
      </left>
      <right style="medium">
        <color indexed="64"/>
      </right>
      <top style="hair">
        <color indexed="64"/>
      </top>
      <bottom style="double">
        <color indexed="64"/>
      </bottom>
      <diagonal style="thin">
        <color indexed="64"/>
      </diagonal>
    </border>
    <border>
      <left style="medium">
        <color indexed="64"/>
      </left>
      <right style="medium">
        <color indexed="64"/>
      </right>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Up="1">
      <left style="thin">
        <color indexed="64"/>
      </left>
      <right/>
      <top/>
      <bottom style="double">
        <color indexed="64"/>
      </bottom>
      <diagonal style="thin">
        <color indexed="64"/>
      </diagonal>
    </border>
    <border>
      <left/>
      <right/>
      <top/>
      <bottom style="medium">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64">
    <xf numFmtId="0" fontId="0" fillId="0" borderId="0" xfId="0">
      <alignment vertical="center"/>
    </xf>
    <xf numFmtId="0" fontId="5" fillId="0" borderId="0" xfId="1" applyFont="1" applyProtection="1">
      <alignment vertical="center"/>
      <protection locked="0"/>
    </xf>
    <xf numFmtId="0" fontId="2" fillId="0" borderId="0" xfId="1" applyFont="1" applyProtection="1">
      <alignment vertical="center"/>
      <protection locked="0"/>
    </xf>
    <xf numFmtId="0" fontId="5" fillId="0" borderId="0" xfId="1" applyFont="1" applyAlignment="1" applyProtection="1">
      <alignment horizontal="center" vertical="center"/>
      <protection locked="0"/>
    </xf>
    <xf numFmtId="0" fontId="6" fillId="0" borderId="0" xfId="1" applyFont="1" applyProtection="1">
      <alignment vertical="center"/>
      <protection locked="0"/>
    </xf>
    <xf numFmtId="0" fontId="7" fillId="0" borderId="0" xfId="1" applyFont="1" applyProtection="1">
      <alignment vertical="center"/>
      <protection locked="0"/>
    </xf>
    <xf numFmtId="176" fontId="5" fillId="0" borderId="6" xfId="1" applyNumberFormat="1" applyFont="1" applyBorder="1" applyAlignment="1" applyProtection="1">
      <alignment horizontal="center" vertical="center"/>
      <protection locked="0"/>
    </xf>
    <xf numFmtId="176" fontId="5" fillId="0" borderId="7" xfId="1" applyNumberFormat="1" applyFont="1" applyBorder="1" applyAlignment="1" applyProtection="1">
      <alignment horizontal="center" vertical="center"/>
      <protection locked="0"/>
    </xf>
    <xf numFmtId="176" fontId="5" fillId="0" borderId="8" xfId="1" applyNumberFormat="1" applyFont="1" applyBorder="1" applyAlignment="1" applyProtection="1">
      <alignment horizontal="center" vertical="center"/>
      <protection locked="0"/>
    </xf>
    <xf numFmtId="0" fontId="5" fillId="0" borderId="18" xfId="1" applyFont="1" applyBorder="1" applyAlignment="1" applyProtection="1">
      <alignment horizontal="center" vertical="center"/>
      <protection locked="0"/>
    </xf>
    <xf numFmtId="177" fontId="5" fillId="2" borderId="19" xfId="1" applyNumberFormat="1" applyFont="1" applyFill="1" applyBorder="1" applyProtection="1">
      <alignment vertical="center"/>
      <protection locked="0"/>
    </xf>
    <xf numFmtId="177" fontId="5" fillId="2" borderId="20" xfId="1" applyNumberFormat="1" applyFont="1" applyFill="1" applyBorder="1" applyProtection="1">
      <alignment vertical="center"/>
      <protection locked="0"/>
    </xf>
    <xf numFmtId="177" fontId="5" fillId="2" borderId="21" xfId="1" applyNumberFormat="1" applyFont="1" applyFill="1" applyBorder="1" applyProtection="1">
      <alignment vertical="center"/>
      <protection locked="0"/>
    </xf>
    <xf numFmtId="177" fontId="10" fillId="0" borderId="22" xfId="1" applyNumberFormat="1" applyFont="1" applyBorder="1">
      <alignment vertical="center"/>
    </xf>
    <xf numFmtId="0" fontId="5" fillId="0" borderId="23" xfId="1" applyFont="1" applyBorder="1" applyAlignment="1" applyProtection="1">
      <alignment horizontal="center" vertical="center"/>
      <protection locked="0"/>
    </xf>
    <xf numFmtId="0" fontId="5" fillId="0" borderId="24" xfId="1" applyFont="1" applyBorder="1" applyProtection="1">
      <alignment vertical="center"/>
      <protection locked="0"/>
    </xf>
    <xf numFmtId="178" fontId="5" fillId="0" borderId="25" xfId="1" applyNumberFormat="1" applyFont="1" applyBorder="1">
      <alignment vertical="center"/>
    </xf>
    <xf numFmtId="178" fontId="5" fillId="0" borderId="26" xfId="1" applyNumberFormat="1" applyFont="1" applyBorder="1">
      <alignment vertical="center"/>
    </xf>
    <xf numFmtId="177" fontId="10" fillId="0" borderId="27" xfId="1" applyNumberFormat="1" applyFont="1" applyBorder="1" applyProtection="1">
      <alignment vertical="center"/>
      <protection locked="0"/>
    </xf>
    <xf numFmtId="0" fontId="5" fillId="0" borderId="37" xfId="1" applyFont="1" applyBorder="1" applyAlignment="1" applyProtection="1">
      <alignment horizontal="center" vertical="center"/>
      <protection locked="0"/>
    </xf>
    <xf numFmtId="0" fontId="5" fillId="0" borderId="38" xfId="1" applyFont="1" applyBorder="1" applyProtection="1">
      <alignment vertical="center"/>
      <protection locked="0"/>
    </xf>
    <xf numFmtId="178" fontId="5" fillId="0" borderId="39" xfId="1" applyNumberFormat="1" applyFont="1" applyBorder="1">
      <alignment vertical="center"/>
    </xf>
    <xf numFmtId="178" fontId="5" fillId="0" borderId="40" xfId="1" applyNumberFormat="1" applyFont="1" applyBorder="1">
      <alignment vertical="center"/>
    </xf>
    <xf numFmtId="177" fontId="10" fillId="0" borderId="41" xfId="1" applyNumberFormat="1" applyFont="1" applyBorder="1" applyProtection="1">
      <alignment vertical="center"/>
      <protection locked="0"/>
    </xf>
    <xf numFmtId="0" fontId="5" fillId="0" borderId="44" xfId="1" applyFont="1" applyBorder="1" applyAlignment="1" applyProtection="1">
      <alignment horizontal="center" vertical="center"/>
      <protection locked="0"/>
    </xf>
    <xf numFmtId="177" fontId="5" fillId="0" borderId="45" xfId="1" applyNumberFormat="1" applyFont="1" applyBorder="1">
      <alignment vertical="center"/>
    </xf>
    <xf numFmtId="177" fontId="5" fillId="0" borderId="46" xfId="1" applyNumberFormat="1" applyFont="1" applyBorder="1" applyProtection="1">
      <alignment vertical="center"/>
      <protection locked="0"/>
    </xf>
    <xf numFmtId="177" fontId="5" fillId="0" borderId="47" xfId="1" applyNumberFormat="1" applyFont="1" applyBorder="1" applyProtection="1">
      <alignment vertical="center"/>
      <protection locked="0"/>
    </xf>
    <xf numFmtId="177" fontId="10" fillId="0" borderId="48" xfId="1" applyNumberFormat="1" applyFont="1" applyBorder="1">
      <alignment vertical="center"/>
    </xf>
    <xf numFmtId="178" fontId="5" fillId="0" borderId="0" xfId="1" applyNumberFormat="1" applyFont="1" applyProtection="1">
      <alignment vertical="center"/>
      <protection locked="0"/>
    </xf>
    <xf numFmtId="0" fontId="5" fillId="0" borderId="49" xfId="1" applyFont="1" applyBorder="1" applyAlignment="1" applyProtection="1">
      <alignment horizontal="center" vertical="center"/>
      <protection locked="0"/>
    </xf>
    <xf numFmtId="176" fontId="5" fillId="0" borderId="50" xfId="1" applyNumberFormat="1" applyFont="1" applyBorder="1" applyAlignment="1" applyProtection="1">
      <alignment horizontal="center" vertical="center"/>
      <protection locked="0"/>
    </xf>
    <xf numFmtId="176" fontId="5" fillId="0" borderId="51" xfId="1" applyNumberFormat="1" applyFont="1" applyBorder="1" applyAlignment="1" applyProtection="1">
      <alignment horizontal="center" vertical="center"/>
      <protection locked="0"/>
    </xf>
    <xf numFmtId="176" fontId="5" fillId="0" borderId="52" xfId="1" applyNumberFormat="1" applyFont="1" applyBorder="1" applyAlignment="1" applyProtection="1">
      <alignment horizontal="center" vertical="center"/>
      <protection locked="0"/>
    </xf>
    <xf numFmtId="0" fontId="5" fillId="3" borderId="54" xfId="1" applyFont="1" applyFill="1" applyBorder="1" applyAlignment="1" applyProtection="1">
      <alignment horizontal="center" vertical="center"/>
      <protection locked="0"/>
    </xf>
    <xf numFmtId="0" fontId="5" fillId="0" borderId="21" xfId="1" applyFont="1" applyBorder="1" applyAlignment="1" applyProtection="1">
      <alignment horizontal="center" vertical="center"/>
      <protection locked="0"/>
    </xf>
    <xf numFmtId="177" fontId="9" fillId="2" borderId="54" xfId="1" applyNumberFormat="1" applyFont="1" applyFill="1" applyBorder="1" applyProtection="1">
      <alignment vertical="center"/>
      <protection locked="0"/>
    </xf>
    <xf numFmtId="177" fontId="5" fillId="0" borderId="56" xfId="1" applyNumberFormat="1" applyFont="1" applyBorder="1">
      <alignment vertical="center"/>
    </xf>
    <xf numFmtId="177" fontId="5" fillId="0" borderId="57" xfId="1" applyNumberFormat="1" applyFont="1" applyBorder="1">
      <alignment vertical="center"/>
    </xf>
    <xf numFmtId="177" fontId="5" fillId="0" borderId="58" xfId="1" applyNumberFormat="1" applyFont="1" applyBorder="1">
      <alignment vertical="center"/>
    </xf>
    <xf numFmtId="177" fontId="10" fillId="0" borderId="54" xfId="1" applyNumberFormat="1" applyFont="1" applyBorder="1">
      <alignment vertical="center"/>
    </xf>
    <xf numFmtId="0" fontId="5" fillId="0" borderId="58" xfId="1" applyFont="1" applyBorder="1" applyAlignment="1" applyProtection="1">
      <alignment horizontal="center" vertical="center"/>
      <protection locked="0"/>
    </xf>
    <xf numFmtId="0" fontId="5" fillId="0" borderId="31" xfId="1" applyFont="1" applyBorder="1" applyProtection="1">
      <alignment vertical="center"/>
      <protection locked="0"/>
    </xf>
    <xf numFmtId="0" fontId="5" fillId="0" borderId="57" xfId="1" applyFont="1" applyBorder="1" applyAlignment="1" applyProtection="1">
      <alignment vertical="top" wrapText="1"/>
      <protection locked="0"/>
    </xf>
    <xf numFmtId="0" fontId="5" fillId="0" borderId="61" xfId="1" applyFont="1" applyBorder="1" applyAlignment="1" applyProtection="1">
      <alignment horizontal="center" vertical="center"/>
      <protection locked="0"/>
    </xf>
    <xf numFmtId="177" fontId="9" fillId="2" borderId="62" xfId="1" applyNumberFormat="1" applyFont="1" applyFill="1" applyBorder="1" applyProtection="1">
      <alignment vertical="center"/>
      <protection locked="0"/>
    </xf>
    <xf numFmtId="177" fontId="5" fillId="0" borderId="60" xfId="1" applyNumberFormat="1" applyFont="1" applyBorder="1">
      <alignment vertical="center"/>
    </xf>
    <xf numFmtId="177" fontId="5" fillId="0" borderId="63" xfId="1" applyNumberFormat="1" applyFont="1" applyBorder="1">
      <alignment vertical="center"/>
    </xf>
    <xf numFmtId="177" fontId="5" fillId="0" borderId="61" xfId="1" applyNumberFormat="1" applyFont="1" applyBorder="1">
      <alignment vertical="center"/>
    </xf>
    <xf numFmtId="177" fontId="10" fillId="0" borderId="62" xfId="1" applyNumberFormat="1" applyFont="1" applyBorder="1">
      <alignment vertical="center"/>
    </xf>
    <xf numFmtId="0" fontId="5" fillId="0" borderId="47" xfId="1" applyFont="1" applyBorder="1" applyProtection="1">
      <alignment vertical="center"/>
      <protection locked="0"/>
    </xf>
    <xf numFmtId="177" fontId="5" fillId="0" borderId="66" xfId="1" applyNumberFormat="1" applyFont="1" applyBorder="1">
      <alignment vertical="center"/>
    </xf>
    <xf numFmtId="179" fontId="5" fillId="0" borderId="65" xfId="1" applyNumberFormat="1" applyFont="1" applyBorder="1" applyProtection="1">
      <alignment vertical="center"/>
      <protection locked="0"/>
    </xf>
    <xf numFmtId="179" fontId="5" fillId="0" borderId="46" xfId="1" applyNumberFormat="1" applyFont="1" applyBorder="1" applyProtection="1">
      <alignment vertical="center"/>
      <protection locked="0"/>
    </xf>
    <xf numFmtId="179" fontId="5" fillId="0" borderId="47" xfId="1" applyNumberFormat="1" applyFont="1" applyBorder="1" applyProtection="1">
      <alignment vertical="center"/>
      <protection locked="0"/>
    </xf>
    <xf numFmtId="177" fontId="10" fillId="0" borderId="67" xfId="1" applyNumberFormat="1" applyFont="1" applyBorder="1">
      <alignment vertical="center"/>
    </xf>
    <xf numFmtId="0" fontId="5" fillId="0" borderId="68" xfId="1" applyFont="1" applyBorder="1" applyProtection="1">
      <alignment vertical="center"/>
      <protection locked="0"/>
    </xf>
    <xf numFmtId="0" fontId="12" fillId="0" borderId="0" xfId="1" applyFont="1" applyProtection="1">
      <alignment vertical="center"/>
      <protection locked="0"/>
    </xf>
    <xf numFmtId="176" fontId="5" fillId="0" borderId="69" xfId="1" applyNumberFormat="1" applyFont="1" applyBorder="1" applyAlignment="1" applyProtection="1">
      <alignment horizontal="center" vertical="center"/>
      <protection locked="0"/>
    </xf>
    <xf numFmtId="0" fontId="5" fillId="3" borderId="12" xfId="1" applyFont="1" applyFill="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177" fontId="10" fillId="0" borderId="12" xfId="1" applyNumberFormat="1" applyFont="1" applyBorder="1">
      <alignment vertical="center"/>
    </xf>
    <xf numFmtId="177" fontId="5" fillId="2" borderId="70" xfId="1" applyNumberFormat="1" applyFont="1" applyFill="1" applyBorder="1" applyProtection="1">
      <alignment vertical="center"/>
      <protection locked="0"/>
    </xf>
    <xf numFmtId="177" fontId="5" fillId="2" borderId="57" xfId="1" applyNumberFormat="1" applyFont="1" applyFill="1" applyBorder="1" applyProtection="1">
      <alignment vertical="center"/>
      <protection locked="0"/>
    </xf>
    <xf numFmtId="177" fontId="5" fillId="2" borderId="58" xfId="1" applyNumberFormat="1" applyFont="1" applyFill="1" applyBorder="1" applyProtection="1">
      <alignment vertical="center"/>
      <protection locked="0"/>
    </xf>
    <xf numFmtId="0" fontId="5" fillId="0" borderId="63" xfId="1" applyFont="1" applyBorder="1" applyAlignment="1" applyProtection="1">
      <alignment horizontal="center" vertical="center"/>
      <protection locked="0"/>
    </xf>
    <xf numFmtId="177" fontId="10" fillId="0" borderId="59" xfId="1" applyNumberFormat="1" applyFont="1" applyBorder="1">
      <alignment vertical="center"/>
    </xf>
    <xf numFmtId="177" fontId="5" fillId="2" borderId="71" xfId="1" applyNumberFormat="1" applyFont="1" applyFill="1" applyBorder="1" applyProtection="1">
      <alignment vertical="center"/>
      <protection locked="0"/>
    </xf>
    <xf numFmtId="177" fontId="5" fillId="2" borderId="63" xfId="1" applyNumberFormat="1" applyFont="1" applyFill="1" applyBorder="1" applyProtection="1">
      <alignment vertical="center"/>
      <protection locked="0"/>
    </xf>
    <xf numFmtId="177" fontId="5" fillId="2" borderId="61" xfId="1" applyNumberFormat="1" applyFont="1" applyFill="1" applyBorder="1" applyProtection="1">
      <alignment vertical="center"/>
      <protection locked="0"/>
    </xf>
    <xf numFmtId="0" fontId="5" fillId="0" borderId="44" xfId="1" applyFont="1" applyBorder="1" applyProtection="1">
      <alignment vertical="center"/>
      <protection locked="0"/>
    </xf>
    <xf numFmtId="177" fontId="10" fillId="0" borderId="64" xfId="1" applyNumberFormat="1" applyFont="1" applyBorder="1">
      <alignment vertical="center"/>
    </xf>
    <xf numFmtId="177" fontId="5" fillId="0" borderId="45" xfId="1" applyNumberFormat="1" applyFont="1" applyBorder="1" applyProtection="1">
      <alignment vertical="center"/>
      <protection locked="0"/>
    </xf>
    <xf numFmtId="177" fontId="5" fillId="0" borderId="0" xfId="1" applyNumberFormat="1" applyFont="1" applyProtection="1">
      <alignment vertical="center"/>
      <protection locked="0"/>
    </xf>
    <xf numFmtId="0" fontId="14" fillId="0" borderId="68" xfId="1" applyFont="1" applyBorder="1" applyProtection="1">
      <alignment vertical="center"/>
      <protection locked="0"/>
    </xf>
    <xf numFmtId="0" fontId="14" fillId="0" borderId="0" xfId="1" applyFont="1" applyProtection="1">
      <alignment vertical="center"/>
      <protection locked="0"/>
    </xf>
    <xf numFmtId="0" fontId="15" fillId="0" borderId="0" xfId="1" applyFont="1" applyProtection="1">
      <alignment vertical="center"/>
      <protection locked="0"/>
    </xf>
    <xf numFmtId="180" fontId="15" fillId="0" borderId="0" xfId="1" applyNumberFormat="1" applyFont="1" applyProtection="1">
      <alignment vertical="center"/>
      <protection locked="0"/>
    </xf>
    <xf numFmtId="0" fontId="16" fillId="0" borderId="0" xfId="1" applyFont="1" applyProtection="1">
      <alignment vertical="center"/>
      <protection locked="0"/>
    </xf>
    <xf numFmtId="0" fontId="17" fillId="0" borderId="0" xfId="1" applyFont="1" applyProtection="1">
      <alignment vertical="center"/>
      <protection locked="0"/>
    </xf>
    <xf numFmtId="0" fontId="18" fillId="0" borderId="0" xfId="1" applyFont="1" applyProtection="1">
      <alignment vertical="center"/>
      <protection locked="0"/>
    </xf>
    <xf numFmtId="0" fontId="18" fillId="0" borderId="0" xfId="1" applyFont="1" applyAlignment="1" applyProtection="1">
      <alignment horizontal="center" vertical="center"/>
      <protection locked="0"/>
    </xf>
    <xf numFmtId="180" fontId="18" fillId="0" borderId="0" xfId="1" applyNumberFormat="1" applyFont="1" applyProtection="1">
      <alignment vertical="center"/>
      <protection locked="0"/>
    </xf>
    <xf numFmtId="0" fontId="1" fillId="0" borderId="0" xfId="1" applyProtection="1">
      <alignment vertical="center"/>
      <protection locked="0"/>
    </xf>
    <xf numFmtId="0" fontId="18" fillId="0" borderId="72" xfId="1" applyFont="1" applyBorder="1" applyProtection="1">
      <alignment vertical="center"/>
      <protection locked="0"/>
    </xf>
    <xf numFmtId="0" fontId="18" fillId="0" borderId="13" xfId="1" applyFont="1" applyBorder="1" applyProtection="1">
      <alignment vertical="center"/>
      <protection locked="0"/>
    </xf>
    <xf numFmtId="0" fontId="18" fillId="0" borderId="58" xfId="1" applyFont="1" applyBorder="1" applyAlignment="1" applyProtection="1">
      <alignment horizontal="center" vertical="center"/>
      <protection locked="0"/>
    </xf>
    <xf numFmtId="0" fontId="18" fillId="0" borderId="53" xfId="1" applyFont="1" applyBorder="1" applyAlignment="1" applyProtection="1">
      <alignment horizontal="center" vertical="center"/>
      <protection locked="0"/>
    </xf>
    <xf numFmtId="0" fontId="18" fillId="2" borderId="26" xfId="1" applyFont="1" applyFill="1" applyBorder="1" applyAlignment="1" applyProtection="1">
      <alignment horizontal="center" vertical="center"/>
      <protection locked="0"/>
    </xf>
    <xf numFmtId="0" fontId="18" fillId="0" borderId="53" xfId="1" applyFont="1" applyBorder="1" applyAlignment="1" applyProtection="1">
      <alignment horizontal="center" vertical="center" wrapText="1"/>
      <protection locked="0"/>
    </xf>
    <xf numFmtId="0" fontId="18" fillId="0" borderId="53" xfId="1" applyFont="1" applyBorder="1" applyAlignment="1">
      <alignment horizontal="center" vertical="center" wrapText="1"/>
    </xf>
    <xf numFmtId="180" fontId="18" fillId="2" borderId="73" xfId="1" applyNumberFormat="1" applyFont="1" applyFill="1" applyBorder="1" applyAlignment="1" applyProtection="1">
      <alignment horizontal="right" vertical="center"/>
      <protection locked="0"/>
    </xf>
    <xf numFmtId="0" fontId="18" fillId="4" borderId="74" xfId="1" applyFont="1" applyFill="1" applyBorder="1" applyAlignment="1">
      <alignment horizontal="right" vertical="center"/>
    </xf>
    <xf numFmtId="0" fontId="18" fillId="0" borderId="75" xfId="1" applyFont="1" applyBorder="1" applyAlignment="1" applyProtection="1">
      <alignment horizontal="left" vertical="center"/>
      <protection locked="0"/>
    </xf>
    <xf numFmtId="0" fontId="18" fillId="0" borderId="78" xfId="1" applyFont="1" applyBorder="1" applyProtection="1">
      <alignment vertical="center"/>
      <protection locked="0"/>
    </xf>
    <xf numFmtId="0" fontId="18" fillId="5" borderId="79" xfId="1" applyFont="1" applyFill="1" applyBorder="1" applyAlignment="1" applyProtection="1">
      <alignment horizontal="right" vertical="center"/>
      <protection locked="0"/>
    </xf>
    <xf numFmtId="0" fontId="18" fillId="0" borderId="0" xfId="1" applyFont="1" applyAlignment="1">
      <alignment horizontal="center" vertical="center"/>
    </xf>
    <xf numFmtId="0" fontId="18" fillId="5" borderId="80" xfId="1" applyFont="1" applyFill="1" applyBorder="1" applyAlignment="1" applyProtection="1">
      <alignment horizontal="right" vertical="center"/>
      <protection locked="0"/>
    </xf>
    <xf numFmtId="0" fontId="18" fillId="0" borderId="32" xfId="1" applyFont="1" applyBorder="1" applyProtection="1">
      <alignment vertical="center"/>
      <protection locked="0"/>
    </xf>
    <xf numFmtId="0" fontId="18" fillId="0" borderId="83" xfId="1" applyFont="1" applyBorder="1" applyProtection="1">
      <alignment vertical="center"/>
      <protection locked="0"/>
    </xf>
    <xf numFmtId="0" fontId="18" fillId="5" borderId="84" xfId="1" applyFont="1" applyFill="1" applyBorder="1" applyAlignment="1" applyProtection="1">
      <alignment horizontal="right" vertical="center"/>
      <protection locked="0"/>
    </xf>
    <xf numFmtId="0" fontId="18" fillId="0" borderId="0" xfId="1" applyFont="1" applyAlignment="1" applyProtection="1">
      <alignment horizontal="left" vertical="top" wrapText="1"/>
      <protection locked="0"/>
    </xf>
    <xf numFmtId="0" fontId="18" fillId="0" borderId="0" xfId="1" applyFont="1" applyAlignment="1" applyProtection="1">
      <alignment vertical="center" wrapText="1"/>
      <protection locked="0"/>
    </xf>
    <xf numFmtId="0" fontId="18" fillId="0" borderId="0" xfId="1" applyFont="1" applyAlignment="1" applyProtection="1">
      <alignment vertical="top" wrapText="1"/>
      <protection locked="0"/>
    </xf>
    <xf numFmtId="0" fontId="18" fillId="0" borderId="69" xfId="1" applyFont="1" applyBorder="1" applyAlignment="1" applyProtection="1">
      <alignment horizontal="center" vertical="center" wrapText="1"/>
      <protection locked="0"/>
    </xf>
    <xf numFmtId="0" fontId="18" fillId="0" borderId="8" xfId="1" applyFont="1" applyBorder="1" applyAlignment="1" applyProtection="1">
      <alignment horizontal="center" vertical="center"/>
      <protection locked="0"/>
    </xf>
    <xf numFmtId="0" fontId="18" fillId="0" borderId="11" xfId="1" applyFont="1" applyBorder="1" applyAlignment="1" applyProtection="1">
      <alignment horizontal="center" vertical="center" wrapText="1"/>
      <protection locked="0"/>
    </xf>
    <xf numFmtId="0" fontId="1" fillId="0" borderId="86" xfId="1" applyBorder="1" applyProtection="1">
      <alignment vertical="center"/>
      <protection locked="0"/>
    </xf>
    <xf numFmtId="0" fontId="18" fillId="0" borderId="30" xfId="1" applyFont="1" applyBorder="1" applyAlignment="1" applyProtection="1">
      <alignment horizontal="right" vertical="center"/>
      <protection locked="0"/>
    </xf>
    <xf numFmtId="0" fontId="18" fillId="0" borderId="13" xfId="1" applyFont="1" applyBorder="1" applyAlignment="1" applyProtection="1">
      <alignment horizontal="right" vertical="center"/>
      <protection locked="0"/>
    </xf>
    <xf numFmtId="0" fontId="18" fillId="0" borderId="12" xfId="1" applyFont="1" applyBorder="1" applyProtection="1">
      <alignment vertical="center"/>
      <protection locked="0"/>
    </xf>
    <xf numFmtId="180" fontId="18" fillId="0" borderId="58" xfId="1" applyNumberFormat="1" applyFont="1" applyBorder="1" applyProtection="1">
      <alignment vertical="center"/>
      <protection locked="0"/>
    </xf>
    <xf numFmtId="180" fontId="18" fillId="0" borderId="12" xfId="1" applyNumberFormat="1" applyFont="1" applyBorder="1">
      <alignment vertical="center"/>
    </xf>
    <xf numFmtId="181" fontId="20" fillId="0" borderId="14" xfId="1" applyNumberFormat="1" applyFont="1" applyBorder="1">
      <alignment vertical="center"/>
    </xf>
    <xf numFmtId="180" fontId="18" fillId="0" borderId="12" xfId="1" applyNumberFormat="1" applyFont="1" applyBorder="1" applyProtection="1">
      <alignment vertical="center"/>
      <protection locked="0"/>
    </xf>
    <xf numFmtId="0" fontId="1" fillId="0" borderId="58" xfId="1" applyBorder="1" applyProtection="1">
      <alignment vertical="center"/>
      <protection locked="0"/>
    </xf>
    <xf numFmtId="0" fontId="1" fillId="0" borderId="12" xfId="1" applyBorder="1" applyProtection="1">
      <alignment vertical="center"/>
      <protection locked="0"/>
    </xf>
    <xf numFmtId="0" fontId="18" fillId="0" borderId="87" xfId="1" applyFont="1" applyBorder="1" applyAlignment="1" applyProtection="1">
      <alignment horizontal="right" vertical="center"/>
      <protection locked="0"/>
    </xf>
    <xf numFmtId="0" fontId="18" fillId="0" borderId="88" xfId="1" applyFont="1" applyBorder="1" applyProtection="1">
      <alignment vertical="center"/>
      <protection locked="0"/>
    </xf>
    <xf numFmtId="0" fontId="18" fillId="0" borderId="89" xfId="1" applyFont="1" applyBorder="1" applyAlignment="1" applyProtection="1">
      <alignment horizontal="right" vertical="center"/>
      <protection locked="0"/>
    </xf>
    <xf numFmtId="0" fontId="18" fillId="0" borderId="90" xfId="1" applyFont="1" applyBorder="1" applyProtection="1">
      <alignment vertical="center"/>
      <protection locked="0"/>
    </xf>
    <xf numFmtId="180" fontId="21" fillId="0" borderId="91" xfId="1" applyNumberFormat="1" applyFont="1" applyBorder="1" applyAlignment="1">
      <alignment horizontal="right" vertical="center"/>
    </xf>
    <xf numFmtId="182" fontId="22" fillId="0" borderId="90" xfId="1" applyNumberFormat="1" applyFont="1" applyBorder="1">
      <alignment vertical="center"/>
    </xf>
    <xf numFmtId="181" fontId="23" fillId="0" borderId="92" xfId="1" applyNumberFormat="1" applyFont="1" applyBorder="1">
      <alignment vertical="center"/>
    </xf>
    <xf numFmtId="0" fontId="18" fillId="2" borderId="93" xfId="1" applyFont="1" applyFill="1" applyBorder="1" applyAlignment="1" applyProtection="1">
      <alignment horizontal="center" vertical="center"/>
      <protection locked="0"/>
    </xf>
    <xf numFmtId="180" fontId="21" fillId="0" borderId="94" xfId="1" applyNumberFormat="1" applyFont="1" applyBorder="1" applyAlignment="1" applyProtection="1">
      <alignment horizontal="right" vertical="center"/>
      <protection locked="0"/>
    </xf>
    <xf numFmtId="0" fontId="25" fillId="0" borderId="0" xfId="1" applyFont="1" applyAlignment="1" applyProtection="1">
      <alignment horizontal="center" vertical="center"/>
      <protection locked="0"/>
    </xf>
    <xf numFmtId="0" fontId="18" fillId="0" borderId="95" xfId="1" applyFont="1" applyBorder="1" applyProtection="1">
      <alignment vertical="center"/>
      <protection locked="0"/>
    </xf>
    <xf numFmtId="0" fontId="18" fillId="0" borderId="78" xfId="1" applyFont="1" applyBorder="1" applyAlignment="1" applyProtection="1">
      <alignment horizontal="right" vertical="center"/>
      <protection locked="0"/>
    </xf>
    <xf numFmtId="0" fontId="18" fillId="0" borderId="28" xfId="1" applyFont="1" applyBorder="1" applyProtection="1">
      <alignment vertical="center"/>
      <protection locked="0"/>
    </xf>
    <xf numFmtId="180" fontId="21" fillId="0" borderId="94" xfId="1" applyNumberFormat="1" applyFont="1" applyBorder="1" applyAlignment="1">
      <alignment horizontal="right" vertical="center"/>
    </xf>
    <xf numFmtId="182" fontId="22" fillId="0" borderId="93" xfId="1" applyNumberFormat="1" applyFont="1" applyBorder="1">
      <alignment vertical="center"/>
    </xf>
    <xf numFmtId="181" fontId="23" fillId="0" borderId="96" xfId="1" applyNumberFormat="1" applyFont="1" applyBorder="1">
      <alignment vertical="center"/>
    </xf>
    <xf numFmtId="0" fontId="25" fillId="0" borderId="95" xfId="1" applyFont="1" applyBorder="1" applyAlignment="1" applyProtection="1">
      <alignment horizontal="center" vertical="center"/>
      <protection locked="0"/>
    </xf>
    <xf numFmtId="0" fontId="18" fillId="0" borderId="93" xfId="1" applyFont="1" applyBorder="1" applyProtection="1">
      <alignment vertical="center"/>
      <protection locked="0"/>
    </xf>
    <xf numFmtId="0" fontId="18" fillId="0" borderId="97" xfId="1" applyFont="1" applyBorder="1" applyProtection="1">
      <alignment vertical="center"/>
      <protection locked="0"/>
    </xf>
    <xf numFmtId="0" fontId="18" fillId="0" borderId="97" xfId="1" applyFont="1" applyBorder="1" applyAlignment="1" applyProtection="1">
      <alignment horizontal="right" vertical="center"/>
      <protection locked="0"/>
    </xf>
    <xf numFmtId="0" fontId="18" fillId="0" borderId="98" xfId="1" applyFont="1" applyBorder="1" applyProtection="1">
      <alignment vertical="center"/>
      <protection locked="0"/>
    </xf>
    <xf numFmtId="180" fontId="21" fillId="0" borderId="40" xfId="1" applyNumberFormat="1" applyFont="1" applyBorder="1" applyAlignment="1">
      <alignment horizontal="right" vertical="center"/>
    </xf>
    <xf numFmtId="182" fontId="22" fillId="0" borderId="98" xfId="1" applyNumberFormat="1" applyFont="1" applyBorder="1">
      <alignment vertical="center"/>
    </xf>
    <xf numFmtId="181" fontId="23" fillId="0" borderId="41" xfId="1" applyNumberFormat="1" applyFont="1" applyBorder="1">
      <alignment vertical="center"/>
    </xf>
    <xf numFmtId="0" fontId="18" fillId="0" borderId="11" xfId="1" applyFont="1" applyBorder="1" applyProtection="1">
      <alignment vertical="center"/>
      <protection locked="0"/>
    </xf>
    <xf numFmtId="0" fontId="18" fillId="0" borderId="75" xfId="1" applyFont="1" applyBorder="1" applyAlignment="1" applyProtection="1">
      <alignment horizontal="right" vertical="center"/>
      <protection locked="0"/>
    </xf>
    <xf numFmtId="0" fontId="18" fillId="0" borderId="31" xfId="1" applyFont="1" applyBorder="1" applyProtection="1">
      <alignment vertical="center"/>
      <protection locked="0"/>
    </xf>
    <xf numFmtId="0" fontId="18" fillId="0" borderId="86" xfId="1" applyFont="1" applyBorder="1" applyProtection="1">
      <alignment vertical="center"/>
      <protection locked="0"/>
    </xf>
    <xf numFmtId="183" fontId="22" fillId="0" borderId="10" xfId="1" applyNumberFormat="1" applyFont="1" applyBorder="1">
      <alignment vertical="center"/>
    </xf>
    <xf numFmtId="181" fontId="20" fillId="0" borderId="15" xfId="1" applyNumberFormat="1" applyFont="1" applyBorder="1">
      <alignment vertical="center"/>
    </xf>
    <xf numFmtId="0" fontId="26" fillId="0" borderId="99" xfId="1" applyFont="1" applyBorder="1" applyAlignment="1" applyProtection="1">
      <alignment horizontal="left" vertical="center"/>
      <protection locked="0"/>
    </xf>
    <xf numFmtId="0" fontId="18" fillId="0" borderId="57" xfId="1" applyFont="1" applyBorder="1" applyAlignment="1" applyProtection="1">
      <alignment horizontal="right" vertical="center"/>
      <protection locked="0"/>
    </xf>
    <xf numFmtId="0" fontId="18" fillId="0" borderId="13" xfId="1" applyFont="1" applyBorder="1" applyAlignment="1" applyProtection="1">
      <alignment horizontal="left" vertical="center"/>
      <protection locked="0"/>
    </xf>
    <xf numFmtId="0" fontId="18" fillId="0" borderId="14" xfId="1" applyFont="1" applyBorder="1" applyAlignment="1" applyProtection="1">
      <alignment horizontal="right" vertical="center"/>
      <protection locked="0"/>
    </xf>
    <xf numFmtId="0" fontId="18" fillId="2" borderId="56" xfId="1" applyFont="1" applyFill="1" applyBorder="1" applyAlignment="1" applyProtection="1">
      <alignment horizontal="center" vertical="center"/>
      <protection locked="0"/>
    </xf>
    <xf numFmtId="180" fontId="22" fillId="0" borderId="12" xfId="1" applyNumberFormat="1" applyFont="1" applyBorder="1">
      <alignment vertical="center"/>
    </xf>
    <xf numFmtId="181" fontId="18" fillId="0" borderId="14" xfId="1" applyNumberFormat="1" applyFont="1" applyBorder="1">
      <alignment vertical="center"/>
    </xf>
    <xf numFmtId="0" fontId="18" fillId="2" borderId="72" xfId="1" applyFont="1" applyFill="1" applyBorder="1" applyAlignment="1" applyProtection="1">
      <alignment horizontal="center" vertical="center"/>
      <protection locked="0"/>
    </xf>
    <xf numFmtId="180" fontId="22" fillId="0" borderId="13" xfId="1" applyNumberFormat="1" applyFont="1" applyBorder="1">
      <alignment vertical="center"/>
    </xf>
    <xf numFmtId="0" fontId="1" fillId="0" borderId="14" xfId="1" applyBorder="1" applyProtection="1">
      <alignment vertical="center"/>
      <protection locked="0"/>
    </xf>
    <xf numFmtId="0" fontId="18" fillId="2" borderId="11" xfId="1" applyFont="1" applyFill="1" applyBorder="1" applyAlignment="1" applyProtection="1">
      <alignment horizontal="center" vertical="center"/>
      <protection locked="0"/>
    </xf>
    <xf numFmtId="0" fontId="18" fillId="2" borderId="73" xfId="1" applyFont="1" applyFill="1" applyBorder="1" applyAlignment="1" applyProtection="1">
      <alignment horizontal="center" vertical="center"/>
      <protection locked="0"/>
    </xf>
    <xf numFmtId="0" fontId="18" fillId="2" borderId="33" xfId="1" applyFont="1" applyFill="1" applyBorder="1" applyAlignment="1" applyProtection="1">
      <alignment horizontal="center" vertical="center"/>
      <protection locked="0"/>
    </xf>
    <xf numFmtId="180" fontId="18" fillId="0" borderId="47" xfId="1" applyNumberFormat="1" applyFont="1" applyBorder="1" applyProtection="1">
      <alignment vertical="center"/>
      <protection locked="0"/>
    </xf>
    <xf numFmtId="180" fontId="22" fillId="0" borderId="11" xfId="1" applyNumberFormat="1" applyFont="1" applyBorder="1">
      <alignment vertical="center"/>
    </xf>
    <xf numFmtId="181" fontId="18" fillId="0" borderId="15" xfId="1" applyNumberFormat="1" applyFont="1" applyBorder="1">
      <alignment vertical="center"/>
    </xf>
    <xf numFmtId="0" fontId="18" fillId="2" borderId="12" xfId="1" applyFont="1" applyFill="1" applyBorder="1" applyAlignment="1" applyProtection="1">
      <alignment horizontal="center" vertical="center"/>
      <protection locked="0"/>
    </xf>
    <xf numFmtId="180" fontId="18" fillId="2" borderId="73" xfId="1" applyNumberFormat="1" applyFont="1" applyFill="1" applyBorder="1" applyAlignment="1" applyProtection="1">
      <alignment horizontal="right" vertical="center" wrapText="1"/>
      <protection locked="0"/>
    </xf>
    <xf numFmtId="181" fontId="22" fillId="0" borderId="12" xfId="1" applyNumberFormat="1" applyFont="1" applyBorder="1">
      <alignment vertical="center"/>
    </xf>
    <xf numFmtId="0" fontId="18" fillId="0" borderId="57" xfId="1" applyFont="1" applyBorder="1" applyAlignment="1" applyProtection="1">
      <alignment horizontal="center" vertical="center"/>
      <protection locked="0"/>
    </xf>
    <xf numFmtId="0" fontId="18" fillId="2" borderId="70" xfId="1" applyFont="1" applyFill="1" applyBorder="1" applyAlignment="1" applyProtection="1">
      <alignment horizontal="center" vertical="center"/>
      <protection locked="0"/>
    </xf>
    <xf numFmtId="180" fontId="18" fillId="0" borderId="100" xfId="1" applyNumberFormat="1" applyFont="1" applyBorder="1" applyProtection="1">
      <alignment vertical="center"/>
      <protection locked="0"/>
    </xf>
    <xf numFmtId="180" fontId="18" fillId="0" borderId="15" xfId="1" applyNumberFormat="1" applyFont="1" applyBorder="1" applyProtection="1">
      <alignment vertical="center"/>
      <protection locked="0"/>
    </xf>
    <xf numFmtId="0" fontId="1" fillId="0" borderId="16" xfId="1" applyBorder="1" applyProtection="1">
      <alignment vertical="center"/>
      <protection locked="0"/>
    </xf>
    <xf numFmtId="0" fontId="1" fillId="0" borderId="101" xfId="1" applyBorder="1" applyProtection="1">
      <alignment vertical="center"/>
      <protection locked="0"/>
    </xf>
    <xf numFmtId="184" fontId="18" fillId="0" borderId="16" xfId="1" applyNumberFormat="1" applyFont="1" applyBorder="1">
      <alignment vertical="center"/>
    </xf>
    <xf numFmtId="184" fontId="18" fillId="0" borderId="101" xfId="1" applyNumberFormat="1" applyFont="1" applyBorder="1">
      <alignment vertical="center"/>
    </xf>
    <xf numFmtId="0" fontId="25" fillId="0" borderId="13" xfId="1" applyFont="1" applyBorder="1" applyAlignment="1">
      <alignment horizontal="center" vertical="center" wrapText="1"/>
    </xf>
    <xf numFmtId="0" fontId="25" fillId="0" borderId="14" xfId="1" applyFont="1" applyBorder="1" applyAlignment="1">
      <alignment horizontal="center" vertical="center" wrapText="1"/>
    </xf>
    <xf numFmtId="184" fontId="18" fillId="0" borderId="14" xfId="1" applyNumberFormat="1" applyFont="1" applyBorder="1" applyProtection="1">
      <alignment vertical="center"/>
      <protection locked="0"/>
    </xf>
    <xf numFmtId="180" fontId="18" fillId="0" borderId="14" xfId="1" applyNumberFormat="1" applyFont="1" applyBorder="1" applyProtection="1">
      <alignment vertical="center"/>
      <protection locked="0"/>
    </xf>
    <xf numFmtId="184" fontId="18" fillId="0" borderId="14" xfId="1" applyNumberFormat="1" applyFont="1" applyBorder="1">
      <alignment vertical="center"/>
    </xf>
    <xf numFmtId="0" fontId="18" fillId="0" borderId="102" xfId="1" applyFont="1" applyBorder="1" applyAlignment="1" applyProtection="1">
      <alignment horizontal="left" vertical="center"/>
      <protection locked="0"/>
    </xf>
    <xf numFmtId="0" fontId="18" fillId="0" borderId="103" xfId="1" applyFont="1" applyBorder="1" applyAlignment="1" applyProtection="1">
      <alignment horizontal="left" vertical="center"/>
      <protection locked="0"/>
    </xf>
    <xf numFmtId="0" fontId="18" fillId="0" borderId="104" xfId="1" applyFont="1" applyBorder="1" applyProtection="1">
      <alignment vertical="center"/>
      <protection locked="0"/>
    </xf>
    <xf numFmtId="0" fontId="18" fillId="0" borderId="105" xfId="1" applyFont="1" applyBorder="1" applyProtection="1">
      <alignment vertical="center"/>
      <protection locked="0"/>
    </xf>
    <xf numFmtId="180" fontId="22" fillId="0" borderId="35" xfId="1" applyNumberFormat="1" applyFont="1" applyBorder="1">
      <alignment vertical="center"/>
    </xf>
    <xf numFmtId="181" fontId="18" fillId="0" borderId="105" xfId="1" applyNumberFormat="1" applyFont="1" applyBorder="1">
      <alignment vertical="center"/>
    </xf>
    <xf numFmtId="180" fontId="18" fillId="0" borderId="103" xfId="1" applyNumberFormat="1" applyFont="1" applyBorder="1" applyAlignment="1" applyProtection="1">
      <alignment horizontal="center" vertical="center"/>
      <protection locked="0"/>
    </xf>
    <xf numFmtId="0" fontId="1" fillId="0" borderId="105" xfId="1" applyBorder="1" applyProtection="1">
      <alignment vertical="center"/>
      <protection locked="0"/>
    </xf>
    <xf numFmtId="0" fontId="1" fillId="0" borderId="35" xfId="1" applyBorder="1" applyProtection="1">
      <alignment vertical="center"/>
      <protection locked="0"/>
    </xf>
    <xf numFmtId="0" fontId="20" fillId="0" borderId="75" xfId="1" applyFont="1" applyBorder="1" applyProtection="1">
      <alignment vertical="center"/>
      <protection locked="0"/>
    </xf>
    <xf numFmtId="0" fontId="20" fillId="0" borderId="0" xfId="1" applyFont="1" applyProtection="1">
      <alignment vertical="center"/>
      <protection locked="0"/>
    </xf>
    <xf numFmtId="0" fontId="18" fillId="0" borderId="45" xfId="1" applyFont="1" applyBorder="1" applyProtection="1">
      <alignment vertical="center"/>
      <protection locked="0"/>
    </xf>
    <xf numFmtId="0" fontId="18" fillId="0" borderId="100" xfId="1" applyFont="1" applyBorder="1" applyProtection="1">
      <alignment vertical="center"/>
      <protection locked="0"/>
    </xf>
    <xf numFmtId="180" fontId="22" fillId="0" borderId="28" xfId="1" applyNumberFormat="1" applyFont="1" applyBorder="1">
      <alignment vertical="center"/>
    </xf>
    <xf numFmtId="181" fontId="20" fillId="0" borderId="100" xfId="1" applyNumberFormat="1" applyFont="1" applyBorder="1">
      <alignment vertical="center"/>
    </xf>
    <xf numFmtId="0" fontId="1" fillId="0" borderId="100" xfId="1" applyBorder="1" applyProtection="1">
      <alignment vertical="center"/>
      <protection locked="0"/>
    </xf>
    <xf numFmtId="0" fontId="1" fillId="0" borderId="28" xfId="1" applyBorder="1" applyProtection="1">
      <alignment vertical="center"/>
      <protection locked="0"/>
    </xf>
    <xf numFmtId="0" fontId="27" fillId="0" borderId="1" xfId="1" applyFont="1" applyBorder="1" applyProtection="1">
      <alignment vertical="center"/>
      <protection locked="0"/>
    </xf>
    <xf numFmtId="0" fontId="27" fillId="0" borderId="2" xfId="1" applyFont="1" applyBorder="1" applyProtection="1">
      <alignment vertical="center"/>
      <protection locked="0"/>
    </xf>
    <xf numFmtId="0" fontId="28" fillId="0" borderId="1" xfId="1" applyFont="1" applyBorder="1" applyProtection="1">
      <alignment vertical="center"/>
      <protection locked="0"/>
    </xf>
    <xf numFmtId="0" fontId="28" fillId="0" borderId="3" xfId="1" applyFont="1" applyBorder="1" applyProtection="1">
      <alignment vertical="center"/>
      <protection locked="0"/>
    </xf>
    <xf numFmtId="180" fontId="29" fillId="0" borderId="1" xfId="1" applyNumberFormat="1" applyFont="1" applyBorder="1">
      <alignment vertical="center"/>
    </xf>
    <xf numFmtId="180" fontId="17" fillId="0" borderId="3" xfId="1" applyNumberFormat="1" applyFont="1" applyBorder="1">
      <alignment vertical="center"/>
    </xf>
    <xf numFmtId="180" fontId="18" fillId="0" borderId="1" xfId="1" applyNumberFormat="1" applyFont="1" applyBorder="1" applyProtection="1">
      <alignment vertical="center"/>
      <protection locked="0"/>
    </xf>
    <xf numFmtId="0" fontId="1" fillId="0" borderId="3" xfId="1" applyBorder="1" applyProtection="1">
      <alignment vertical="center"/>
      <protection locked="0"/>
    </xf>
    <xf numFmtId="0" fontId="1" fillId="0" borderId="1" xfId="1" applyBorder="1" applyProtection="1">
      <alignment vertical="center"/>
      <protection locked="0"/>
    </xf>
    <xf numFmtId="181" fontId="18" fillId="0" borderId="0" xfId="1" applyNumberFormat="1" applyFont="1" applyProtection="1">
      <alignment vertical="center"/>
      <protection locked="0"/>
    </xf>
    <xf numFmtId="0" fontId="17" fillId="0" borderId="1" xfId="1" applyFont="1" applyBorder="1" applyProtection="1">
      <alignment vertical="center"/>
      <protection locked="0"/>
    </xf>
    <xf numFmtId="38" fontId="17" fillId="0" borderId="2" xfId="2" applyFont="1" applyBorder="1" applyProtection="1">
      <alignment vertical="center"/>
      <protection locked="0"/>
    </xf>
    <xf numFmtId="0" fontId="17" fillId="0" borderId="2" xfId="1" applyFont="1" applyBorder="1" applyProtection="1">
      <alignment vertical="center"/>
      <protection locked="0"/>
    </xf>
    <xf numFmtId="0" fontId="28" fillId="0" borderId="2" xfId="1" applyFont="1" applyBorder="1" applyProtection="1">
      <alignment vertical="center"/>
      <protection locked="0"/>
    </xf>
    <xf numFmtId="180" fontId="28" fillId="0" borderId="2" xfId="1" applyNumberFormat="1" applyFont="1" applyBorder="1" applyProtection="1">
      <alignment vertical="center"/>
      <protection locked="0"/>
    </xf>
    <xf numFmtId="180" fontId="18" fillId="0" borderId="2" xfId="1" applyNumberFormat="1" applyFont="1" applyBorder="1" applyProtection="1">
      <alignment vertical="center"/>
      <protection locked="0"/>
    </xf>
    <xf numFmtId="38" fontId="30" fillId="0" borderId="73" xfId="2" applyFont="1" applyFill="1" applyBorder="1" applyAlignment="1" applyProtection="1">
      <alignment vertical="center"/>
    </xf>
    <xf numFmtId="0" fontId="34" fillId="0" borderId="0" xfId="1" applyFont="1">
      <alignment vertical="center"/>
    </xf>
    <xf numFmtId="0" fontId="15" fillId="0" borderId="0" xfId="1" applyFont="1">
      <alignment vertical="center"/>
    </xf>
    <xf numFmtId="180" fontId="15" fillId="0" borderId="0" xfId="1" applyNumberFormat="1" applyFont="1">
      <alignment vertical="center"/>
    </xf>
    <xf numFmtId="0" fontId="35" fillId="0" borderId="0" xfId="1" applyFont="1">
      <alignment vertical="center"/>
    </xf>
    <xf numFmtId="0" fontId="16" fillId="0" borderId="0" xfId="1" applyFont="1">
      <alignment vertical="center"/>
    </xf>
    <xf numFmtId="0" fontId="18" fillId="0" borderId="0" xfId="1" applyFont="1">
      <alignment vertical="center"/>
    </xf>
    <xf numFmtId="0" fontId="1" fillId="0" borderId="0" xfId="1">
      <alignment vertical="center"/>
    </xf>
    <xf numFmtId="180" fontId="18" fillId="0" borderId="0" xfId="1" applyNumberFormat="1" applyFont="1">
      <alignment vertical="center"/>
    </xf>
    <xf numFmtId="0" fontId="17" fillId="0" borderId="0" xfId="1" applyFont="1">
      <alignment vertical="center"/>
    </xf>
    <xf numFmtId="0" fontId="18" fillId="0" borderId="72" xfId="1" applyFont="1" applyBorder="1" applyAlignment="1">
      <alignment horizontal="center" vertical="center" wrapText="1"/>
    </xf>
    <xf numFmtId="0" fontId="18" fillId="0" borderId="73" xfId="1" applyFont="1" applyBorder="1" applyAlignment="1">
      <alignment horizontal="center" vertical="center" wrapText="1"/>
    </xf>
    <xf numFmtId="0" fontId="18" fillId="2" borderId="58" xfId="1" applyFont="1" applyFill="1" applyBorder="1" applyAlignment="1" applyProtection="1">
      <alignment horizontal="center" vertical="center"/>
      <protection locked="0"/>
    </xf>
    <xf numFmtId="180" fontId="18" fillId="4" borderId="74" xfId="1" applyNumberFormat="1" applyFont="1" applyFill="1" applyBorder="1" applyAlignment="1">
      <alignment horizontal="right" vertical="center"/>
    </xf>
    <xf numFmtId="0" fontId="18" fillId="0" borderId="30" xfId="1" applyFont="1" applyBorder="1" applyAlignment="1">
      <alignment horizontal="left" vertical="center"/>
    </xf>
    <xf numFmtId="0" fontId="18" fillId="0" borderId="106" xfId="1" applyFont="1" applyBorder="1" applyAlignment="1">
      <alignment horizontal="right" vertical="center"/>
    </xf>
    <xf numFmtId="0" fontId="18" fillId="0" borderId="75" xfId="1" applyFont="1" applyBorder="1" applyAlignment="1">
      <alignment horizontal="left" vertical="center"/>
    </xf>
    <xf numFmtId="0" fontId="18" fillId="0" borderId="0" xfId="1" applyFont="1" applyAlignment="1">
      <alignment horizontal="left" vertical="center"/>
    </xf>
    <xf numFmtId="0" fontId="18" fillId="0" borderId="107" xfId="1" applyFont="1" applyBorder="1" applyAlignment="1">
      <alignment horizontal="right" vertical="center"/>
    </xf>
    <xf numFmtId="0" fontId="18" fillId="0" borderId="78" xfId="1" applyFont="1" applyBorder="1">
      <alignment vertical="center"/>
    </xf>
    <xf numFmtId="0" fontId="18" fillId="0" borderId="79" xfId="1" applyFont="1" applyBorder="1" applyAlignment="1">
      <alignment horizontal="right" vertical="center"/>
    </xf>
    <xf numFmtId="0" fontId="18" fillId="0" borderId="80" xfId="1" applyFont="1" applyBorder="1" applyAlignment="1">
      <alignment horizontal="right" vertical="center"/>
    </xf>
    <xf numFmtId="0" fontId="18" fillId="0" borderId="77" xfId="1" applyFont="1" applyBorder="1" applyAlignment="1">
      <alignment horizontal="left" vertical="center"/>
    </xf>
    <xf numFmtId="0" fontId="18" fillId="0" borderId="78" xfId="1" applyFont="1" applyBorder="1" applyAlignment="1">
      <alignment horizontal="left" vertical="center"/>
    </xf>
    <xf numFmtId="0" fontId="18" fillId="0" borderId="74" xfId="1" applyFont="1" applyBorder="1" applyAlignment="1">
      <alignment horizontal="right" vertical="center"/>
    </xf>
    <xf numFmtId="0" fontId="18" fillId="0" borderId="32" xfId="1" applyFont="1" applyBorder="1">
      <alignment vertical="center"/>
    </xf>
    <xf numFmtId="0" fontId="18" fillId="0" borderId="83" xfId="1" applyFont="1" applyBorder="1">
      <alignment vertical="center"/>
    </xf>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Alignment="1">
      <alignment vertical="top"/>
    </xf>
    <xf numFmtId="0" fontId="18" fillId="0" borderId="72" xfId="1" applyFont="1" applyBorder="1">
      <alignment vertical="center"/>
    </xf>
    <xf numFmtId="0" fontId="18" fillId="0" borderId="13" xfId="1" applyFont="1" applyBorder="1">
      <alignment vertical="center"/>
    </xf>
    <xf numFmtId="0" fontId="18" fillId="0" borderId="31" xfId="1" applyFont="1" applyBorder="1" applyAlignment="1">
      <alignment horizontal="center" vertical="center" wrapText="1"/>
    </xf>
    <xf numFmtId="180" fontId="18" fillId="0" borderId="15" xfId="1" applyNumberFormat="1" applyFont="1" applyBorder="1" applyAlignment="1">
      <alignment horizontal="center" vertical="center" wrapText="1"/>
    </xf>
    <xf numFmtId="0" fontId="18" fillId="0" borderId="108" xfId="1" applyFont="1" applyBorder="1" applyAlignment="1">
      <alignment horizontal="center" vertical="center" wrapText="1"/>
    </xf>
    <xf numFmtId="0" fontId="18" fillId="0" borderId="30" xfId="1" applyFont="1" applyBorder="1" applyAlignment="1">
      <alignment horizontal="center" vertical="center"/>
    </xf>
    <xf numFmtId="0" fontId="18" fillId="0" borderId="17" xfId="1" applyFont="1" applyBorder="1">
      <alignment vertical="center"/>
    </xf>
    <xf numFmtId="0" fontId="18" fillId="0" borderId="109" xfId="1" applyFont="1" applyBorder="1">
      <alignment vertical="center"/>
    </xf>
    <xf numFmtId="180" fontId="18" fillId="0" borderId="101" xfId="1" applyNumberFormat="1" applyFont="1" applyBorder="1">
      <alignment vertical="center"/>
    </xf>
    <xf numFmtId="180" fontId="18" fillId="0" borderId="16" xfId="1" applyNumberFormat="1" applyFont="1" applyBorder="1">
      <alignment vertical="center"/>
    </xf>
    <xf numFmtId="181" fontId="20" fillId="0" borderId="101" xfId="1" applyNumberFormat="1" applyFont="1" applyBorder="1">
      <alignment vertical="center"/>
    </xf>
    <xf numFmtId="0" fontId="18" fillId="0" borderId="110" xfId="1" applyFont="1" applyBorder="1">
      <alignment vertical="center"/>
    </xf>
    <xf numFmtId="0" fontId="18" fillId="0" borderId="111" xfId="1" applyFont="1" applyBorder="1">
      <alignment vertical="center"/>
    </xf>
    <xf numFmtId="0" fontId="18" fillId="0" borderId="22" xfId="1" applyFont="1" applyBorder="1">
      <alignment vertical="center"/>
    </xf>
    <xf numFmtId="0" fontId="18" fillId="0" borderId="112" xfId="1" applyFont="1" applyBorder="1">
      <alignment vertical="center"/>
    </xf>
    <xf numFmtId="180" fontId="21" fillId="0" borderId="21" xfId="1" applyNumberFormat="1" applyFont="1" applyBorder="1" applyAlignment="1">
      <alignment horizontal="right" vertical="center"/>
    </xf>
    <xf numFmtId="182" fontId="22" fillId="0" borderId="112" xfId="1" applyNumberFormat="1" applyFont="1" applyBorder="1">
      <alignment vertical="center"/>
    </xf>
    <xf numFmtId="181" fontId="23" fillId="0" borderId="22" xfId="1" applyNumberFormat="1" applyFont="1" applyBorder="1">
      <alignment vertical="center"/>
    </xf>
    <xf numFmtId="0" fontId="18" fillId="0" borderId="113" xfId="1" applyFont="1" applyBorder="1">
      <alignment vertical="center"/>
    </xf>
    <xf numFmtId="0" fontId="18" fillId="0" borderId="92" xfId="1" applyFont="1" applyBorder="1">
      <alignment vertical="center"/>
    </xf>
    <xf numFmtId="0" fontId="18" fillId="2" borderId="112" xfId="1" applyFont="1" applyFill="1" applyBorder="1" applyAlignment="1" applyProtection="1">
      <alignment horizontal="center" vertical="center"/>
      <protection locked="0"/>
    </xf>
    <xf numFmtId="0" fontId="18" fillId="0" borderId="77" xfId="1" applyFont="1" applyBorder="1">
      <alignment vertical="center"/>
    </xf>
    <xf numFmtId="0" fontId="18" fillId="0" borderId="96" xfId="1" applyFont="1" applyBorder="1">
      <alignment vertical="center"/>
    </xf>
    <xf numFmtId="180" fontId="18" fillId="0" borderId="93" xfId="1" applyNumberFormat="1" applyFont="1" applyBorder="1">
      <alignment vertical="center"/>
    </xf>
    <xf numFmtId="0" fontId="18" fillId="0" borderId="41" xfId="1" applyFont="1" applyBorder="1">
      <alignment vertical="center"/>
    </xf>
    <xf numFmtId="0" fontId="18" fillId="0" borderId="114" xfId="1" applyFont="1" applyBorder="1">
      <alignment vertical="center"/>
    </xf>
    <xf numFmtId="0" fontId="18" fillId="0" borderId="15" xfId="1" applyFont="1" applyBorder="1">
      <alignment vertical="center"/>
    </xf>
    <xf numFmtId="180" fontId="18" fillId="0" borderId="31" xfId="1" applyNumberFormat="1" applyFont="1" applyBorder="1" applyAlignment="1">
      <alignment horizontal="right" vertical="center"/>
    </xf>
    <xf numFmtId="180" fontId="18" fillId="0" borderId="15" xfId="1" applyNumberFormat="1" applyFont="1" applyBorder="1" applyAlignment="1">
      <alignment horizontal="right" vertical="center"/>
    </xf>
    <xf numFmtId="180" fontId="18" fillId="0" borderId="108" xfId="1" applyNumberFormat="1" applyFont="1" applyBorder="1" applyAlignment="1">
      <alignment horizontal="right" vertical="center"/>
    </xf>
    <xf numFmtId="0" fontId="18" fillId="0" borderId="115" xfId="1" applyFont="1" applyBorder="1">
      <alignment vertical="center"/>
    </xf>
    <xf numFmtId="0" fontId="18" fillId="0" borderId="18" xfId="1" applyFont="1" applyBorder="1">
      <alignment vertical="center"/>
    </xf>
    <xf numFmtId="180" fontId="21" fillId="0" borderId="116" xfId="1" applyNumberFormat="1" applyFont="1" applyBorder="1" applyAlignment="1">
      <alignment horizontal="right" vertical="center"/>
    </xf>
    <xf numFmtId="180" fontId="18" fillId="0" borderId="78" xfId="1" applyNumberFormat="1" applyFont="1" applyBorder="1">
      <alignment vertical="center"/>
    </xf>
    <xf numFmtId="0" fontId="18" fillId="0" borderId="89" xfId="1" applyFont="1" applyBorder="1">
      <alignment vertical="center"/>
    </xf>
    <xf numFmtId="0" fontId="18" fillId="0" borderId="90" xfId="1" applyFont="1" applyBorder="1">
      <alignment vertical="center"/>
    </xf>
    <xf numFmtId="0" fontId="18" fillId="0" borderId="82" xfId="1" applyFont="1" applyBorder="1">
      <alignment vertical="center"/>
    </xf>
    <xf numFmtId="0" fontId="18" fillId="2" borderId="90" xfId="1" applyFont="1" applyFill="1" applyBorder="1" applyAlignment="1" applyProtection="1">
      <alignment horizontal="center" vertical="center"/>
      <protection locked="0"/>
    </xf>
    <xf numFmtId="181" fontId="23" fillId="0" borderId="105" xfId="1" applyNumberFormat="1" applyFont="1" applyBorder="1">
      <alignment vertical="center"/>
    </xf>
    <xf numFmtId="0" fontId="18" fillId="0" borderId="11" xfId="1" applyFont="1" applyBorder="1">
      <alignment vertical="center"/>
    </xf>
    <xf numFmtId="0" fontId="18" fillId="0" borderId="72" xfId="1" applyFont="1" applyBorder="1" applyAlignment="1">
      <alignment horizontal="center" vertical="center"/>
    </xf>
    <xf numFmtId="0" fontId="18" fillId="0" borderId="13" xfId="1" applyFont="1" applyBorder="1" applyAlignment="1">
      <alignment horizontal="left" vertical="center"/>
    </xf>
    <xf numFmtId="180" fontId="26" fillId="0" borderId="70" xfId="1" applyNumberFormat="1" applyFont="1" applyBorder="1">
      <alignment vertical="center"/>
    </xf>
    <xf numFmtId="180" fontId="26" fillId="0" borderId="14" xfId="1" applyNumberFormat="1" applyFont="1" applyBorder="1">
      <alignment vertical="center"/>
    </xf>
    <xf numFmtId="180" fontId="26" fillId="0" borderId="57" xfId="1" applyNumberFormat="1" applyFont="1" applyBorder="1">
      <alignment vertical="center"/>
    </xf>
    <xf numFmtId="0" fontId="18" fillId="0" borderId="58" xfId="1" applyFont="1" applyBorder="1">
      <alignment vertical="center"/>
    </xf>
    <xf numFmtId="0" fontId="18" fillId="2" borderId="109" xfId="1" applyFont="1" applyFill="1" applyBorder="1" applyAlignment="1" applyProtection="1">
      <alignment horizontal="center" vertical="center"/>
      <protection locked="0"/>
    </xf>
    <xf numFmtId="180" fontId="26" fillId="0" borderId="101" xfId="1" applyNumberFormat="1" applyFont="1" applyBorder="1">
      <alignment vertical="center"/>
    </xf>
    <xf numFmtId="180" fontId="26" fillId="0" borderId="100" xfId="1" applyNumberFormat="1" applyFont="1" applyBorder="1">
      <alignment vertical="center"/>
    </xf>
    <xf numFmtId="0" fontId="18" fillId="2" borderId="10" xfId="1" applyFont="1" applyFill="1" applyBorder="1" applyAlignment="1" applyProtection="1">
      <alignment horizontal="center" vertical="center"/>
      <protection locked="0"/>
    </xf>
    <xf numFmtId="0" fontId="18" fillId="0" borderId="115" xfId="1" applyFont="1" applyBorder="1" applyAlignment="1">
      <alignment horizontal="left" vertical="center"/>
    </xf>
    <xf numFmtId="0" fontId="18" fillId="0" borderId="22" xfId="1" applyFont="1" applyBorder="1" applyAlignment="1">
      <alignment horizontal="left" vertical="center"/>
    </xf>
    <xf numFmtId="0" fontId="18" fillId="2" borderId="95" xfId="1" applyFont="1" applyFill="1" applyBorder="1" applyAlignment="1" applyProtection="1">
      <alignment horizontal="center" vertical="center"/>
      <protection locked="0"/>
    </xf>
    <xf numFmtId="180" fontId="22" fillId="0" borderId="16" xfId="1" applyNumberFormat="1" applyFont="1" applyBorder="1">
      <alignment vertical="center"/>
    </xf>
    <xf numFmtId="181" fontId="18" fillId="0" borderId="101" xfId="1" applyNumberFormat="1" applyFont="1" applyBorder="1">
      <alignment vertical="center"/>
    </xf>
    <xf numFmtId="181" fontId="22" fillId="6" borderId="12" xfId="1" applyNumberFormat="1" applyFont="1" applyFill="1" applyBorder="1">
      <alignment vertical="center"/>
    </xf>
    <xf numFmtId="180" fontId="18" fillId="0" borderId="118" xfId="1" applyNumberFormat="1" applyFont="1" applyBorder="1" applyAlignment="1">
      <alignment horizontal="right" vertical="center" wrapText="1"/>
    </xf>
    <xf numFmtId="0" fontId="18" fillId="0" borderId="57" xfId="1" applyFont="1" applyBorder="1" applyAlignment="1">
      <alignment horizontal="center" vertical="center"/>
    </xf>
    <xf numFmtId="0" fontId="1" fillId="0" borderId="12" xfId="1" applyBorder="1">
      <alignment vertical="center"/>
    </xf>
    <xf numFmtId="0" fontId="1" fillId="0" borderId="14" xfId="1" applyBorder="1">
      <alignment vertical="center"/>
    </xf>
    <xf numFmtId="180" fontId="26" fillId="0" borderId="15" xfId="1" applyNumberFormat="1" applyFont="1" applyBorder="1">
      <alignment vertical="center"/>
    </xf>
    <xf numFmtId="0" fontId="18" fillId="0" borderId="10" xfId="1" applyFont="1" applyBorder="1" applyAlignment="1">
      <alignment horizontal="center" vertical="center" wrapText="1"/>
    </xf>
    <xf numFmtId="0" fontId="18" fillId="0" borderId="15" xfId="1" applyFont="1" applyBorder="1" applyAlignment="1">
      <alignment horizontal="center" vertical="center" wrapText="1"/>
    </xf>
    <xf numFmtId="185" fontId="18" fillId="2" borderId="73" xfId="1" applyNumberFormat="1" applyFont="1" applyFill="1" applyBorder="1" applyAlignment="1" applyProtection="1">
      <alignment horizontal="right" vertical="center" wrapText="1"/>
      <protection locked="0"/>
    </xf>
    <xf numFmtId="0" fontId="18" fillId="0" borderId="30" xfId="1" applyFont="1" applyBorder="1">
      <alignment vertical="center"/>
    </xf>
    <xf numFmtId="0" fontId="18" fillId="0" borderId="101" xfId="1" applyFont="1" applyBorder="1">
      <alignment vertical="center"/>
    </xf>
    <xf numFmtId="0" fontId="18" fillId="2" borderId="12" xfId="1" applyFont="1" applyFill="1" applyBorder="1" applyAlignment="1" applyProtection="1">
      <alignment horizontal="center" vertical="center" shrinkToFit="1"/>
      <protection locked="0"/>
    </xf>
    <xf numFmtId="185" fontId="18" fillId="2" borderId="73" xfId="1" applyNumberFormat="1" applyFont="1" applyFill="1" applyBorder="1" applyAlignment="1" applyProtection="1">
      <alignment horizontal="right" vertical="center"/>
      <protection locked="0"/>
    </xf>
    <xf numFmtId="185" fontId="18" fillId="0" borderId="85" xfId="1" applyNumberFormat="1" applyFont="1" applyBorder="1" applyAlignment="1">
      <alignment horizontal="right" vertical="center"/>
    </xf>
    <xf numFmtId="184" fontId="18" fillId="0" borderId="17" xfId="1" applyNumberFormat="1" applyFont="1" applyBorder="1">
      <alignment vertical="center"/>
    </xf>
    <xf numFmtId="0" fontId="18" fillId="0" borderId="12" xfId="1" applyFont="1" applyBorder="1" applyAlignment="1">
      <alignment horizontal="center" vertical="center" wrapText="1"/>
    </xf>
    <xf numFmtId="0" fontId="18" fillId="0" borderId="14" xfId="1" applyFont="1" applyBorder="1" applyAlignment="1">
      <alignment horizontal="center" vertical="center" wrapText="1"/>
    </xf>
    <xf numFmtId="180" fontId="18" fillId="0" borderId="17" xfId="1" applyNumberFormat="1" applyFont="1" applyBorder="1">
      <alignment vertical="center"/>
    </xf>
    <xf numFmtId="0" fontId="18" fillId="0" borderId="72" xfId="1" applyFont="1" applyBorder="1" applyAlignment="1">
      <alignment horizontal="left" vertical="center"/>
    </xf>
    <xf numFmtId="0" fontId="18" fillId="0" borderId="12" xfId="1" applyFont="1" applyBorder="1" applyAlignment="1">
      <alignment horizontal="center" vertical="center"/>
    </xf>
    <xf numFmtId="180" fontId="21" fillId="4" borderId="12" xfId="1" applyNumberFormat="1" applyFont="1" applyFill="1" applyBorder="1" applyAlignment="1">
      <alignment horizontal="right" vertical="center"/>
    </xf>
    <xf numFmtId="180" fontId="21" fillId="0" borderId="12" xfId="1" applyNumberFormat="1" applyFont="1" applyBorder="1" applyAlignment="1">
      <alignment horizontal="right" vertical="center"/>
    </xf>
    <xf numFmtId="0" fontId="18" fillId="0" borderId="102" xfId="1" applyFont="1" applyBorder="1" applyAlignment="1">
      <alignment horizontal="left" vertical="center"/>
    </xf>
    <xf numFmtId="0" fontId="18" fillId="0" borderId="103" xfId="1" applyFont="1" applyBorder="1" applyAlignment="1">
      <alignment horizontal="left" vertical="center"/>
    </xf>
    <xf numFmtId="0" fontId="18" fillId="0" borderId="35" xfId="1" applyFont="1" applyBorder="1" applyAlignment="1">
      <alignment horizontal="center" vertical="center"/>
    </xf>
    <xf numFmtId="180" fontId="26" fillId="0" borderId="105" xfId="1" applyNumberFormat="1" applyFont="1" applyBorder="1">
      <alignment vertical="center"/>
    </xf>
    <xf numFmtId="180" fontId="21" fillId="4" borderId="35" xfId="1" applyNumberFormat="1" applyFont="1" applyFill="1" applyBorder="1" applyAlignment="1">
      <alignment horizontal="right" vertical="center"/>
    </xf>
    <xf numFmtId="0" fontId="18" fillId="0" borderId="103" xfId="1" applyFont="1" applyBorder="1" applyAlignment="1">
      <alignment horizontal="center" vertical="center"/>
    </xf>
    <xf numFmtId="0" fontId="20" fillId="0" borderId="75" xfId="1" applyFont="1" applyBorder="1">
      <alignment vertical="center"/>
    </xf>
    <xf numFmtId="0" fontId="18" fillId="0" borderId="28" xfId="1" applyFont="1" applyBorder="1">
      <alignment vertical="center"/>
    </xf>
    <xf numFmtId="180" fontId="18" fillId="0" borderId="100" xfId="1" applyNumberFormat="1" applyFont="1" applyBorder="1">
      <alignment vertical="center"/>
    </xf>
    <xf numFmtId="0" fontId="27" fillId="0" borderId="1" xfId="1" applyFont="1" applyBorder="1">
      <alignment vertical="center"/>
    </xf>
    <xf numFmtId="0" fontId="28" fillId="0" borderId="2" xfId="1" applyFont="1" applyBorder="1">
      <alignment vertical="center"/>
    </xf>
    <xf numFmtId="0" fontId="28" fillId="0" borderId="1" xfId="1" applyFont="1" applyBorder="1">
      <alignment vertical="center"/>
    </xf>
    <xf numFmtId="180" fontId="28" fillId="0" borderId="3" xfId="1" applyNumberFormat="1" applyFont="1" applyBorder="1">
      <alignment vertical="center"/>
    </xf>
    <xf numFmtId="181" fontId="18" fillId="0" borderId="0" xfId="1" applyNumberFormat="1" applyFont="1">
      <alignment vertical="center"/>
    </xf>
    <xf numFmtId="38" fontId="17" fillId="0" borderId="1" xfId="2" applyFont="1" applyBorder="1" applyProtection="1">
      <alignment vertical="center"/>
    </xf>
    <xf numFmtId="38" fontId="17" fillId="0" borderId="2" xfId="2" applyFont="1" applyBorder="1" applyProtection="1">
      <alignment vertical="center"/>
    </xf>
    <xf numFmtId="38" fontId="17" fillId="0" borderId="2" xfId="2" applyFont="1" applyFill="1" applyBorder="1" applyProtection="1">
      <alignment vertical="center"/>
    </xf>
    <xf numFmtId="38" fontId="36" fillId="0" borderId="2" xfId="2" applyFont="1" applyBorder="1" applyProtection="1">
      <alignment vertical="center"/>
    </xf>
    <xf numFmtId="0" fontId="35" fillId="0" borderId="0" xfId="1" applyFont="1" applyProtection="1">
      <alignment vertical="center"/>
      <protection locked="0"/>
    </xf>
    <xf numFmtId="0" fontId="5" fillId="0" borderId="91"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179" fontId="10" fillId="0" borderId="27" xfId="1" applyNumberFormat="1" applyFont="1" applyBorder="1" applyProtection="1">
      <alignment vertical="center"/>
      <protection locked="0"/>
    </xf>
    <xf numFmtId="0" fontId="5" fillId="0" borderId="28" xfId="1" applyFont="1" applyBorder="1" applyProtection="1">
      <alignment vertical="center"/>
      <protection locked="0"/>
    </xf>
    <xf numFmtId="0" fontId="5" fillId="0" borderId="64" xfId="1" applyFont="1" applyBorder="1" applyProtection="1">
      <alignment vertical="center"/>
      <protection locked="0"/>
    </xf>
    <xf numFmtId="0" fontId="5" fillId="0" borderId="40" xfId="1" applyFont="1" applyBorder="1" applyAlignment="1" applyProtection="1">
      <alignment horizontal="center" vertical="center"/>
      <protection locked="0"/>
    </xf>
    <xf numFmtId="179" fontId="10" fillId="0" borderId="41" xfId="1" applyNumberFormat="1" applyFont="1" applyBorder="1" applyProtection="1">
      <alignment vertical="center"/>
      <protection locked="0"/>
    </xf>
    <xf numFmtId="177" fontId="10" fillId="0" borderId="119" xfId="1" applyNumberFormat="1" applyFont="1" applyBorder="1">
      <alignment vertical="center"/>
    </xf>
    <xf numFmtId="179" fontId="5" fillId="0" borderId="0" xfId="1" applyNumberFormat="1" applyFont="1" applyProtection="1">
      <alignment vertical="center"/>
      <protection locked="0"/>
    </xf>
    <xf numFmtId="176" fontId="5" fillId="0" borderId="120" xfId="1" applyNumberFormat="1" applyFont="1" applyBorder="1" applyAlignment="1" applyProtection="1">
      <alignment horizontal="center" vertical="center"/>
      <protection locked="0"/>
    </xf>
    <xf numFmtId="177" fontId="37" fillId="2" borderId="12" xfId="1" applyNumberFormat="1" applyFont="1" applyFill="1" applyBorder="1" applyProtection="1">
      <alignment vertical="center"/>
      <protection locked="0"/>
    </xf>
    <xf numFmtId="177" fontId="5" fillId="0" borderId="70" xfId="1" applyNumberFormat="1" applyFont="1" applyBorder="1">
      <alignment vertical="center"/>
    </xf>
    <xf numFmtId="177" fontId="5" fillId="0" borderId="13" xfId="1" applyNumberFormat="1" applyFont="1" applyBorder="1">
      <alignment vertical="center"/>
    </xf>
    <xf numFmtId="177" fontId="5" fillId="0" borderId="14" xfId="1" applyNumberFormat="1" applyFont="1" applyBorder="1">
      <alignment vertical="center"/>
    </xf>
    <xf numFmtId="0" fontId="5" fillId="0" borderId="104" xfId="1" applyFont="1" applyBorder="1" applyProtection="1">
      <alignment vertical="center"/>
      <protection locked="0"/>
    </xf>
    <xf numFmtId="0" fontId="5" fillId="0" borderId="63" xfId="1" applyFont="1" applyBorder="1" applyProtection="1">
      <alignment vertical="center"/>
      <protection locked="0"/>
    </xf>
    <xf numFmtId="177" fontId="37" fillId="2" borderId="59" xfId="1" applyNumberFormat="1" applyFont="1" applyFill="1" applyBorder="1" applyProtection="1">
      <alignment vertical="center"/>
      <protection locked="0"/>
    </xf>
    <xf numFmtId="177" fontId="5" fillId="0" borderId="71" xfId="1" applyNumberFormat="1" applyFont="1" applyBorder="1">
      <alignment vertical="center"/>
    </xf>
    <xf numFmtId="177" fontId="5" fillId="0" borderId="121" xfId="1" applyNumberFormat="1" applyFont="1" applyBorder="1">
      <alignment vertical="center"/>
    </xf>
    <xf numFmtId="177" fontId="5" fillId="0" borderId="122" xfId="1" applyNumberFormat="1" applyFont="1" applyBorder="1">
      <alignment vertical="center"/>
    </xf>
    <xf numFmtId="177" fontId="10" fillId="0" borderId="45" xfId="1" applyNumberFormat="1" applyFont="1" applyBorder="1">
      <alignment vertical="center"/>
    </xf>
    <xf numFmtId="177" fontId="10" fillId="0" borderId="46" xfId="1" applyNumberFormat="1" applyFont="1" applyBorder="1">
      <alignment vertical="center"/>
    </xf>
    <xf numFmtId="177" fontId="10" fillId="0" borderId="44" xfId="1" applyNumberFormat="1" applyFont="1" applyBorder="1">
      <alignment vertical="center"/>
    </xf>
    <xf numFmtId="177" fontId="37" fillId="0" borderId="54" xfId="1" applyNumberFormat="1" applyFont="1" applyBorder="1" applyProtection="1">
      <alignment vertical="center"/>
      <protection locked="0"/>
    </xf>
    <xf numFmtId="177" fontId="5" fillId="2" borderId="56" xfId="1" applyNumberFormat="1" applyFont="1" applyFill="1" applyBorder="1" applyProtection="1">
      <alignment vertical="center"/>
      <protection locked="0"/>
    </xf>
    <xf numFmtId="177" fontId="5" fillId="2" borderId="72" xfId="1" applyNumberFormat="1" applyFont="1" applyFill="1" applyBorder="1" applyProtection="1">
      <alignment vertical="center"/>
      <protection locked="0"/>
    </xf>
    <xf numFmtId="0" fontId="5" fillId="0" borderId="45" xfId="1" applyFont="1" applyBorder="1" applyProtection="1">
      <alignment vertical="center"/>
      <protection locked="0"/>
    </xf>
    <xf numFmtId="0" fontId="5" fillId="0" borderId="107" xfId="1" applyFont="1" applyBorder="1" applyProtection="1">
      <alignment vertical="center"/>
      <protection locked="0"/>
    </xf>
    <xf numFmtId="177" fontId="37" fillId="0" borderId="62" xfId="1" applyNumberFormat="1" applyFont="1" applyBorder="1" applyProtection="1">
      <alignment vertical="center"/>
      <protection locked="0"/>
    </xf>
    <xf numFmtId="177" fontId="5" fillId="2" borderId="60" xfId="1" applyNumberFormat="1" applyFont="1" applyFill="1" applyBorder="1" applyProtection="1">
      <alignment vertical="center"/>
      <protection locked="0"/>
    </xf>
    <xf numFmtId="177" fontId="5" fillId="2" borderId="123" xfId="1" applyNumberFormat="1" applyFont="1" applyFill="1" applyBorder="1" applyProtection="1">
      <alignment vertical="center"/>
      <protection locked="0"/>
    </xf>
    <xf numFmtId="177" fontId="5" fillId="0" borderId="65" xfId="1" applyNumberFormat="1" applyFont="1" applyBorder="1" applyProtection="1">
      <alignment vertical="center"/>
      <protection locked="0"/>
    </xf>
    <xf numFmtId="177" fontId="5" fillId="0" borderId="44" xfId="1" applyNumberFormat="1" applyFont="1" applyBorder="1" applyProtection="1">
      <alignment vertical="center"/>
      <protection locked="0"/>
    </xf>
    <xf numFmtId="0" fontId="18" fillId="0" borderId="50" xfId="1" applyFont="1" applyBorder="1" applyAlignment="1">
      <alignment horizontal="center" vertical="center"/>
    </xf>
    <xf numFmtId="0" fontId="18" fillId="2" borderId="54" xfId="1" applyFont="1" applyFill="1" applyBorder="1" applyAlignment="1" applyProtection="1">
      <alignment horizontal="right" vertical="center"/>
      <protection locked="0"/>
    </xf>
    <xf numFmtId="0" fontId="18" fillId="4" borderId="124" xfId="1" applyFont="1" applyFill="1" applyBorder="1" applyAlignment="1">
      <alignment horizontal="right" vertical="center"/>
    </xf>
    <xf numFmtId="0" fontId="18" fillId="0" borderId="32" xfId="1" applyFont="1" applyBorder="1" applyAlignment="1">
      <alignment horizontal="left" vertical="center"/>
    </xf>
    <xf numFmtId="0" fontId="20" fillId="0" borderId="0" xfId="1" applyFont="1">
      <alignment vertical="center"/>
    </xf>
    <xf numFmtId="180" fontId="22" fillId="0" borderId="0" xfId="1" applyNumberFormat="1" applyFont="1">
      <alignment vertical="center"/>
    </xf>
    <xf numFmtId="0" fontId="18" fillId="0" borderId="69" xfId="1" applyFont="1" applyBorder="1">
      <alignment vertical="center"/>
    </xf>
    <xf numFmtId="0" fontId="18" fillId="0" borderId="7" xfId="1" applyFont="1" applyBorder="1" applyAlignment="1">
      <alignment horizontal="center" vertical="center" wrapText="1"/>
    </xf>
    <xf numFmtId="180" fontId="18" fillId="0" borderId="120" xfId="1" applyNumberFormat="1" applyFont="1" applyBorder="1" applyAlignment="1">
      <alignment horizontal="center" vertical="center" wrapText="1"/>
    </xf>
    <xf numFmtId="180" fontId="18" fillId="0" borderId="50" xfId="1" applyNumberFormat="1" applyFont="1" applyBorder="1" applyAlignment="1">
      <alignment horizontal="center" vertical="center" wrapText="1"/>
    </xf>
    <xf numFmtId="0" fontId="18" fillId="0" borderId="16" xfId="1" applyFont="1" applyBorder="1" applyAlignment="1">
      <alignment horizontal="right" vertical="center"/>
    </xf>
    <xf numFmtId="0" fontId="18" fillId="0" borderId="125" xfId="1" applyFont="1" applyBorder="1">
      <alignment vertical="center"/>
    </xf>
    <xf numFmtId="0" fontId="18" fillId="0" borderId="126" xfId="1" applyFont="1" applyBorder="1">
      <alignment vertical="center"/>
    </xf>
    <xf numFmtId="181" fontId="20" fillId="0" borderId="55" xfId="1" applyNumberFormat="1" applyFont="1" applyBorder="1">
      <alignment vertical="center"/>
    </xf>
    <xf numFmtId="0" fontId="18" fillId="0" borderId="28" xfId="1" applyFont="1" applyBorder="1" applyAlignment="1">
      <alignment horizontal="right" vertical="center"/>
    </xf>
    <xf numFmtId="0" fontId="18" fillId="2" borderId="128" xfId="1" applyFont="1" applyFill="1" applyBorder="1" applyAlignment="1" applyProtection="1">
      <alignment horizontal="center" vertical="center"/>
      <protection locked="0"/>
    </xf>
    <xf numFmtId="0" fontId="18" fillId="0" borderId="129" xfId="1" applyFont="1" applyBorder="1">
      <alignment vertical="center"/>
    </xf>
    <xf numFmtId="181" fontId="38" fillId="0" borderId="130" xfId="1" applyNumberFormat="1" applyFont="1" applyBorder="1">
      <alignment vertical="center"/>
    </xf>
    <xf numFmtId="0" fontId="18" fillId="0" borderId="132" xfId="1" applyFont="1" applyBorder="1">
      <alignment vertical="center"/>
    </xf>
    <xf numFmtId="0" fontId="26" fillId="0" borderId="0" xfId="1" applyFont="1" applyAlignment="1">
      <alignment horizontal="left" vertical="center"/>
    </xf>
    <xf numFmtId="0" fontId="18" fillId="0" borderId="29" xfId="1" applyFont="1" applyBorder="1" applyAlignment="1">
      <alignment horizontal="right" vertical="center"/>
    </xf>
    <xf numFmtId="0" fontId="18" fillId="2" borderId="39" xfId="1" applyFont="1" applyFill="1" applyBorder="1" applyAlignment="1" applyProtection="1">
      <alignment horizontal="center" vertical="center"/>
      <protection locked="0"/>
    </xf>
    <xf numFmtId="0" fontId="18" fillId="0" borderId="135" xfId="1" applyFont="1" applyBorder="1">
      <alignment vertical="center"/>
    </xf>
    <xf numFmtId="0" fontId="18" fillId="0" borderId="31" xfId="1" applyFont="1" applyBorder="1" applyAlignment="1">
      <alignment horizontal="right" vertical="center"/>
    </xf>
    <xf numFmtId="0" fontId="18" fillId="0" borderId="87" xfId="1" applyFont="1" applyBorder="1" applyAlignment="1">
      <alignment horizontal="center" vertical="center"/>
    </xf>
    <xf numFmtId="0" fontId="18" fillId="0" borderId="137" xfId="1" applyFont="1" applyBorder="1">
      <alignment vertical="center"/>
    </xf>
    <xf numFmtId="181" fontId="38" fillId="0" borderId="55" xfId="1" applyNumberFormat="1" applyFont="1" applyBorder="1" applyAlignment="1">
      <alignment horizontal="right" vertical="center"/>
    </xf>
    <xf numFmtId="0" fontId="18" fillId="0" borderId="12" xfId="1" applyFont="1" applyBorder="1" applyAlignment="1">
      <alignment horizontal="right" vertical="center"/>
    </xf>
    <xf numFmtId="0" fontId="18" fillId="2" borderId="57" xfId="1" applyFont="1" applyFill="1" applyBorder="1" applyAlignment="1" applyProtection="1">
      <alignment horizontal="center" vertical="center"/>
      <protection locked="0"/>
    </xf>
    <xf numFmtId="180" fontId="18" fillId="0" borderId="138" xfId="1" applyNumberFormat="1" applyFont="1" applyBorder="1" applyAlignment="1">
      <alignment horizontal="right" vertical="center"/>
    </xf>
    <xf numFmtId="181" fontId="18" fillId="0" borderId="54" xfId="1" applyNumberFormat="1" applyFont="1" applyBorder="1">
      <alignment vertical="center"/>
    </xf>
    <xf numFmtId="0" fontId="18" fillId="2" borderId="110" xfId="1" applyFont="1" applyFill="1" applyBorder="1" applyAlignment="1" applyProtection="1">
      <alignment horizontal="center" vertical="center"/>
      <protection locked="0"/>
    </xf>
    <xf numFmtId="0" fontId="18" fillId="0" borderId="139" xfId="1" applyFont="1" applyBorder="1">
      <alignment vertical="center"/>
    </xf>
    <xf numFmtId="181" fontId="18" fillId="0" borderId="124" xfId="1" applyNumberFormat="1" applyFont="1" applyBorder="1">
      <alignment vertical="center"/>
    </xf>
    <xf numFmtId="0" fontId="18" fillId="2" borderId="73" xfId="1" applyFont="1" applyFill="1" applyBorder="1" applyAlignment="1" applyProtection="1">
      <alignment horizontal="right" vertical="center"/>
      <protection locked="0"/>
    </xf>
    <xf numFmtId="0" fontId="18" fillId="0" borderId="140" xfId="1" applyFont="1" applyBorder="1">
      <alignment vertical="center"/>
    </xf>
    <xf numFmtId="0" fontId="18" fillId="0" borderId="141" xfId="1" applyFont="1" applyBorder="1">
      <alignment vertical="center"/>
    </xf>
    <xf numFmtId="0" fontId="18" fillId="0" borderId="142" xfId="1" applyFont="1" applyBorder="1">
      <alignment vertical="center"/>
    </xf>
    <xf numFmtId="0" fontId="18" fillId="0" borderId="117" xfId="1" applyFont="1" applyBorder="1" applyAlignment="1">
      <alignment horizontal="center" vertical="center"/>
    </xf>
    <xf numFmtId="0" fontId="18" fillId="2" borderId="23" xfId="1" applyFont="1" applyFill="1" applyBorder="1" applyAlignment="1" applyProtection="1">
      <alignment horizontal="center" vertical="center"/>
      <protection locked="0"/>
    </xf>
    <xf numFmtId="184" fontId="18" fillId="0" borderId="144" xfId="1" applyNumberFormat="1" applyFont="1" applyBorder="1">
      <alignment vertical="center"/>
    </xf>
    <xf numFmtId="0" fontId="18" fillId="0" borderId="145" xfId="1" applyFont="1" applyBorder="1">
      <alignment vertical="center"/>
    </xf>
    <xf numFmtId="181" fontId="18" fillId="0" borderId="136" xfId="1" applyNumberFormat="1" applyFont="1" applyBorder="1">
      <alignment vertical="center"/>
    </xf>
    <xf numFmtId="0" fontId="20" fillId="0" borderId="64" xfId="1" applyFont="1" applyBorder="1">
      <alignment vertical="center"/>
    </xf>
    <xf numFmtId="0" fontId="18" fillId="0" borderId="146" xfId="1" applyFont="1" applyBorder="1">
      <alignment vertical="center"/>
    </xf>
    <xf numFmtId="180" fontId="18" fillId="0" borderId="146" xfId="1" applyNumberFormat="1" applyFont="1" applyBorder="1">
      <alignment vertical="center"/>
    </xf>
    <xf numFmtId="181" fontId="20" fillId="0" borderId="67" xfId="1" applyNumberFormat="1" applyFont="1" applyBorder="1">
      <alignment vertical="center"/>
    </xf>
    <xf numFmtId="180" fontId="28" fillId="0" borderId="2" xfId="1" applyNumberFormat="1" applyFont="1" applyBorder="1">
      <alignment vertical="center"/>
    </xf>
    <xf numFmtId="180" fontId="17" fillId="0" borderId="73" xfId="1" applyNumberFormat="1" applyFont="1" applyBorder="1">
      <alignment vertical="center"/>
    </xf>
    <xf numFmtId="0" fontId="17" fillId="0" borderId="1" xfId="1" applyFont="1" applyBorder="1">
      <alignment vertical="center"/>
    </xf>
    <xf numFmtId="3" fontId="17" fillId="0" borderId="2" xfId="1" applyNumberFormat="1" applyFont="1" applyBorder="1">
      <alignment vertical="center"/>
    </xf>
    <xf numFmtId="0" fontId="17" fillId="0" borderId="2" xfId="1" applyFont="1" applyBorder="1">
      <alignment vertical="center"/>
    </xf>
    <xf numFmtId="180" fontId="17" fillId="0" borderId="2" xfId="1" applyNumberFormat="1" applyFont="1" applyBorder="1">
      <alignment vertical="center"/>
    </xf>
    <xf numFmtId="0" fontId="18" fillId="0" borderId="57" xfId="1" applyFont="1" applyBorder="1" applyAlignment="1">
      <alignment horizontal="center" vertical="center" wrapText="1"/>
    </xf>
    <xf numFmtId="180" fontId="18" fillId="0" borderId="14" xfId="1" applyNumberFormat="1" applyFont="1" applyBorder="1" applyAlignment="1">
      <alignment horizontal="center" vertical="center" wrapText="1"/>
    </xf>
    <xf numFmtId="0" fontId="18" fillId="0" borderId="30" xfId="1" applyFont="1" applyBorder="1" applyAlignment="1">
      <alignment horizontal="right" vertical="center"/>
    </xf>
    <xf numFmtId="0" fontId="18" fillId="0" borderId="87" xfId="1" applyFont="1" applyBorder="1" applyAlignment="1">
      <alignment horizontal="right" vertical="center"/>
    </xf>
    <xf numFmtId="182" fontId="22" fillId="4" borderId="112" xfId="1" applyNumberFormat="1" applyFont="1" applyFill="1" applyBorder="1">
      <alignment vertical="center"/>
    </xf>
    <xf numFmtId="0" fontId="26" fillId="0" borderId="0" xfId="1" applyFont="1" applyAlignment="1" applyProtection="1">
      <alignment horizontal="left" vertical="center"/>
      <protection locked="0"/>
    </xf>
    <xf numFmtId="0" fontId="18" fillId="0" borderId="95" xfId="1" applyFont="1" applyBorder="1">
      <alignment vertical="center"/>
    </xf>
    <xf numFmtId="182" fontId="22" fillId="4" borderId="93" xfId="1" applyNumberFormat="1" applyFont="1" applyFill="1" applyBorder="1">
      <alignment vertical="center"/>
    </xf>
    <xf numFmtId="0" fontId="18" fillId="0" borderId="75" xfId="1" applyFont="1" applyBorder="1" applyAlignment="1">
      <alignment horizontal="right" vertical="center"/>
    </xf>
    <xf numFmtId="0" fontId="18" fillId="0" borderId="147" xfId="1" applyFont="1" applyBorder="1">
      <alignment vertical="center"/>
    </xf>
    <xf numFmtId="180" fontId="18" fillId="0" borderId="105" xfId="1" applyNumberFormat="1" applyFont="1" applyBorder="1" applyAlignment="1">
      <alignment horizontal="right" vertical="center"/>
    </xf>
    <xf numFmtId="183" fontId="22" fillId="0" borderId="35" xfId="1" applyNumberFormat="1" applyFont="1" applyBorder="1">
      <alignment vertical="center"/>
    </xf>
    <xf numFmtId="0" fontId="18" fillId="0" borderId="108" xfId="1" applyFont="1" applyBorder="1">
      <alignment vertical="center"/>
    </xf>
    <xf numFmtId="0" fontId="18" fillId="0" borderId="72" xfId="1" applyFont="1" applyBorder="1" applyAlignment="1">
      <alignment horizontal="right" vertical="center"/>
    </xf>
    <xf numFmtId="0" fontId="18" fillId="0" borderId="56" xfId="1" applyFont="1" applyBorder="1" applyAlignment="1">
      <alignment horizontal="left" vertical="center"/>
    </xf>
    <xf numFmtId="0" fontId="18" fillId="0" borderId="123" xfId="1" applyFont="1" applyBorder="1">
      <alignment vertical="center"/>
    </xf>
    <xf numFmtId="0" fontId="18" fillId="0" borderId="121" xfId="1" applyFont="1" applyBorder="1">
      <alignment vertical="center"/>
    </xf>
    <xf numFmtId="0" fontId="18" fillId="0" borderId="63" xfId="1" applyFont="1" applyBorder="1">
      <alignment vertical="center"/>
    </xf>
    <xf numFmtId="180" fontId="18" fillId="0" borderId="122" xfId="1" applyNumberFormat="1" applyFont="1" applyBorder="1" applyAlignment="1">
      <alignment horizontal="right" vertical="center"/>
    </xf>
    <xf numFmtId="180" fontId="18" fillId="0" borderId="59" xfId="1" applyNumberFormat="1" applyFont="1" applyBorder="1">
      <alignment vertical="center"/>
    </xf>
    <xf numFmtId="181" fontId="18" fillId="0" borderId="122" xfId="1" applyNumberFormat="1" applyFont="1" applyBorder="1">
      <alignment vertical="center"/>
    </xf>
    <xf numFmtId="0" fontId="27" fillId="0" borderId="1" xfId="1" applyFont="1" applyBorder="1" applyAlignment="1">
      <alignment horizontal="left" vertical="center"/>
    </xf>
    <xf numFmtId="0" fontId="28" fillId="0" borderId="2" xfId="1" applyFont="1" applyBorder="1" applyAlignment="1">
      <alignment horizontal="left" vertical="center"/>
    </xf>
    <xf numFmtId="180" fontId="28" fillId="0" borderId="3" xfId="1" applyNumberFormat="1" applyFont="1" applyBorder="1" applyAlignment="1">
      <alignment horizontal="left" vertical="center"/>
    </xf>
    <xf numFmtId="180" fontId="36" fillId="0" borderId="2" xfId="1" applyNumberFormat="1" applyFont="1" applyBorder="1">
      <alignment vertical="center"/>
    </xf>
    <xf numFmtId="180" fontId="18" fillId="0" borderId="0" xfId="1" applyNumberFormat="1" applyFont="1" applyAlignment="1">
      <alignment horizontal="right" vertical="center"/>
    </xf>
    <xf numFmtId="0" fontId="18" fillId="0" borderId="75" xfId="1" applyFont="1" applyBorder="1" applyAlignment="1">
      <alignment horizontal="center" vertical="center"/>
    </xf>
    <xf numFmtId="0" fontId="18" fillId="2" borderId="37" xfId="1" applyFont="1" applyFill="1" applyBorder="1" applyAlignment="1" applyProtection="1">
      <alignment horizontal="center" vertical="center"/>
      <protection locked="0"/>
    </xf>
    <xf numFmtId="180" fontId="18" fillId="2" borderId="150" xfId="1" applyNumberFormat="1" applyFont="1" applyFill="1" applyBorder="1" applyAlignment="1" applyProtection="1">
      <alignment horizontal="right" vertical="center"/>
      <protection locked="0"/>
    </xf>
    <xf numFmtId="182" fontId="22" fillId="4" borderId="98" xfId="1" applyNumberFormat="1" applyFont="1" applyFill="1" applyBorder="1">
      <alignment vertical="center"/>
    </xf>
    <xf numFmtId="180" fontId="18" fillId="0" borderId="100" xfId="1" applyNumberFormat="1" applyFont="1" applyBorder="1" applyAlignment="1">
      <alignment horizontal="right" vertical="center" wrapText="1"/>
    </xf>
    <xf numFmtId="180" fontId="18" fillId="0" borderId="101" xfId="1" applyNumberFormat="1" applyFont="1" applyBorder="1" applyAlignment="1">
      <alignment horizontal="center" vertical="center" wrapText="1"/>
    </xf>
    <xf numFmtId="0" fontId="18" fillId="2" borderId="73" xfId="1" applyFont="1" applyFill="1" applyBorder="1" applyAlignment="1" applyProtection="1">
      <alignment horizontal="left" vertical="center"/>
      <protection locked="0"/>
    </xf>
    <xf numFmtId="180" fontId="18" fillId="0" borderId="10" xfId="1" applyNumberFormat="1" applyFont="1" applyBorder="1" applyAlignment="1">
      <alignment horizontal="center" vertical="center" wrapText="1"/>
    </xf>
    <xf numFmtId="181" fontId="18" fillId="0" borderId="15" xfId="1" applyNumberFormat="1" applyFont="1" applyBorder="1" applyAlignment="1">
      <alignment horizontal="right" vertical="center"/>
    </xf>
    <xf numFmtId="0" fontId="18" fillId="3" borderId="0" xfId="1" applyFont="1" applyFill="1" applyAlignment="1">
      <alignment horizontal="center" vertical="center"/>
    </xf>
    <xf numFmtId="0" fontId="18" fillId="0" borderId="41" xfId="1" applyFont="1" applyBorder="1" applyAlignment="1">
      <alignment horizontal="center" vertical="center" wrapText="1"/>
    </xf>
    <xf numFmtId="180" fontId="21" fillId="0" borderId="99" xfId="1" applyNumberFormat="1" applyFont="1" applyBorder="1" applyAlignment="1">
      <alignment horizontal="right" vertical="center"/>
    </xf>
    <xf numFmtId="180" fontId="18" fillId="0" borderId="89" xfId="1" applyNumberFormat="1" applyFont="1" applyBorder="1">
      <alignment vertical="center"/>
    </xf>
    <xf numFmtId="182" fontId="22" fillId="0" borderId="16" xfId="1" applyNumberFormat="1" applyFont="1" applyBorder="1">
      <alignment vertical="center"/>
    </xf>
    <xf numFmtId="0" fontId="18" fillId="0" borderId="151" xfId="1" applyFont="1" applyBorder="1">
      <alignment vertical="center"/>
    </xf>
    <xf numFmtId="0" fontId="18" fillId="0" borderId="152" xfId="1" applyFont="1" applyBorder="1">
      <alignment vertical="center"/>
    </xf>
    <xf numFmtId="0" fontId="18" fillId="0" borderId="153" xfId="1" applyFont="1" applyBorder="1">
      <alignment vertical="center"/>
    </xf>
    <xf numFmtId="0" fontId="18" fillId="2" borderId="154" xfId="1" applyFont="1" applyFill="1" applyBorder="1" applyAlignment="1" applyProtection="1">
      <alignment horizontal="center" vertical="center"/>
      <protection locked="0"/>
    </xf>
    <xf numFmtId="180" fontId="21" fillId="0" borderId="155" xfId="1" applyNumberFormat="1" applyFont="1" applyBorder="1" applyAlignment="1">
      <alignment horizontal="right" vertical="center"/>
    </xf>
    <xf numFmtId="182" fontId="22" fillId="0" borderId="154" xfId="1" applyNumberFormat="1" applyFont="1" applyBorder="1">
      <alignment vertical="center"/>
    </xf>
    <xf numFmtId="181" fontId="23" fillId="0" borderId="153" xfId="1" applyNumberFormat="1" applyFont="1" applyBorder="1">
      <alignment vertical="center"/>
    </xf>
    <xf numFmtId="0" fontId="18" fillId="0" borderId="156" xfId="1" applyFont="1" applyBorder="1">
      <alignment vertical="center"/>
    </xf>
    <xf numFmtId="0" fontId="18" fillId="0" borderId="157" xfId="1" applyFont="1" applyBorder="1">
      <alignment vertical="center"/>
    </xf>
    <xf numFmtId="0" fontId="18" fillId="0" borderId="97" xfId="1" applyFont="1" applyBorder="1" applyAlignment="1">
      <alignment horizontal="center" vertical="center" wrapText="1"/>
    </xf>
    <xf numFmtId="0" fontId="18" fillId="0" borderId="97" xfId="1" applyFont="1" applyBorder="1">
      <alignment vertical="center"/>
    </xf>
    <xf numFmtId="0" fontId="18" fillId="0" borderId="98" xfId="1" applyFont="1" applyBorder="1">
      <alignment vertical="center"/>
    </xf>
    <xf numFmtId="180" fontId="18" fillId="0" borderId="154" xfId="1" applyNumberFormat="1" applyFont="1" applyBorder="1">
      <alignment vertical="center"/>
    </xf>
    <xf numFmtId="0" fontId="18" fillId="0" borderId="158" xfId="1" applyFont="1" applyBorder="1">
      <alignment vertical="center"/>
    </xf>
    <xf numFmtId="181" fontId="23" fillId="0" borderId="101" xfId="1" applyNumberFormat="1" applyFont="1" applyBorder="1">
      <alignment vertical="center"/>
    </xf>
    <xf numFmtId="180" fontId="21" fillId="0" borderId="97" xfId="1" applyNumberFormat="1" applyFont="1" applyBorder="1" applyAlignment="1">
      <alignment horizontal="right" vertical="center"/>
    </xf>
    <xf numFmtId="0" fontId="5" fillId="0" borderId="16" xfId="1" applyFont="1" applyBorder="1" applyAlignment="1" applyProtection="1">
      <alignment horizontal="left" vertical="center"/>
      <protection locked="0"/>
    </xf>
    <xf numFmtId="0" fontId="5" fillId="0" borderId="34" xfId="1" applyFont="1" applyBorder="1" applyAlignment="1" applyProtection="1">
      <alignment horizontal="left" vertical="center"/>
      <protection locked="0"/>
    </xf>
    <xf numFmtId="0" fontId="5" fillId="0" borderId="35" xfId="1" applyFont="1" applyBorder="1" applyAlignment="1" applyProtection="1">
      <alignment horizontal="left" vertical="center"/>
      <protection locked="0"/>
    </xf>
    <xf numFmtId="0" fontId="5" fillId="0" borderId="36" xfId="1" applyFont="1" applyBorder="1" applyAlignment="1" applyProtection="1">
      <alignment horizontal="left" vertical="center"/>
      <protection locked="0"/>
    </xf>
    <xf numFmtId="0" fontId="5" fillId="0" borderId="42" xfId="1" applyFont="1" applyBorder="1" applyAlignment="1" applyProtection="1">
      <alignment horizontal="left" vertical="center"/>
      <protection locked="0"/>
    </xf>
    <xf numFmtId="0" fontId="5" fillId="0" borderId="43" xfId="1" applyFont="1" applyBorder="1" applyAlignment="1" applyProtection="1">
      <alignment horizontal="left" vertical="center"/>
      <protection locked="0"/>
    </xf>
    <xf numFmtId="0" fontId="9" fillId="0" borderId="4"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9" xfId="1" applyFont="1"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0" borderId="11" xfId="1" applyFont="1" applyBorder="1" applyAlignment="1" applyProtection="1">
      <alignment horizontal="center" vertical="center" wrapText="1"/>
      <protection locked="0"/>
    </xf>
    <xf numFmtId="0" fontId="9" fillId="0" borderId="15" xfId="1" applyFont="1" applyBorder="1" applyAlignment="1" applyProtection="1">
      <alignment horizontal="center" vertical="center" wrapText="1"/>
      <protection locked="0"/>
    </xf>
    <xf numFmtId="0" fontId="2" fillId="0" borderId="0" xfId="1" applyFont="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5" fillId="0" borderId="9" xfId="1" applyFont="1" applyBorder="1" applyAlignment="1" applyProtection="1">
      <alignment horizontal="center" vertical="center" wrapText="1"/>
      <protection locked="0"/>
    </xf>
    <xf numFmtId="0" fontId="5" fillId="0" borderId="15"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7"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28" xfId="1" applyFont="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5" fillId="0" borderId="29" xfId="1" applyFont="1" applyBorder="1" applyAlignment="1" applyProtection="1">
      <alignment horizontal="left" vertical="center"/>
      <protection locked="0"/>
    </xf>
    <xf numFmtId="0" fontId="5" fillId="0" borderId="31" xfId="1" applyFont="1" applyBorder="1" applyAlignment="1" applyProtection="1">
      <alignment horizontal="left" vertical="center"/>
      <protection locked="0"/>
    </xf>
    <xf numFmtId="0" fontId="5" fillId="0" borderId="30" xfId="1" applyFont="1" applyBorder="1" applyAlignment="1" applyProtection="1">
      <alignment horizontal="left" vertical="center" wrapText="1"/>
      <protection locked="0"/>
    </xf>
    <xf numFmtId="0" fontId="5" fillId="0" borderId="32" xfId="1" applyFont="1" applyBorder="1" applyAlignment="1" applyProtection="1">
      <alignment horizontal="left" vertical="center"/>
      <protection locked="0"/>
    </xf>
    <xf numFmtId="0" fontId="5" fillId="0" borderId="33" xfId="1" applyFont="1" applyBorder="1" applyAlignment="1" applyProtection="1">
      <alignment horizontal="left" vertical="center"/>
      <protection locked="0"/>
    </xf>
    <xf numFmtId="0" fontId="5" fillId="0" borderId="53" xfId="1" applyFont="1" applyBorder="1" applyAlignment="1" applyProtection="1">
      <alignment horizontal="center" vertical="center" wrapText="1"/>
      <protection locked="0"/>
    </xf>
    <xf numFmtId="0" fontId="5" fillId="0" borderId="55" xfId="1" applyFont="1" applyBorder="1" applyAlignment="1" applyProtection="1">
      <alignment horizontal="center" vertical="center" wrapText="1"/>
      <protection locked="0"/>
    </xf>
    <xf numFmtId="176" fontId="5" fillId="0" borderId="13" xfId="1" applyNumberFormat="1" applyFont="1" applyBorder="1" applyAlignment="1" applyProtection="1">
      <alignment horizontal="center" vertical="center"/>
      <protection locked="0"/>
    </xf>
    <xf numFmtId="176" fontId="5" fillId="0" borderId="14" xfId="1" applyNumberFormat="1" applyFont="1" applyBorder="1" applyAlignment="1" applyProtection="1">
      <alignment horizontal="center" vertical="center"/>
      <protection locked="0"/>
    </xf>
    <xf numFmtId="0" fontId="5" fillId="0" borderId="12" xfId="1" applyFont="1" applyBorder="1" applyAlignment="1" applyProtection="1">
      <alignment horizontal="left" vertical="center"/>
      <protection locked="0"/>
    </xf>
    <xf numFmtId="0" fontId="5" fillId="0" borderId="56" xfId="1" applyFont="1" applyBorder="1" applyAlignment="1" applyProtection="1">
      <alignment horizontal="left" vertical="center"/>
      <protection locked="0"/>
    </xf>
    <xf numFmtId="0" fontId="5" fillId="2" borderId="1" xfId="1" applyFont="1" applyFill="1" applyBorder="1" applyAlignment="1" applyProtection="1">
      <alignment horizontal="left" vertical="top"/>
      <protection locked="0"/>
    </xf>
    <xf numFmtId="0" fontId="5" fillId="2" borderId="2" xfId="1" applyFont="1" applyFill="1" applyBorder="1" applyAlignment="1" applyProtection="1">
      <alignment horizontal="left" vertical="top"/>
      <protection locked="0"/>
    </xf>
    <xf numFmtId="0" fontId="5" fillId="2" borderId="3" xfId="1" applyFont="1" applyFill="1" applyBorder="1" applyAlignment="1" applyProtection="1">
      <alignment horizontal="left" vertical="top"/>
      <protection locked="0"/>
    </xf>
    <xf numFmtId="0" fontId="5" fillId="0" borderId="59" xfId="1" applyFont="1" applyBorder="1" applyAlignment="1" applyProtection="1">
      <alignment horizontal="left" vertical="center"/>
      <protection locked="0"/>
    </xf>
    <xf numFmtId="0" fontId="5" fillId="0" borderId="60" xfId="1" applyFont="1" applyBorder="1" applyAlignment="1" applyProtection="1">
      <alignment horizontal="left" vertical="center"/>
      <protection locked="0"/>
    </xf>
    <xf numFmtId="0" fontId="5" fillId="0" borderId="64" xfId="1" applyFont="1" applyBorder="1" applyAlignment="1" applyProtection="1">
      <alignment horizontal="left" vertical="center"/>
      <protection locked="0"/>
    </xf>
    <xf numFmtId="0" fontId="5" fillId="0" borderId="65" xfId="1" applyFont="1" applyBorder="1" applyAlignment="1" applyProtection="1">
      <alignment horizontal="left" vertical="center"/>
      <protection locked="0"/>
    </xf>
    <xf numFmtId="0" fontId="13" fillId="0" borderId="4" xfId="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15" xfId="1" applyFont="1" applyBorder="1" applyAlignment="1" applyProtection="1">
      <alignment horizontal="center" vertical="center" wrapText="1"/>
      <protection locked="0"/>
    </xf>
    <xf numFmtId="176" fontId="5" fillId="0" borderId="12" xfId="1" applyNumberFormat="1" applyFont="1" applyBorder="1" applyAlignment="1" applyProtection="1">
      <alignment horizontal="center" vertical="center"/>
      <protection locked="0"/>
    </xf>
    <xf numFmtId="0" fontId="18" fillId="0" borderId="77" xfId="1" applyFont="1" applyBorder="1" applyAlignment="1" applyProtection="1">
      <alignment horizontal="left" vertical="center"/>
      <protection locked="0"/>
    </xf>
    <xf numFmtId="0" fontId="18" fillId="0" borderId="78" xfId="1" applyFont="1" applyBorder="1" applyAlignment="1" applyProtection="1">
      <alignment horizontal="left" vertical="center"/>
      <protection locked="0"/>
    </xf>
    <xf numFmtId="0" fontId="18" fillId="0" borderId="72" xfId="1" applyFont="1" applyBorder="1" applyAlignment="1" applyProtection="1">
      <alignment horizontal="left" vertical="center"/>
      <protection locked="0"/>
    </xf>
    <xf numFmtId="0" fontId="18" fillId="0" borderId="13" xfId="1" applyFont="1" applyBorder="1" applyAlignment="1" applyProtection="1">
      <alignment horizontal="left" vertical="center"/>
      <protection locked="0"/>
    </xf>
    <xf numFmtId="0" fontId="18" fillId="0" borderId="30" xfId="1" applyFont="1" applyBorder="1" applyAlignment="1" applyProtection="1">
      <alignment horizontal="left" vertical="center"/>
      <protection locked="0"/>
    </xf>
    <xf numFmtId="0" fontId="18" fillId="0" borderId="17" xfId="1" applyFont="1" applyBorder="1" applyAlignment="1" applyProtection="1">
      <alignment horizontal="left" vertical="center"/>
      <protection locked="0"/>
    </xf>
    <xf numFmtId="0" fontId="18" fillId="0" borderId="76" xfId="1" applyFont="1" applyBorder="1" applyAlignment="1" applyProtection="1">
      <alignment horizontal="left" vertical="center"/>
      <protection locked="0"/>
    </xf>
    <xf numFmtId="0" fontId="18" fillId="0" borderId="81" xfId="1" applyFont="1" applyBorder="1" applyAlignment="1" applyProtection="1">
      <alignment horizontal="left" vertical="center"/>
      <protection locked="0"/>
    </xf>
    <xf numFmtId="0" fontId="18" fillId="0" borderId="82" xfId="1" applyFont="1" applyBorder="1" applyAlignment="1" applyProtection="1">
      <alignment horizontal="left" vertical="center"/>
      <protection locked="0"/>
    </xf>
    <xf numFmtId="0" fontId="18" fillId="0" borderId="0" xfId="1" applyFont="1" applyAlignment="1" applyProtection="1">
      <alignment horizontal="left" vertical="top" wrapText="1"/>
      <protection locked="0"/>
    </xf>
    <xf numFmtId="0" fontId="18" fillId="0" borderId="4" xfId="1" applyFont="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18" fillId="0" borderId="9" xfId="1" applyFont="1" applyBorder="1" applyAlignment="1" applyProtection="1">
      <alignment horizontal="center" vertical="center"/>
      <protection locked="0"/>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180" fontId="18" fillId="0" borderId="69" xfId="1" applyNumberFormat="1" applyFont="1" applyBorder="1" applyAlignment="1">
      <alignment horizontal="center" vertical="center" wrapText="1"/>
    </xf>
    <xf numFmtId="180" fontId="18" fillId="0" borderId="85" xfId="1" applyNumberFormat="1" applyFont="1" applyBorder="1" applyAlignment="1">
      <alignment horizontal="center" vertical="center" wrapText="1"/>
    </xf>
    <xf numFmtId="180" fontId="18" fillId="0" borderId="10" xfId="1" applyNumberFormat="1" applyFont="1" applyBorder="1" applyAlignment="1">
      <alignment horizontal="center" vertical="center" wrapText="1"/>
    </xf>
    <xf numFmtId="180" fontId="18" fillId="0" borderId="15" xfId="1" applyNumberFormat="1" applyFont="1" applyBorder="1" applyAlignment="1">
      <alignment horizontal="center" vertical="center" wrapText="1"/>
    </xf>
    <xf numFmtId="0" fontId="25" fillId="0" borderId="10" xfId="1" applyFont="1" applyBorder="1" applyAlignment="1">
      <alignment horizontal="center" vertical="center" wrapText="1"/>
    </xf>
    <xf numFmtId="0" fontId="25" fillId="0" borderId="15" xfId="1" applyFont="1" applyBorder="1" applyAlignment="1">
      <alignment horizontal="center" vertical="center" wrapText="1"/>
    </xf>
    <xf numFmtId="0" fontId="18" fillId="0" borderId="14" xfId="1" applyFont="1" applyBorder="1" applyAlignment="1" applyProtection="1">
      <alignment horizontal="left" vertical="center"/>
      <protection locked="0"/>
    </xf>
    <xf numFmtId="0" fontId="25" fillId="0" borderId="12" xfId="1" applyFont="1" applyBorder="1" applyAlignment="1">
      <alignment horizontal="center" vertical="center" wrapText="1"/>
    </xf>
    <xf numFmtId="0" fontId="25" fillId="0" borderId="14"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3" xfId="1" applyFont="1" applyBorder="1" applyAlignment="1">
      <alignment horizontal="left" vertical="center"/>
    </xf>
    <xf numFmtId="0" fontId="18" fillId="0" borderId="0" xfId="1" applyFont="1" applyAlignment="1">
      <alignment horizontal="center" vertical="center"/>
    </xf>
    <xf numFmtId="0" fontId="18" fillId="0" borderId="100" xfId="1" applyFont="1" applyBorder="1" applyAlignment="1">
      <alignment horizontal="center" vertical="center"/>
    </xf>
    <xf numFmtId="0" fontId="18" fillId="2" borderId="1" xfId="1" applyFont="1" applyFill="1" applyBorder="1" applyAlignment="1" applyProtection="1">
      <alignment horizontal="center" vertical="center"/>
      <protection locked="0"/>
    </xf>
    <xf numFmtId="0" fontId="18" fillId="2" borderId="2" xfId="1" applyFont="1" applyFill="1" applyBorder="1" applyAlignment="1" applyProtection="1">
      <alignment horizontal="center" vertical="center"/>
      <protection locked="0"/>
    </xf>
    <xf numFmtId="0" fontId="18" fillId="2" borderId="3" xfId="1" applyFont="1" applyFill="1" applyBorder="1" applyAlignment="1" applyProtection="1">
      <alignment horizontal="center" vertical="center"/>
      <protection locked="0"/>
    </xf>
    <xf numFmtId="0" fontId="18" fillId="0" borderId="72" xfId="1" applyFont="1" applyBorder="1" applyAlignment="1">
      <alignment horizontal="center" vertical="center"/>
    </xf>
    <xf numFmtId="0" fontId="18" fillId="0" borderId="13" xfId="1" applyFont="1" applyBorder="1" applyAlignment="1">
      <alignment horizontal="center" vertical="center"/>
    </xf>
    <xf numFmtId="0" fontId="18" fillId="0" borderId="72" xfId="1" applyFont="1" applyBorder="1" applyAlignment="1">
      <alignment horizontal="left" vertical="center"/>
    </xf>
    <xf numFmtId="180" fontId="18" fillId="0" borderId="15" xfId="1" applyNumberFormat="1" applyFont="1" applyBorder="1" applyAlignment="1">
      <alignment horizontal="center" vertical="center"/>
    </xf>
    <xf numFmtId="0" fontId="18" fillId="0" borderId="30" xfId="1" applyFont="1" applyBorder="1" applyAlignment="1">
      <alignment horizontal="left" vertical="center"/>
    </xf>
    <xf numFmtId="0" fontId="18" fillId="0" borderId="17" xfId="1" applyFont="1" applyBorder="1" applyAlignment="1">
      <alignment horizontal="left" vertical="center"/>
    </xf>
    <xf numFmtId="0" fontId="18" fillId="0" borderId="77" xfId="1" applyFont="1" applyBorder="1" applyAlignment="1">
      <alignment horizontal="left" vertical="center"/>
    </xf>
    <xf numFmtId="0" fontId="18" fillId="0" borderId="78" xfId="1" applyFont="1" applyBorder="1" applyAlignment="1">
      <alignment horizontal="left" vertical="center"/>
    </xf>
    <xf numFmtId="0" fontId="18" fillId="0" borderId="76" xfId="1" applyFont="1" applyBorder="1" applyAlignment="1">
      <alignment horizontal="left" vertical="center"/>
    </xf>
    <xf numFmtId="0" fontId="18" fillId="0" borderId="81" xfId="1" applyFont="1" applyBorder="1" applyAlignment="1">
      <alignment horizontal="left" vertical="center"/>
    </xf>
    <xf numFmtId="0" fontId="18" fillId="0" borderId="82" xfId="1" applyFont="1" applyBorder="1" applyAlignment="1">
      <alignment horizontal="left" vertical="center"/>
    </xf>
    <xf numFmtId="0" fontId="18" fillId="0" borderId="0" xfId="1" applyFont="1" applyAlignment="1">
      <alignment horizontal="left" vertical="top" wrapText="1"/>
    </xf>
    <xf numFmtId="180" fontId="18" fillId="0" borderId="1" xfId="1" applyNumberFormat="1" applyFont="1" applyBorder="1" applyAlignment="1">
      <alignment horizontal="center" vertical="center"/>
    </xf>
    <xf numFmtId="180" fontId="18" fillId="0" borderId="2" xfId="1" applyNumberFormat="1" applyFont="1" applyBorder="1" applyAlignment="1">
      <alignment horizontal="center" vertical="center"/>
    </xf>
    <xf numFmtId="180" fontId="18" fillId="0" borderId="3" xfId="1" applyNumberFormat="1" applyFont="1" applyBorder="1" applyAlignment="1">
      <alignment horizontal="center" vertical="center"/>
    </xf>
    <xf numFmtId="0" fontId="18" fillId="0" borderId="10"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75"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101" xfId="1" applyFont="1" applyBorder="1" applyAlignment="1">
      <alignment horizontal="center" vertical="center" wrapText="1"/>
    </xf>
    <xf numFmtId="0" fontId="18" fillId="0" borderId="93" xfId="1" applyFont="1" applyBorder="1" applyAlignment="1">
      <alignment horizontal="center" vertical="center" wrapText="1"/>
    </xf>
    <xf numFmtId="0" fontId="18" fillId="0" borderId="96" xfId="1" applyFont="1" applyBorder="1" applyAlignment="1">
      <alignment horizontal="center" vertical="center" wrapText="1"/>
    </xf>
    <xf numFmtId="0" fontId="18" fillId="0" borderId="154" xfId="1" applyFont="1" applyBorder="1" applyAlignment="1">
      <alignment horizontal="center" vertical="center" wrapText="1"/>
    </xf>
    <xf numFmtId="0" fontId="18" fillId="0" borderId="153" xfId="1" applyFont="1" applyBorder="1" applyAlignment="1">
      <alignment horizontal="center" vertical="center" wrapText="1"/>
    </xf>
    <xf numFmtId="0" fontId="18" fillId="0" borderId="96" xfId="1" applyFont="1" applyBorder="1" applyAlignment="1">
      <alignment horizontal="left" vertical="center"/>
    </xf>
    <xf numFmtId="0" fontId="18" fillId="0" borderId="14" xfId="1" applyFont="1" applyBorder="1" applyAlignment="1">
      <alignment horizontal="left" vertical="center"/>
    </xf>
    <xf numFmtId="0" fontId="18" fillId="0" borderId="13" xfId="1" applyFont="1" applyBorder="1" applyAlignment="1">
      <alignment horizontal="left" vertical="center" wrapText="1"/>
    </xf>
    <xf numFmtId="0" fontId="18" fillId="0" borderId="28" xfId="1" applyFont="1" applyBorder="1" applyAlignment="1">
      <alignment horizontal="center" vertical="center" wrapText="1"/>
    </xf>
    <xf numFmtId="0" fontId="18" fillId="0" borderId="100" xfId="1" applyFont="1" applyBorder="1" applyAlignment="1">
      <alignment horizontal="center" vertical="center" wrapText="1"/>
    </xf>
    <xf numFmtId="179" fontId="5" fillId="0" borderId="53" xfId="1" applyNumberFormat="1" applyFont="1" applyBorder="1" applyAlignment="1" applyProtection="1">
      <alignment horizontal="center" vertical="center" wrapText="1"/>
      <protection locked="0"/>
    </xf>
    <xf numFmtId="179" fontId="5" fillId="0" borderId="55" xfId="1" applyNumberFormat="1" applyFont="1" applyBorder="1" applyAlignment="1" applyProtection="1">
      <alignment horizontal="center" vertical="center" wrapText="1"/>
      <protection locked="0"/>
    </xf>
    <xf numFmtId="0" fontId="10" fillId="0" borderId="6" xfId="1" applyFont="1" applyBorder="1" applyAlignment="1" applyProtection="1">
      <alignment horizontal="center" vertical="center"/>
      <protection locked="0"/>
    </xf>
    <xf numFmtId="0" fontId="10" fillId="0" borderId="7"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0" fillId="0" borderId="70" xfId="1" applyFont="1" applyBorder="1" applyAlignment="1" applyProtection="1">
      <alignment horizontal="center" vertical="center"/>
      <protection locked="0"/>
    </xf>
    <xf numFmtId="0" fontId="10" fillId="0" borderId="57" xfId="1" applyFont="1" applyBorder="1" applyAlignment="1" applyProtection="1">
      <alignment horizontal="center" vertical="center"/>
      <protection locked="0"/>
    </xf>
    <xf numFmtId="0" fontId="10" fillId="0" borderId="58" xfId="1" applyFont="1" applyBorder="1" applyAlignment="1" applyProtection="1">
      <alignment horizontal="center" vertical="center"/>
      <protection locked="0"/>
    </xf>
    <xf numFmtId="0" fontId="5" fillId="0" borderId="70"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left" vertical="center"/>
      <protection locked="0"/>
    </xf>
    <xf numFmtId="0" fontId="5" fillId="0" borderId="107" xfId="1" applyFont="1" applyBorder="1" applyAlignment="1" applyProtection="1">
      <alignment horizontal="left" vertical="center"/>
      <protection locked="0"/>
    </xf>
    <xf numFmtId="0" fontId="9" fillId="0" borderId="6"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wrapText="1"/>
      <protection locked="0"/>
    </xf>
    <xf numFmtId="0" fontId="9" fillId="0" borderId="70" xfId="1" applyFont="1" applyBorder="1" applyAlignment="1" applyProtection="1">
      <alignment horizontal="center" vertical="center" wrapText="1"/>
      <protection locked="0"/>
    </xf>
    <xf numFmtId="0" fontId="9" fillId="0" borderId="57" xfId="1" applyFont="1" applyBorder="1" applyAlignment="1" applyProtection="1">
      <alignment horizontal="center" vertical="center" wrapText="1"/>
      <protection locked="0"/>
    </xf>
    <xf numFmtId="0" fontId="9" fillId="0" borderId="58" xfId="1" applyFont="1" applyBorder="1" applyAlignment="1" applyProtection="1">
      <alignment horizontal="center" vertical="center" wrapText="1"/>
      <protection locked="0"/>
    </xf>
    <xf numFmtId="0" fontId="5" fillId="0" borderId="109" xfId="1" applyFont="1" applyBorder="1" applyAlignment="1" applyProtection="1">
      <alignment horizontal="center" vertical="center"/>
      <protection locked="0"/>
    </xf>
    <xf numFmtId="0" fontId="13" fillId="0" borderId="6" xfId="1" applyFont="1" applyBorder="1" applyAlignment="1" applyProtection="1">
      <alignment horizontal="center" vertical="center" wrapText="1"/>
      <protection locked="0"/>
    </xf>
    <xf numFmtId="0" fontId="13" fillId="0" borderId="7"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70" xfId="1" applyFont="1" applyBorder="1" applyAlignment="1" applyProtection="1">
      <alignment horizontal="center" vertical="center" wrapText="1"/>
      <protection locked="0"/>
    </xf>
    <xf numFmtId="0" fontId="13" fillId="0" borderId="57" xfId="1" applyFont="1" applyBorder="1" applyAlignment="1" applyProtection="1">
      <alignment horizontal="center" vertical="center" wrapText="1"/>
      <protection locked="0"/>
    </xf>
    <xf numFmtId="0" fontId="13" fillId="0" borderId="58" xfId="1" applyFont="1" applyBorder="1" applyAlignment="1" applyProtection="1">
      <alignment horizontal="center" vertical="center" wrapText="1"/>
      <protection locked="0"/>
    </xf>
    <xf numFmtId="0" fontId="34" fillId="0" borderId="0" xfId="1" applyFont="1" applyAlignment="1">
      <alignment horizontal="left" vertical="center"/>
    </xf>
    <xf numFmtId="0" fontId="18" fillId="0" borderId="13" xfId="1" applyFont="1" applyBorder="1">
      <alignment vertical="center"/>
    </xf>
    <xf numFmtId="0" fontId="18" fillId="0" borderId="56" xfId="1" applyFont="1" applyBorder="1">
      <alignment vertical="center"/>
    </xf>
    <xf numFmtId="0" fontId="18" fillId="0" borderId="120" xfId="1" applyFont="1" applyBorder="1" applyAlignment="1">
      <alignment horizontal="center" vertical="center"/>
    </xf>
    <xf numFmtId="0" fontId="18" fillId="0" borderId="51" xfId="1" applyFont="1" applyBorder="1" applyAlignment="1">
      <alignment horizontal="center" vertical="center"/>
    </xf>
    <xf numFmtId="0" fontId="18" fillId="0" borderId="56" xfId="1" applyFont="1" applyBorder="1" applyAlignment="1">
      <alignment horizontal="left" vertical="center"/>
    </xf>
    <xf numFmtId="0" fontId="18" fillId="0" borderId="18" xfId="1" applyFont="1" applyBorder="1">
      <alignment vertical="center"/>
    </xf>
    <xf numFmtId="0" fontId="18" fillId="0" borderId="127" xfId="1" applyFont="1" applyBorder="1">
      <alignment vertical="center"/>
    </xf>
    <xf numFmtId="0" fontId="18" fillId="0" borderId="95" xfId="1" applyFont="1" applyBorder="1">
      <alignment vertical="center"/>
    </xf>
    <xf numFmtId="0" fontId="18" fillId="0" borderId="131" xfId="1" applyFont="1" applyBorder="1">
      <alignment vertical="center"/>
    </xf>
    <xf numFmtId="181" fontId="38" fillId="0" borderId="133" xfId="1" applyNumberFormat="1" applyFont="1" applyBorder="1" applyAlignment="1">
      <alignment horizontal="right" vertical="center"/>
    </xf>
    <xf numFmtId="181" fontId="38" fillId="0" borderId="136" xfId="1" applyNumberFormat="1" applyFont="1" applyBorder="1" applyAlignment="1">
      <alignment horizontal="right" vertical="center"/>
    </xf>
    <xf numFmtId="0" fontId="18" fillId="0" borderId="37" xfId="1" applyFont="1" applyBorder="1">
      <alignment vertical="center"/>
    </xf>
    <xf numFmtId="0" fontId="18" fillId="0" borderId="134" xfId="1" applyFont="1" applyBorder="1">
      <alignment vertical="center"/>
    </xf>
    <xf numFmtId="0" fontId="18" fillId="0" borderId="32" xfId="1" applyFont="1" applyBorder="1" applyAlignment="1">
      <alignment horizontal="left" vertical="center"/>
    </xf>
    <xf numFmtId="0" fontId="18" fillId="0" borderId="33" xfId="1" applyFont="1" applyBorder="1" applyAlignment="1">
      <alignment horizontal="left" vertical="center"/>
    </xf>
    <xf numFmtId="0" fontId="18" fillId="0" borderId="83" xfId="1" applyFont="1" applyBorder="1">
      <alignment vertical="center"/>
    </xf>
    <xf numFmtId="0" fontId="18" fillId="0" borderId="143" xfId="1" applyFont="1" applyBorder="1">
      <alignment vertical="center"/>
    </xf>
    <xf numFmtId="0" fontId="20" fillId="0" borderId="59" xfId="1" applyFont="1" applyBorder="1">
      <alignment vertical="center"/>
    </xf>
    <xf numFmtId="0" fontId="20" fillId="0" borderId="121" xfId="1" applyFont="1" applyBorder="1">
      <alignment vertical="center"/>
    </xf>
    <xf numFmtId="0" fontId="20" fillId="0" borderId="60" xfId="1" applyFont="1" applyBorder="1">
      <alignment vertical="center"/>
    </xf>
    <xf numFmtId="0" fontId="18" fillId="0" borderId="115" xfId="1" applyFont="1" applyBorder="1">
      <alignment vertical="center"/>
    </xf>
    <xf numFmtId="0" fontId="18" fillId="0" borderId="95" xfId="1" applyFont="1" applyBorder="1" applyAlignment="1">
      <alignment horizontal="left" vertical="center" wrapText="1"/>
    </xf>
    <xf numFmtId="0" fontId="18" fillId="0" borderId="131" xfId="1" applyFont="1" applyBorder="1" applyAlignment="1">
      <alignment horizontal="left" vertical="center" wrapText="1"/>
    </xf>
    <xf numFmtId="180" fontId="18" fillId="0" borderId="85" xfId="1" applyNumberFormat="1" applyFont="1" applyBorder="1" applyAlignment="1">
      <alignment horizontal="center" vertical="center"/>
    </xf>
    <xf numFmtId="0" fontId="18" fillId="0" borderId="18" xfId="1" applyFont="1" applyBorder="1" applyAlignment="1">
      <alignment horizontal="left" vertical="center" wrapText="1"/>
    </xf>
    <xf numFmtId="0" fontId="18" fillId="0" borderId="127" xfId="1" applyFont="1" applyBorder="1" applyAlignment="1">
      <alignment horizontal="left" vertical="center" wrapText="1"/>
    </xf>
    <xf numFmtId="0" fontId="25" fillId="0" borderId="13" xfId="1" applyFont="1" applyBorder="1" applyAlignment="1">
      <alignment horizontal="left" vertical="center" wrapText="1"/>
    </xf>
    <xf numFmtId="0" fontId="25" fillId="0" borderId="56" xfId="1" applyFont="1" applyBorder="1" applyAlignment="1">
      <alignment horizontal="left" vertical="center" wrapText="1"/>
    </xf>
    <xf numFmtId="0" fontId="18" fillId="0" borderId="131" xfId="1" applyFont="1" applyBorder="1" applyAlignment="1">
      <alignment horizontal="left" vertical="center"/>
    </xf>
    <xf numFmtId="0" fontId="18" fillId="0" borderId="95" xfId="1" applyFont="1" applyBorder="1" applyAlignment="1">
      <alignment horizontal="left" vertical="center"/>
    </xf>
    <xf numFmtId="0" fontId="18" fillId="0" borderId="37" xfId="1" applyFont="1" applyBorder="1" applyAlignment="1">
      <alignment horizontal="left" vertical="center"/>
    </xf>
    <xf numFmtId="0" fontId="18" fillId="0" borderId="134" xfId="1" applyFont="1" applyBorder="1" applyAlignment="1">
      <alignment horizontal="left" vertical="center"/>
    </xf>
    <xf numFmtId="0" fontId="18" fillId="0" borderId="148" xfId="1" applyFont="1" applyBorder="1" applyAlignment="1">
      <alignment horizontal="left" vertical="center"/>
    </xf>
    <xf numFmtId="0" fontId="18" fillId="0" borderId="149" xfId="1" applyFont="1" applyBorder="1" applyAlignment="1">
      <alignment horizontal="left" vertical="center"/>
    </xf>
    <xf numFmtId="0" fontId="18" fillId="0" borderId="34" xfId="1" applyFont="1" applyBorder="1" applyAlignment="1">
      <alignment horizontal="left" vertical="center"/>
    </xf>
  </cellXfs>
  <cellStyles count="3">
    <cellStyle name="桁区切り 2" xfId="2" xr:uid="{AB261E33-6F19-4611-A9E6-7C8696681143}"/>
    <cellStyle name="標準" xfId="0" builtinId="0"/>
    <cellStyle name="標準 2 2 2" xfId="1" xr:uid="{045BE463-1896-4F69-B815-1A58BA404F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628E9C08-DCB1-4DB3-9503-34576A056C29}"/>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D4F255E9-9249-4D10-88F9-CB3841CC39BA}"/>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8B0E1633-A90D-4967-8B7A-99BB465097E9}"/>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1</xdr:rowOff>
    </xdr:from>
    <xdr:to>
      <xdr:col>27</xdr:col>
      <xdr:colOff>108859</xdr:colOff>
      <xdr:row>15</xdr:row>
      <xdr:rowOff>149679</xdr:rowOff>
    </xdr:to>
    <xdr:sp macro="" textlink="">
      <xdr:nvSpPr>
        <xdr:cNvPr id="5" name="テキスト ボックス 4">
          <a:extLst>
            <a:ext uri="{FF2B5EF4-FFF2-40B4-BE49-F238E27FC236}">
              <a16:creationId xmlns:a16="http://schemas.microsoft.com/office/drawing/2014/main" id="{6F508F6B-C3CF-4E92-9E9D-585B6387A0B9}"/>
            </a:ext>
          </a:extLst>
        </xdr:cNvPr>
        <xdr:cNvSpPr txBox="1"/>
      </xdr:nvSpPr>
      <xdr:spPr>
        <a:xfrm>
          <a:off x="9210675" y="514351"/>
          <a:ext cx="6281059" cy="3292928"/>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48EEEC72-8B86-48C3-A7BA-DD06CE6F6059}"/>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6B03F81A-7106-472F-9C43-4173F8665B32}"/>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7C2BCD56-AF8C-4463-AEDF-F8DF57168C4F}"/>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108859</xdr:colOff>
      <xdr:row>15</xdr:row>
      <xdr:rowOff>149678</xdr:rowOff>
    </xdr:to>
    <xdr:sp macro="" textlink="">
      <xdr:nvSpPr>
        <xdr:cNvPr id="5" name="テキスト ボックス 4">
          <a:extLst>
            <a:ext uri="{FF2B5EF4-FFF2-40B4-BE49-F238E27FC236}">
              <a16:creationId xmlns:a16="http://schemas.microsoft.com/office/drawing/2014/main" id="{6AADD8C6-7122-4F31-9A97-39DC2AF2B63C}"/>
            </a:ext>
          </a:extLst>
        </xdr:cNvPr>
        <xdr:cNvSpPr txBox="1"/>
      </xdr:nvSpPr>
      <xdr:spPr>
        <a:xfrm>
          <a:off x="9210675" y="514350"/>
          <a:ext cx="6281059" cy="329292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endParaRPr kumimoji="1" lang="en-US" altLang="ja-JP" sz="2800" u="sng">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1FA6F1AF-ACE3-40D6-BC54-39491365D8DE}"/>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7AD515BF-8B4D-4D0F-A6A0-E6DD624647B6}"/>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060AF1CC-9A5E-4D3E-855C-5924F1567A27}"/>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26</xdr:col>
      <xdr:colOff>340178</xdr:colOff>
      <xdr:row>15</xdr:row>
      <xdr:rowOff>149678</xdr:rowOff>
    </xdr:to>
    <xdr:sp macro="" textlink="">
      <xdr:nvSpPr>
        <xdr:cNvPr id="5" name="テキスト ボックス 4">
          <a:extLst>
            <a:ext uri="{FF2B5EF4-FFF2-40B4-BE49-F238E27FC236}">
              <a16:creationId xmlns:a16="http://schemas.microsoft.com/office/drawing/2014/main" id="{86E0D6D4-BA7E-4D6B-8F0F-35895D118DB8}"/>
            </a:ext>
          </a:extLst>
        </xdr:cNvPr>
        <xdr:cNvSpPr txBox="1"/>
      </xdr:nvSpPr>
      <xdr:spPr>
        <a:xfrm>
          <a:off x="9210675" y="514350"/>
          <a:ext cx="5826578" cy="3292928"/>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a:t>
          </a:r>
          <a:r>
            <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rPr>
            <a:t>1</a:t>
          </a: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号のみの児童数を入力！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09874061-CC71-4EF3-8918-9ED5FABB486E}"/>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D397E4F9-2371-4FCA-AF3E-D3DBA69E0148}"/>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3CB650A0-00FC-4C83-80E5-2577C1DF0857}"/>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149678</xdr:colOff>
      <xdr:row>15</xdr:row>
      <xdr:rowOff>149678</xdr:rowOff>
    </xdr:to>
    <xdr:sp macro="" textlink="">
      <xdr:nvSpPr>
        <xdr:cNvPr id="5" name="テキスト ボックス 4">
          <a:extLst>
            <a:ext uri="{FF2B5EF4-FFF2-40B4-BE49-F238E27FC236}">
              <a16:creationId xmlns:a16="http://schemas.microsoft.com/office/drawing/2014/main" id="{FF0FAD5F-2471-45DF-882F-1EFE8D431883}"/>
            </a:ext>
          </a:extLst>
        </xdr:cNvPr>
        <xdr:cNvSpPr txBox="1"/>
      </xdr:nvSpPr>
      <xdr:spPr>
        <a:xfrm>
          <a:off x="9210675" y="514350"/>
          <a:ext cx="6321878" cy="3292928"/>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本園、２・３号のみの児童数を入力！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90C34170-BE4A-4649-8A5C-34DBBF773609}"/>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7FE85333-F13D-49C5-AE9E-54A27D73F709}"/>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34FF9007-485A-46F8-A402-61DCF45A7AB3}"/>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149678</xdr:colOff>
      <xdr:row>15</xdr:row>
      <xdr:rowOff>149678</xdr:rowOff>
    </xdr:to>
    <xdr:sp macro="" textlink="">
      <xdr:nvSpPr>
        <xdr:cNvPr id="5" name="テキスト ボックス 4">
          <a:extLst>
            <a:ext uri="{FF2B5EF4-FFF2-40B4-BE49-F238E27FC236}">
              <a16:creationId xmlns:a16="http://schemas.microsoft.com/office/drawing/2014/main" id="{88B44954-ECC1-473F-994E-F7980F5BC206}"/>
            </a:ext>
          </a:extLst>
        </xdr:cNvPr>
        <xdr:cNvSpPr txBox="1"/>
      </xdr:nvSpPr>
      <xdr:spPr>
        <a:xfrm>
          <a:off x="9210675" y="514350"/>
          <a:ext cx="6321878" cy="329292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分園、２・３号のみの児童数を入力！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301277</xdr:colOff>
      <xdr:row>17</xdr:row>
      <xdr:rowOff>132232</xdr:rowOff>
    </xdr:from>
    <xdr:to>
      <xdr:col>10</xdr:col>
      <xdr:colOff>228977</xdr:colOff>
      <xdr:row>19</xdr:row>
      <xdr:rowOff>56030</xdr:rowOff>
    </xdr:to>
    <xdr:sp macro="" textlink="">
      <xdr:nvSpPr>
        <xdr:cNvPr id="2" name="下矢印 1">
          <a:extLst>
            <a:ext uri="{FF2B5EF4-FFF2-40B4-BE49-F238E27FC236}">
              <a16:creationId xmlns:a16="http://schemas.microsoft.com/office/drawing/2014/main" id="{39B523A6-D327-4ABE-BCF4-AAEF079DE44A}"/>
            </a:ext>
          </a:extLst>
        </xdr:cNvPr>
        <xdr:cNvSpPr/>
      </xdr:nvSpPr>
      <xdr:spPr>
        <a:xfrm>
          <a:off x="4911377" y="4218457"/>
          <a:ext cx="432525" cy="3619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29</xdr:row>
      <xdr:rowOff>161924</xdr:rowOff>
    </xdr:from>
    <xdr:to>
      <xdr:col>10</xdr:col>
      <xdr:colOff>245305</xdr:colOff>
      <xdr:row>30</xdr:row>
      <xdr:rowOff>180094</xdr:rowOff>
    </xdr:to>
    <xdr:sp macro="" textlink="">
      <xdr:nvSpPr>
        <xdr:cNvPr id="3" name="下矢印 2">
          <a:extLst>
            <a:ext uri="{FF2B5EF4-FFF2-40B4-BE49-F238E27FC236}">
              <a16:creationId xmlns:a16="http://schemas.microsoft.com/office/drawing/2014/main" id="{0C71D687-B867-4A0C-9F70-F30461F8F62D}"/>
            </a:ext>
          </a:extLst>
        </xdr:cNvPr>
        <xdr:cNvSpPr/>
      </xdr:nvSpPr>
      <xdr:spPr>
        <a:xfrm>
          <a:off x="4908655" y="68770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27</xdr:row>
      <xdr:rowOff>65312</xdr:rowOff>
    </xdr:from>
    <xdr:to>
      <xdr:col>15</xdr:col>
      <xdr:colOff>304799</xdr:colOff>
      <xdr:row>29</xdr:row>
      <xdr:rowOff>133349</xdr:rowOff>
    </xdr:to>
    <xdr:sp macro="" textlink="">
      <xdr:nvSpPr>
        <xdr:cNvPr id="4" name="テキスト ボックス 3">
          <a:extLst>
            <a:ext uri="{FF2B5EF4-FFF2-40B4-BE49-F238E27FC236}">
              <a16:creationId xmlns:a16="http://schemas.microsoft.com/office/drawing/2014/main" id="{EEB3CE86-6753-4D4D-AB40-07A6CBF4F854}"/>
            </a:ext>
          </a:extLst>
        </xdr:cNvPr>
        <xdr:cNvSpPr txBox="1"/>
      </xdr:nvSpPr>
      <xdr:spPr>
        <a:xfrm>
          <a:off x="2243818" y="63422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697C50EA-87DE-4C51-9B53-B56485147170}"/>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57015219-D232-470A-AC48-8558E7E2240D}"/>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EECCCC38-EDB1-4433-891F-CAF04B2561D2}"/>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A91B18A2-E125-484F-89F9-37018C61957C}"/>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09A8FF11-2F92-4E30-B58B-1A3F568BFB2F}"/>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F66BE1BB-160F-4DAC-ACFC-A0AD2E1F3B76}"/>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80366687-5C3F-4D78-983D-9E0637639BD5}"/>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8272D686-016F-4DF7-9D1F-A1BD1A12AA68}"/>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75B9F8CF-F66A-43ED-8315-01177FD275D4}"/>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AD77-BF79-4E9B-AC08-BF6F069590F1}">
  <sheetPr>
    <tabColor rgb="FFFFFF00"/>
  </sheetPr>
  <dimension ref="A1:Q90"/>
  <sheetViews>
    <sheetView tabSelected="1" zoomScale="80" zoomScaleNormal="80" workbookViewId="0">
      <selection sqref="A1:Q1"/>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0</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 t="s">
        <v>5</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 t="s">
        <v>18</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reB+sM62WKEjMQKiGJoW9Zv0/U1EdZZgv4XJJagKzAsZE0aZoj7Y5K2vhO8aC6FsJOFgzHyXZHVVfcyU/Gyn3g==" saltValue="tTGG5spSsG/16eb0u+oN0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23C77-103B-42CB-B27C-D594F6B36327}">
  <sheetPr>
    <tabColor theme="7" tint="0.39997558519241921"/>
  </sheetPr>
  <dimension ref="A1:Q90"/>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0</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cZ7p0pq5eUXJL6aBxC6aE2T1ZMkqtbQBX0QairjfClgrUCzqs8I1J6L+5N+XGABzyoeRZXPfPv1yPolrmlVeHw==" saltValue="Dz5CD451GlLqcIR034fPnA=="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8055-1DB7-4901-9087-719262C59249}">
  <sheetPr>
    <tabColor theme="7" tint="0.39997558519241921"/>
  </sheetPr>
  <dimension ref="A1:J99"/>
  <sheetViews>
    <sheetView view="pageBreakPreview" zoomScale="80" zoomScaleNormal="70" zoomScaleSheetLayoutView="80" workbookViewId="0"/>
  </sheetViews>
  <sheetFormatPr defaultColWidth="9" defaultRowHeight="18.75"/>
  <cols>
    <col min="1" max="1" width="2.875" style="83" customWidth="1"/>
    <col min="2" max="2" width="3" style="80" customWidth="1"/>
    <col min="3" max="3" width="16.375" style="80" customWidth="1"/>
    <col min="4" max="4" width="25.5" style="80" customWidth="1"/>
    <col min="5" max="5" width="8" style="80" customWidth="1"/>
    <col min="6" max="6" width="12.75" style="82" customWidth="1"/>
    <col min="7" max="7" width="14.5" style="82" hidden="1" customWidth="1"/>
    <col min="8" max="8" width="13.875" style="82" customWidth="1"/>
    <col min="9" max="9" width="9" style="82"/>
    <col min="10" max="16384" width="9" style="83"/>
  </cols>
  <sheetData>
    <row r="1" spans="1:10" s="78" customFormat="1" ht="31.5" customHeight="1">
      <c r="A1" s="213" t="s">
        <v>158</v>
      </c>
      <c r="B1" s="214"/>
      <c r="C1" s="214"/>
      <c r="D1" s="214"/>
      <c r="E1" s="214"/>
      <c r="F1" s="215"/>
      <c r="G1" s="215"/>
      <c r="H1" s="215"/>
      <c r="I1" s="215"/>
    </row>
    <row r="2" spans="1:10" ht="30.75" customHeight="1">
      <c r="A2" s="213" t="s">
        <v>159</v>
      </c>
      <c r="B2" s="218"/>
      <c r="C2" s="218"/>
      <c r="D2" s="218"/>
      <c r="E2" s="218"/>
      <c r="F2" s="220"/>
      <c r="G2" s="220"/>
      <c r="H2" s="220"/>
      <c r="I2" s="220"/>
    </row>
    <row r="3" spans="1:10" ht="30.75" customHeight="1">
      <c r="A3" s="213" t="s">
        <v>160</v>
      </c>
      <c r="B3" s="218"/>
      <c r="C3" s="218"/>
      <c r="D3" s="218"/>
      <c r="E3" s="218"/>
      <c r="F3" s="220"/>
      <c r="G3" s="220"/>
      <c r="H3" s="220"/>
      <c r="I3" s="220"/>
    </row>
    <row r="4" spans="1:10" ht="21.75" customHeight="1" thickBot="1">
      <c r="A4" s="213"/>
      <c r="B4" s="218"/>
      <c r="C4" s="218"/>
      <c r="D4" s="218"/>
      <c r="E4" s="218"/>
      <c r="F4" s="220"/>
      <c r="G4" s="220"/>
      <c r="H4" s="220"/>
      <c r="I4" s="220"/>
    </row>
    <row r="5" spans="1:10" ht="19.5" customHeight="1" thickBot="1">
      <c r="A5" s="218"/>
      <c r="B5" s="563" t="s">
        <v>1</v>
      </c>
      <c r="C5" s="563"/>
      <c r="D5" s="565"/>
      <c r="E5" s="566"/>
      <c r="F5" s="566"/>
      <c r="G5" s="566"/>
      <c r="H5" s="567"/>
      <c r="I5" s="220"/>
    </row>
    <row r="6" spans="1:10" ht="19.5" customHeight="1">
      <c r="A6" s="218"/>
      <c r="B6" s="218"/>
      <c r="C6" s="96"/>
      <c r="D6" s="96"/>
      <c r="E6" s="96"/>
      <c r="F6" s="96"/>
      <c r="G6" s="96"/>
      <c r="H6" s="96"/>
      <c r="I6" s="220"/>
    </row>
    <row r="7" spans="1:10" ht="19.5" customHeight="1" thickBot="1">
      <c r="A7" s="221" t="s">
        <v>42</v>
      </c>
      <c r="B7" s="218"/>
      <c r="C7" s="218"/>
      <c r="D7" s="218"/>
      <c r="E7" s="218"/>
      <c r="F7" s="220"/>
      <c r="G7" s="220"/>
      <c r="H7" s="220"/>
      <c r="I7" s="220"/>
    </row>
    <row r="8" spans="1:10" ht="33.75" customHeight="1">
      <c r="A8" s="219"/>
      <c r="B8" s="570"/>
      <c r="C8" s="562"/>
      <c r="D8" s="633"/>
      <c r="E8" s="424" t="s">
        <v>44</v>
      </c>
      <c r="F8" s="425" t="s">
        <v>96</v>
      </c>
      <c r="G8" s="551" t="s">
        <v>45</v>
      </c>
      <c r="H8" s="652"/>
      <c r="I8" s="220"/>
    </row>
    <row r="9" spans="1:10" ht="24" customHeight="1" thickBot="1">
      <c r="A9" s="219"/>
      <c r="B9" s="426" t="s">
        <v>46</v>
      </c>
      <c r="C9" s="248" t="s">
        <v>47</v>
      </c>
      <c r="D9" s="248"/>
      <c r="E9" s="253"/>
      <c r="F9" s="250"/>
      <c r="G9" s="251"/>
      <c r="H9" s="252">
        <f>H16*1.3</f>
        <v>1.3</v>
      </c>
      <c r="I9" s="220"/>
    </row>
    <row r="10" spans="1:10" ht="28.5" customHeight="1" thickBot="1">
      <c r="A10" s="219"/>
      <c r="B10" s="427"/>
      <c r="C10" s="653" t="s">
        <v>161</v>
      </c>
      <c r="D10" s="654"/>
      <c r="E10" s="273"/>
      <c r="F10" s="91"/>
      <c r="G10" s="428">
        <f>F10*1/30</f>
        <v>0</v>
      </c>
      <c r="H10" s="259">
        <f>ROUNDDOWN(G10,1)</f>
        <v>0</v>
      </c>
      <c r="I10" s="220"/>
      <c r="J10" s="429"/>
    </row>
    <row r="11" spans="1:10" ht="28.5" customHeight="1" thickBot="1">
      <c r="A11" s="219"/>
      <c r="B11" s="427"/>
      <c r="C11" s="650" t="s">
        <v>162</v>
      </c>
      <c r="D11" s="651"/>
      <c r="E11" s="430"/>
      <c r="F11" s="91"/>
      <c r="G11" s="431">
        <f>F11*1/20</f>
        <v>0</v>
      </c>
      <c r="H11" s="132">
        <f>ROUNDDOWN(G11,1)</f>
        <v>0</v>
      </c>
      <c r="I11" s="220"/>
      <c r="J11" s="429"/>
    </row>
    <row r="12" spans="1:10" ht="28.5" customHeight="1" thickBot="1">
      <c r="A12" s="219"/>
      <c r="B12" s="427"/>
      <c r="C12" s="650" t="s">
        <v>163</v>
      </c>
      <c r="D12" s="651"/>
      <c r="E12" s="430"/>
      <c r="F12" s="91"/>
      <c r="G12" s="431">
        <f>F12*1/6</f>
        <v>0</v>
      </c>
      <c r="H12" s="132">
        <f>ROUNDDOWN(G12,1)</f>
        <v>0</v>
      </c>
      <c r="I12" s="220"/>
      <c r="J12" s="429"/>
    </row>
    <row r="13" spans="1:10" ht="28.5" customHeight="1" thickBot="1">
      <c r="A13" s="219"/>
      <c r="B13" s="427"/>
      <c r="C13" s="650" t="s">
        <v>164</v>
      </c>
      <c r="D13" s="657"/>
      <c r="E13" s="430"/>
      <c r="F13" s="91"/>
      <c r="G13" s="431">
        <f>F13*1/3</f>
        <v>0</v>
      </c>
      <c r="H13" s="132">
        <f>ROUNDDOWN(G13,1)</f>
        <v>0</v>
      </c>
      <c r="I13" s="220"/>
      <c r="J13" s="429"/>
    </row>
    <row r="14" spans="1:10" ht="24" customHeight="1" thickBot="1">
      <c r="A14" s="219"/>
      <c r="B14" s="427"/>
      <c r="C14" s="658" t="s">
        <v>165</v>
      </c>
      <c r="D14" s="657"/>
      <c r="E14" s="294"/>
      <c r="F14" s="91"/>
      <c r="G14" s="431">
        <f>IF(E14="あり",F14/2,0)</f>
        <v>0</v>
      </c>
      <c r="H14" s="132">
        <f>ROUNDDOWN(G14,1)</f>
        <v>0</v>
      </c>
      <c r="I14" s="220"/>
      <c r="J14" s="429"/>
    </row>
    <row r="15" spans="1:10" ht="24" customHeight="1" thickBot="1">
      <c r="A15" s="219"/>
      <c r="B15" s="432"/>
      <c r="C15" s="659" t="s">
        <v>166</v>
      </c>
      <c r="D15" s="660"/>
      <c r="E15" s="433"/>
      <c r="F15" s="434"/>
      <c r="G15" s="435"/>
      <c r="H15" s="280">
        <v>1</v>
      </c>
      <c r="I15" s="220"/>
      <c r="J15" s="429"/>
    </row>
    <row r="16" spans="1:10" ht="24" customHeight="1" thickTop="1">
      <c r="A16" s="219"/>
      <c r="B16" s="432"/>
      <c r="C16" s="661" t="s">
        <v>52</v>
      </c>
      <c r="D16" s="662"/>
      <c r="E16" s="436"/>
      <c r="F16" s="270"/>
      <c r="G16" s="145"/>
      <c r="H16" s="146">
        <f>ROUND(SUM(H10:H15),0)</f>
        <v>1</v>
      </c>
      <c r="I16" s="220"/>
      <c r="J16" s="429"/>
    </row>
    <row r="17" spans="1:9" ht="24" customHeight="1" thickBot="1">
      <c r="A17" s="219"/>
      <c r="B17" s="437" t="s">
        <v>53</v>
      </c>
      <c r="C17" s="562" t="s">
        <v>54</v>
      </c>
      <c r="D17" s="633"/>
      <c r="E17" s="399"/>
      <c r="F17" s="289"/>
      <c r="G17" s="152"/>
      <c r="H17" s="153">
        <f>IF(E17="あり",0.4,0)</f>
        <v>0</v>
      </c>
      <c r="I17" s="220"/>
    </row>
    <row r="18" spans="1:9" ht="24" customHeight="1" thickBot="1">
      <c r="A18" s="219"/>
      <c r="B18" s="437" t="s">
        <v>55</v>
      </c>
      <c r="C18" s="562" t="s">
        <v>62</v>
      </c>
      <c r="D18" s="633"/>
      <c r="E18" s="154"/>
      <c r="F18" s="164"/>
      <c r="G18" s="297" t="e">
        <f>VLOOKUP(F18,$C$31:$D$44,2,FALSE)</f>
        <v>#N/A</v>
      </c>
      <c r="H18" s="153">
        <f>IF(E18="あり",G18,0)</f>
        <v>0</v>
      </c>
      <c r="I18" s="220"/>
    </row>
    <row r="19" spans="1:9" ht="24" customHeight="1">
      <c r="A19" s="219"/>
      <c r="B19" s="437" t="s">
        <v>112</v>
      </c>
      <c r="C19" s="562" t="s">
        <v>64</v>
      </c>
      <c r="D19" s="633"/>
      <c r="E19" s="399"/>
      <c r="F19" s="302"/>
      <c r="G19" s="152"/>
      <c r="H19" s="153">
        <f>IF(E19="あり",2.7,0)</f>
        <v>0</v>
      </c>
      <c r="I19" s="220"/>
    </row>
    <row r="20" spans="1:9" ht="24" customHeight="1">
      <c r="A20" s="219"/>
      <c r="B20" s="437" t="s">
        <v>113</v>
      </c>
      <c r="C20" s="283" t="s">
        <v>68</v>
      </c>
      <c r="D20" s="438"/>
      <c r="E20" s="399"/>
      <c r="F20" s="285"/>
      <c r="G20" s="152"/>
      <c r="H20" s="153">
        <f>IF(E20="あり",0.6,0)</f>
        <v>0</v>
      </c>
      <c r="I20" s="220"/>
    </row>
    <row r="21" spans="1:9" ht="27.75" customHeight="1">
      <c r="A21" s="219"/>
      <c r="B21" s="282" t="s">
        <v>115</v>
      </c>
      <c r="C21" s="655" t="s">
        <v>167</v>
      </c>
      <c r="D21" s="656"/>
      <c r="E21" s="399"/>
      <c r="F21" s="285"/>
      <c r="G21" s="152"/>
      <c r="H21" s="178">
        <f>IF(E21="あり",-1.2,0)</f>
        <v>0</v>
      </c>
      <c r="I21" s="220"/>
    </row>
    <row r="22" spans="1:9" ht="27.75" customHeight="1">
      <c r="A22" s="219"/>
      <c r="B22" s="247" t="s">
        <v>63</v>
      </c>
      <c r="C22" s="655" t="s">
        <v>168</v>
      </c>
      <c r="D22" s="656"/>
      <c r="E22" s="399"/>
      <c r="F22" s="289"/>
      <c r="G22" s="295"/>
      <c r="H22" s="178">
        <f>IF(E22="あり",-0.4,0)</f>
        <v>0</v>
      </c>
      <c r="I22" s="220"/>
    </row>
    <row r="23" spans="1:9" ht="27.75" customHeight="1" thickBot="1">
      <c r="A23" s="219"/>
      <c r="B23" s="439" t="s">
        <v>169</v>
      </c>
      <c r="C23" s="440"/>
      <c r="D23" s="440"/>
      <c r="E23" s="441"/>
      <c r="F23" s="442"/>
      <c r="G23" s="443"/>
      <c r="H23" s="444">
        <v>3.1</v>
      </c>
      <c r="I23" s="220"/>
    </row>
    <row r="24" spans="1:9" ht="24" customHeight="1" thickTop="1" thickBot="1">
      <c r="A24" s="219"/>
      <c r="B24" s="325" t="s">
        <v>17</v>
      </c>
      <c r="C24" s="218"/>
      <c r="D24" s="218"/>
      <c r="E24" s="218"/>
      <c r="F24" s="327"/>
      <c r="G24" s="192"/>
      <c r="H24" s="193">
        <f>SUM(H17:H23,H9)</f>
        <v>4.4000000000000004</v>
      </c>
      <c r="I24" s="220"/>
    </row>
    <row r="25" spans="1:9" ht="24" customHeight="1" thickBot="1">
      <c r="A25" s="219"/>
      <c r="B25" s="445" t="s">
        <v>74</v>
      </c>
      <c r="C25" s="446"/>
      <c r="D25" s="446"/>
      <c r="E25" s="446"/>
      <c r="F25" s="447"/>
      <c r="G25" s="200"/>
      <c r="H25" s="201">
        <f>ROUND(H24,0)</f>
        <v>4</v>
      </c>
      <c r="I25" s="220"/>
    </row>
    <row r="26" spans="1:9" ht="25.5" customHeight="1">
      <c r="A26" s="219"/>
      <c r="B26" s="218"/>
      <c r="C26" s="218"/>
      <c r="D26" s="218"/>
      <c r="E26" s="218"/>
      <c r="F26" s="218"/>
      <c r="G26" s="220"/>
      <c r="H26" s="332"/>
      <c r="I26" s="219"/>
    </row>
    <row r="27" spans="1:9" ht="25.5" customHeight="1" thickBot="1">
      <c r="A27" s="221" t="s">
        <v>139</v>
      </c>
      <c r="B27" s="218"/>
      <c r="C27" s="218"/>
      <c r="D27" s="218"/>
      <c r="E27" s="218"/>
      <c r="F27" s="218"/>
      <c r="G27" s="220"/>
      <c r="H27" s="220"/>
      <c r="I27" s="219"/>
    </row>
    <row r="28" spans="1:9" ht="25.5" customHeight="1" thickBot="1">
      <c r="A28" s="219"/>
      <c r="B28" s="420"/>
      <c r="C28" s="334">
        <v>11030</v>
      </c>
      <c r="D28" s="422" t="s">
        <v>76</v>
      </c>
      <c r="E28" s="422"/>
      <c r="F28" s="422"/>
      <c r="G28" s="448"/>
      <c r="H28" s="212">
        <f>C28*H25</f>
        <v>44120</v>
      </c>
      <c r="I28" s="219"/>
    </row>
    <row r="29" spans="1:9" ht="33.75" customHeight="1">
      <c r="A29" s="219"/>
      <c r="B29" s="218"/>
      <c r="C29" s="218"/>
      <c r="D29" s="218"/>
      <c r="E29" s="218"/>
      <c r="F29" s="220"/>
      <c r="G29" s="220"/>
      <c r="H29" s="220"/>
      <c r="I29" s="220"/>
    </row>
    <row r="30" spans="1:9" hidden="1">
      <c r="C30" s="80" t="s">
        <v>77</v>
      </c>
    </row>
    <row r="31" spans="1:9" hidden="1">
      <c r="C31" s="80" t="s">
        <v>78</v>
      </c>
      <c r="D31" s="80">
        <v>0.5</v>
      </c>
    </row>
    <row r="32" spans="1:9" hidden="1">
      <c r="C32" s="80" t="s">
        <v>79</v>
      </c>
      <c r="D32" s="80">
        <v>0.5</v>
      </c>
    </row>
    <row r="33" spans="3:4" hidden="1">
      <c r="C33" s="80" t="s">
        <v>80</v>
      </c>
      <c r="D33" s="80">
        <v>0.6</v>
      </c>
    </row>
    <row r="34" spans="3:4" hidden="1">
      <c r="C34" s="80" t="s">
        <v>81</v>
      </c>
      <c r="D34" s="80">
        <v>0.7</v>
      </c>
    </row>
    <row r="35" spans="3:4" hidden="1">
      <c r="C35" s="80" t="s">
        <v>82</v>
      </c>
      <c r="D35" s="80">
        <v>0.8</v>
      </c>
    </row>
    <row r="36" spans="3:4" hidden="1">
      <c r="C36" s="80" t="s">
        <v>83</v>
      </c>
      <c r="D36" s="80">
        <v>0.8</v>
      </c>
    </row>
    <row r="37" spans="3:4" hidden="1">
      <c r="C37" s="80" t="s">
        <v>84</v>
      </c>
      <c r="D37" s="80">
        <v>0.9</v>
      </c>
    </row>
    <row r="38" spans="3:4" hidden="1">
      <c r="C38" s="80" t="s">
        <v>85</v>
      </c>
      <c r="D38" s="80">
        <v>1</v>
      </c>
    </row>
    <row r="39" spans="3:4" hidden="1">
      <c r="C39" s="80" t="s">
        <v>86</v>
      </c>
      <c r="D39" s="80">
        <v>1.1000000000000001</v>
      </c>
    </row>
    <row r="40" spans="3:4" hidden="1">
      <c r="C40" s="80" t="s">
        <v>87</v>
      </c>
      <c r="D40" s="80">
        <v>1.1000000000000001</v>
      </c>
    </row>
    <row r="41" spans="3:4" hidden="1">
      <c r="C41" s="80" t="s">
        <v>88</v>
      </c>
      <c r="D41" s="80">
        <v>1.2</v>
      </c>
    </row>
    <row r="42" spans="3:4" hidden="1">
      <c r="C42" s="80" t="s">
        <v>89</v>
      </c>
      <c r="D42" s="80">
        <v>1.3</v>
      </c>
    </row>
    <row r="43" spans="3:4" hidden="1">
      <c r="C43" s="80" t="s">
        <v>90</v>
      </c>
      <c r="D43" s="80">
        <v>1.4</v>
      </c>
    </row>
    <row r="44" spans="3:4" hidden="1">
      <c r="C44" s="80" t="s">
        <v>91</v>
      </c>
      <c r="D44" s="80">
        <v>1.5</v>
      </c>
    </row>
    <row r="45" spans="3:4" ht="18" customHeight="1"/>
    <row r="46" spans="3:4" ht="20.25" customHeight="1"/>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sheetData>
  <sheetProtection algorithmName="SHA-512" hashValue="XgPcVTHpBReKax37DqvV1ALtaEZpFw+zvvMd8eqTBDvmr5DKvzvjpS41K0dtqAaE+Ruf3z+DdlRASHPw2UGwVw==" saltValue="ryQFaZFuGswln0P2aINPEw==" spinCount="100000" sheet="1" objects="1" scenarios="1"/>
  <mergeCells count="16">
    <mergeCell ref="C18:D18"/>
    <mergeCell ref="C19:D19"/>
    <mergeCell ref="C21:D21"/>
    <mergeCell ref="C22:D22"/>
    <mergeCell ref="C12:D12"/>
    <mergeCell ref="C13:D13"/>
    <mergeCell ref="C14:D14"/>
    <mergeCell ref="C15:D15"/>
    <mergeCell ref="C16:D16"/>
    <mergeCell ref="C17:D17"/>
    <mergeCell ref="C11:D11"/>
    <mergeCell ref="B5:C5"/>
    <mergeCell ref="D5:H5"/>
    <mergeCell ref="B8:D8"/>
    <mergeCell ref="G8:H8"/>
    <mergeCell ref="C10:D10"/>
  </mergeCells>
  <phoneticPr fontId="3"/>
  <dataValidations count="2">
    <dataValidation type="list" allowBlank="1" showInputMessage="1" showErrorMessage="1" sqref="E14 E17:E22" xr:uid="{72E737B0-B131-4753-9BD4-9122335DC90D}">
      <formula1>"　,あり,なし"</formula1>
    </dataValidation>
    <dataValidation type="list" allowBlank="1" showInputMessage="1" showErrorMessage="1" sqref="F18" xr:uid="{D3B176B1-AB67-4997-8FD8-AFBA898EC916}">
      <formula1>$C$31:$C$44</formula1>
    </dataValidation>
  </dataValidations>
  <pageMargins left="0.92" right="0.56000000000000005" top="0.75" bottom="0.75" header="0.3" footer="0.3"/>
  <pageSetup paperSize="9" scale="95"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944C-6578-4222-8DDE-1135B7F41BE0}">
  <sheetPr>
    <tabColor rgb="FF7030A0"/>
  </sheetPr>
  <dimension ref="A1:Q90"/>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0</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x6NmwDDCE6vRBO8kggNrospSgMnBKbi8IJy3ybDhYJJTtTfJsdn4l2sAwJuSoeYoBEe0PbDp+LxqI5AsKTBMBA==" saltValue="h2t55w7q8mQfgiPu0goFvQ=="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CDDE-3FD7-4E9B-913B-F4EDF086D2DF}">
  <sheetPr>
    <tabColor rgb="FF7030A0"/>
  </sheetPr>
  <dimension ref="A1:J101"/>
  <sheetViews>
    <sheetView view="pageBreakPreview" zoomScale="80" zoomScaleNormal="70" zoomScaleSheetLayoutView="80" workbookViewId="0">
      <selection activeCell="C1" sqref="C1"/>
    </sheetView>
  </sheetViews>
  <sheetFormatPr defaultColWidth="9" defaultRowHeight="18.75"/>
  <cols>
    <col min="1" max="1" width="2.875" style="83" customWidth="1"/>
    <col min="2" max="2" width="3" style="80" customWidth="1"/>
    <col min="3" max="3" width="17.75" style="80" customWidth="1"/>
    <col min="4" max="4" width="22.625" style="80" customWidth="1"/>
    <col min="5" max="5" width="8" style="80" customWidth="1"/>
    <col min="6" max="6" width="10.25" style="82" customWidth="1"/>
    <col min="7" max="7" width="22.375" style="82" hidden="1" customWidth="1"/>
    <col min="8" max="8" width="14.375" style="82" customWidth="1"/>
    <col min="9" max="9" width="9" style="82"/>
    <col min="10" max="16384" width="9" style="83"/>
  </cols>
  <sheetData>
    <row r="1" spans="1:10" s="78" customFormat="1" ht="31.5" customHeight="1">
      <c r="A1" s="213" t="s">
        <v>158</v>
      </c>
      <c r="B1" s="214"/>
      <c r="C1" s="214"/>
      <c r="D1" s="214"/>
      <c r="E1" s="214"/>
      <c r="F1" s="215"/>
      <c r="G1" s="215"/>
      <c r="H1" s="215"/>
      <c r="I1" s="215"/>
    </row>
    <row r="2" spans="1:10" ht="30.75" customHeight="1">
      <c r="A2" s="213" t="s">
        <v>170</v>
      </c>
      <c r="B2" s="218"/>
      <c r="C2" s="218"/>
      <c r="D2" s="218"/>
      <c r="E2" s="218"/>
      <c r="F2" s="220"/>
      <c r="G2" s="220"/>
      <c r="H2" s="220"/>
      <c r="I2" s="220"/>
    </row>
    <row r="3" spans="1:10" ht="21.75" customHeight="1" thickBot="1">
      <c r="A3" s="213"/>
      <c r="B3" s="218"/>
      <c r="C3" s="218"/>
      <c r="D3" s="218"/>
      <c r="E3" s="218"/>
      <c r="F3" s="220"/>
      <c r="G3" s="220"/>
      <c r="H3" s="220"/>
      <c r="I3" s="220"/>
    </row>
    <row r="4" spans="1:10" ht="19.5" customHeight="1" thickBot="1">
      <c r="A4" s="218"/>
      <c r="B4" s="563" t="s">
        <v>1</v>
      </c>
      <c r="C4" s="563"/>
      <c r="D4" s="565"/>
      <c r="E4" s="566"/>
      <c r="F4" s="566"/>
      <c r="G4" s="566"/>
      <c r="H4" s="567"/>
      <c r="I4" s="220"/>
    </row>
    <row r="5" spans="1:10" ht="19.5" customHeight="1">
      <c r="A5" s="218"/>
      <c r="B5" s="218"/>
      <c r="C5" s="96"/>
      <c r="D5" s="96"/>
      <c r="E5" s="96"/>
      <c r="F5" s="96"/>
      <c r="G5" s="96"/>
      <c r="H5" s="96"/>
      <c r="I5" s="220"/>
    </row>
    <row r="6" spans="1:10" ht="19.5" customHeight="1" thickBot="1">
      <c r="A6" s="221" t="s">
        <v>31</v>
      </c>
      <c r="B6" s="218"/>
      <c r="C6" s="218"/>
      <c r="D6" s="218"/>
      <c r="E6" s="96"/>
      <c r="F6" s="96"/>
      <c r="G6" s="96"/>
      <c r="H6" s="96"/>
      <c r="I6" s="220"/>
    </row>
    <row r="7" spans="1:10" ht="35.25" customHeight="1" thickBot="1">
      <c r="A7" s="221"/>
      <c r="B7" s="568"/>
      <c r="C7" s="569"/>
      <c r="D7" s="569"/>
      <c r="E7" s="569"/>
      <c r="F7" s="90" t="s">
        <v>96</v>
      </c>
      <c r="G7" s="96"/>
      <c r="H7" s="96"/>
      <c r="I7" s="96"/>
      <c r="J7" s="82"/>
    </row>
    <row r="8" spans="1:10" ht="19.5" customHeight="1" thickBot="1">
      <c r="A8" s="221"/>
      <c r="B8" s="570" t="s">
        <v>36</v>
      </c>
      <c r="C8" s="562"/>
      <c r="D8" s="562"/>
      <c r="E8" s="562"/>
      <c r="F8" s="91"/>
      <c r="G8" s="96"/>
      <c r="H8" s="96"/>
      <c r="I8" s="96"/>
      <c r="J8" s="82"/>
    </row>
    <row r="9" spans="1:10" ht="19.5" customHeight="1">
      <c r="A9" s="221"/>
      <c r="B9" s="229"/>
      <c r="C9" s="229"/>
      <c r="D9" s="229"/>
      <c r="E9" s="229"/>
      <c r="F9" s="449"/>
      <c r="G9" s="96"/>
      <c r="H9" s="96"/>
      <c r="I9" s="96"/>
      <c r="J9" s="82"/>
    </row>
    <row r="10" spans="1:10" ht="19.5" customHeight="1" thickBot="1">
      <c r="A10" s="221" t="s">
        <v>42</v>
      </c>
      <c r="B10" s="218"/>
      <c r="C10" s="218"/>
      <c r="D10" s="218"/>
      <c r="E10" s="218"/>
      <c r="F10" s="220"/>
      <c r="G10" s="220"/>
      <c r="H10" s="220"/>
      <c r="I10" s="220"/>
    </row>
    <row r="11" spans="1:10" ht="33.75" customHeight="1">
      <c r="A11" s="219"/>
      <c r="B11" s="242"/>
      <c r="C11" s="562"/>
      <c r="D11" s="633"/>
      <c r="E11" s="424" t="s">
        <v>44</v>
      </c>
      <c r="F11" s="425" t="s">
        <v>96</v>
      </c>
      <c r="G11" s="551" t="s">
        <v>45</v>
      </c>
      <c r="H11" s="652"/>
      <c r="I11" s="220"/>
    </row>
    <row r="12" spans="1:10" ht="24" customHeight="1" thickBot="1">
      <c r="A12" s="219"/>
      <c r="B12" s="247" t="s">
        <v>46</v>
      </c>
      <c r="C12" s="573" t="s">
        <v>47</v>
      </c>
      <c r="D12" s="663"/>
      <c r="E12" s="253"/>
      <c r="F12" s="250"/>
      <c r="G12" s="251"/>
      <c r="H12" s="252">
        <f>H18*1.3</f>
        <v>0</v>
      </c>
      <c r="I12" s="220"/>
    </row>
    <row r="13" spans="1:10" ht="33.75" customHeight="1" thickBot="1">
      <c r="A13" s="219"/>
      <c r="B13" s="450"/>
      <c r="C13" s="653" t="s">
        <v>161</v>
      </c>
      <c r="D13" s="654"/>
      <c r="E13" s="273"/>
      <c r="F13" s="91"/>
      <c r="G13" s="428">
        <f>F13*1/30</f>
        <v>0</v>
      </c>
      <c r="H13" s="259">
        <f>ROUNDDOWN(G13,1)</f>
        <v>0</v>
      </c>
      <c r="I13" s="220"/>
    </row>
    <row r="14" spans="1:10" ht="33.75" customHeight="1" thickBot="1">
      <c r="A14" s="219"/>
      <c r="B14" s="450"/>
      <c r="C14" s="650" t="s">
        <v>162</v>
      </c>
      <c r="D14" s="651"/>
      <c r="E14" s="430"/>
      <c r="F14" s="91"/>
      <c r="G14" s="431">
        <f>F14*1/20</f>
        <v>0</v>
      </c>
      <c r="H14" s="132">
        <f>ROUNDDOWN(G14,1)</f>
        <v>0</v>
      </c>
      <c r="I14" s="220"/>
    </row>
    <row r="15" spans="1:10" ht="33" customHeight="1" thickBot="1">
      <c r="A15" s="219"/>
      <c r="B15" s="395"/>
      <c r="C15" s="650" t="s">
        <v>171</v>
      </c>
      <c r="D15" s="651"/>
      <c r="E15" s="430"/>
      <c r="F15" s="91"/>
      <c r="G15" s="431">
        <f>F15*1/6</f>
        <v>0</v>
      </c>
      <c r="H15" s="132">
        <f>ROUNDDOWN(G15,1)</f>
        <v>0</v>
      </c>
      <c r="I15" s="220"/>
      <c r="J15" s="429"/>
    </row>
    <row r="16" spans="1:10" ht="30.75" customHeight="1" thickBot="1">
      <c r="A16" s="219"/>
      <c r="B16" s="395"/>
      <c r="C16" s="650" t="s">
        <v>164</v>
      </c>
      <c r="D16" s="657"/>
      <c r="E16" s="430"/>
      <c r="F16" s="91"/>
      <c r="G16" s="431">
        <f>F16*1/3</f>
        <v>0</v>
      </c>
      <c r="H16" s="132">
        <f>ROUNDDOWN(G16,1)</f>
        <v>0</v>
      </c>
      <c r="I16" s="220"/>
      <c r="J16" s="429"/>
    </row>
    <row r="17" spans="1:10" ht="30.75" customHeight="1" thickBot="1">
      <c r="A17" s="219"/>
      <c r="B17" s="395"/>
      <c r="C17" s="659" t="s">
        <v>165</v>
      </c>
      <c r="D17" s="660"/>
      <c r="E17" s="451"/>
      <c r="F17" s="452"/>
      <c r="G17" s="453">
        <f>IF(E17="あり",F17/2,0)</f>
        <v>0</v>
      </c>
      <c r="H17" s="140">
        <f>ROUNDDOWN(G17,1)</f>
        <v>0</v>
      </c>
      <c r="I17" s="220"/>
      <c r="J17" s="429"/>
    </row>
    <row r="18" spans="1:10" ht="24" customHeight="1" thickTop="1">
      <c r="A18" s="219"/>
      <c r="B18" s="450"/>
      <c r="C18" s="642" t="s">
        <v>52</v>
      </c>
      <c r="D18" s="643"/>
      <c r="E18" s="436"/>
      <c r="F18" s="270"/>
      <c r="G18" s="145"/>
      <c r="H18" s="146">
        <f>ROUND(SUM(H13:H17),0)</f>
        <v>0</v>
      </c>
      <c r="I18" s="220"/>
      <c r="J18" s="429"/>
    </row>
    <row r="19" spans="1:10" ht="24" customHeight="1" thickBot="1">
      <c r="A19" s="219"/>
      <c r="B19" s="282" t="s">
        <v>53</v>
      </c>
      <c r="C19" s="562" t="s">
        <v>54</v>
      </c>
      <c r="D19" s="633"/>
      <c r="E19" s="399"/>
      <c r="F19" s="285"/>
      <c r="G19" s="152"/>
      <c r="H19" s="153">
        <f>IF(E19="あり",1.7,0)</f>
        <v>0</v>
      </c>
      <c r="I19" s="220"/>
    </row>
    <row r="20" spans="1:10" ht="29.25" customHeight="1" thickBot="1">
      <c r="A20" s="219"/>
      <c r="B20" s="282" t="s">
        <v>55</v>
      </c>
      <c r="C20" s="562" t="s">
        <v>62</v>
      </c>
      <c r="D20" s="633"/>
      <c r="E20" s="399"/>
      <c r="F20" s="164"/>
      <c r="G20" s="297" t="e">
        <f>VLOOKUP(F20,$C$33:$D$46,2,FALSE)</f>
        <v>#N/A</v>
      </c>
      <c r="H20" s="153">
        <f>IF(E20="あり",G20,0)</f>
        <v>0</v>
      </c>
      <c r="I20" s="220"/>
    </row>
    <row r="21" spans="1:10" ht="29.25" customHeight="1">
      <c r="A21" s="219"/>
      <c r="B21" s="282" t="s">
        <v>112</v>
      </c>
      <c r="C21" s="283" t="s">
        <v>121</v>
      </c>
      <c r="D21" s="438"/>
      <c r="E21" s="399"/>
      <c r="F21" s="454"/>
      <c r="G21" s="297"/>
      <c r="H21" s="153">
        <f>IF(E21="あり",2.7,0)</f>
        <v>0</v>
      </c>
      <c r="I21" s="220"/>
    </row>
    <row r="22" spans="1:10" ht="24" customHeight="1">
      <c r="A22" s="219"/>
      <c r="B22" s="282" t="s">
        <v>113</v>
      </c>
      <c r="C22" s="283" t="s">
        <v>68</v>
      </c>
      <c r="D22" s="438"/>
      <c r="E22" s="399"/>
      <c r="F22" s="285"/>
      <c r="G22" s="152"/>
      <c r="H22" s="153">
        <f>IF(E22="あり",0.6,0)</f>
        <v>0</v>
      </c>
      <c r="I22" s="220"/>
    </row>
    <row r="23" spans="1:10" ht="27.75" customHeight="1">
      <c r="A23" s="219"/>
      <c r="B23" s="282" t="s">
        <v>115</v>
      </c>
      <c r="C23" s="655" t="s">
        <v>167</v>
      </c>
      <c r="D23" s="656"/>
      <c r="E23" s="399"/>
      <c r="F23" s="285"/>
      <c r="G23" s="152"/>
      <c r="H23" s="178">
        <f>IF(E23="あり",IF(F8&lt;=40,-1.3,-2.6),0)</f>
        <v>0</v>
      </c>
      <c r="I23" s="220"/>
    </row>
    <row r="24" spans="1:10" ht="27.75" customHeight="1">
      <c r="A24" s="219"/>
      <c r="B24" s="247" t="s">
        <v>63</v>
      </c>
      <c r="C24" s="655" t="s">
        <v>168</v>
      </c>
      <c r="D24" s="656"/>
      <c r="E24" s="402"/>
      <c r="F24" s="289"/>
      <c r="G24" s="295"/>
      <c r="H24" s="173">
        <f>IF(E24="あり",-1,0)</f>
        <v>0</v>
      </c>
      <c r="I24" s="220"/>
    </row>
    <row r="25" spans="1:10" ht="27.75" customHeight="1" thickBot="1">
      <c r="A25" s="219"/>
      <c r="B25" s="439" t="s">
        <v>172</v>
      </c>
      <c r="C25" s="440"/>
      <c r="D25" s="440"/>
      <c r="E25" s="441"/>
      <c r="F25" s="442"/>
      <c r="G25" s="443"/>
      <c r="H25" s="444">
        <f>IF(F8&lt;=30,4.5,IF(F8&lt;=40,4.2,5.4))</f>
        <v>4.5</v>
      </c>
      <c r="I25" s="220"/>
    </row>
    <row r="26" spans="1:10" ht="24" customHeight="1" thickTop="1" thickBot="1">
      <c r="A26" s="219"/>
      <c r="B26" s="325" t="s">
        <v>17</v>
      </c>
      <c r="C26" s="218"/>
      <c r="D26" s="218"/>
      <c r="E26" s="218"/>
      <c r="F26" s="327"/>
      <c r="G26" s="192"/>
      <c r="H26" s="193">
        <f>SUM(H19:H25,H12)</f>
        <v>4.5</v>
      </c>
      <c r="I26" s="220"/>
    </row>
    <row r="27" spans="1:10" ht="24" customHeight="1" thickBot="1">
      <c r="A27" s="219"/>
      <c r="B27" s="328" t="s">
        <v>74</v>
      </c>
      <c r="C27" s="329"/>
      <c r="D27" s="329"/>
      <c r="E27" s="329"/>
      <c r="F27" s="331"/>
      <c r="G27" s="200"/>
      <c r="H27" s="201">
        <f>ROUND(H26,0)</f>
        <v>5</v>
      </c>
      <c r="I27" s="220"/>
    </row>
    <row r="28" spans="1:10" ht="25.5" customHeight="1">
      <c r="A28" s="219"/>
      <c r="B28" s="218"/>
      <c r="C28" s="218"/>
      <c r="D28" s="218"/>
      <c r="E28" s="218"/>
      <c r="F28" s="218"/>
      <c r="G28" s="220"/>
      <c r="H28" s="332"/>
      <c r="I28" s="219"/>
    </row>
    <row r="29" spans="1:10" ht="25.5" customHeight="1" thickBot="1">
      <c r="A29" s="221" t="s">
        <v>139</v>
      </c>
      <c r="B29" s="218"/>
      <c r="C29" s="218"/>
      <c r="D29" s="218"/>
      <c r="E29" s="218"/>
      <c r="F29" s="218"/>
      <c r="G29" s="220"/>
      <c r="H29" s="220"/>
      <c r="I29" s="219"/>
    </row>
    <row r="30" spans="1:10" ht="25.5" customHeight="1" thickBot="1">
      <c r="A30" s="219"/>
      <c r="B30" s="420"/>
      <c r="C30" s="334">
        <v>11030</v>
      </c>
      <c r="D30" s="422" t="s">
        <v>76</v>
      </c>
      <c r="E30" s="422"/>
      <c r="F30" s="422"/>
      <c r="G30" s="448"/>
      <c r="H30" s="212">
        <f>C30*H27</f>
        <v>55150</v>
      </c>
      <c r="I30" s="219"/>
    </row>
    <row r="31" spans="1:10" ht="33.75" customHeight="1"/>
    <row r="32" spans="1:10" hidden="1">
      <c r="C32" s="80" t="s">
        <v>77</v>
      </c>
    </row>
    <row r="33" spans="3:4" hidden="1">
      <c r="C33" s="80" t="s">
        <v>78</v>
      </c>
      <c r="D33" s="80">
        <v>0.5</v>
      </c>
    </row>
    <row r="34" spans="3:4" hidden="1">
      <c r="C34" s="80" t="s">
        <v>79</v>
      </c>
      <c r="D34" s="80">
        <v>0.5</v>
      </c>
    </row>
    <row r="35" spans="3:4" hidden="1">
      <c r="C35" s="80" t="s">
        <v>80</v>
      </c>
      <c r="D35" s="80">
        <v>0.6</v>
      </c>
    </row>
    <row r="36" spans="3:4" hidden="1">
      <c r="C36" s="80" t="s">
        <v>81</v>
      </c>
      <c r="D36" s="80">
        <v>0.7</v>
      </c>
    </row>
    <row r="37" spans="3:4" hidden="1">
      <c r="C37" s="80" t="s">
        <v>82</v>
      </c>
      <c r="D37" s="80">
        <v>0.8</v>
      </c>
    </row>
    <row r="38" spans="3:4" hidden="1">
      <c r="C38" s="80" t="s">
        <v>83</v>
      </c>
      <c r="D38" s="80">
        <v>0.8</v>
      </c>
    </row>
    <row r="39" spans="3:4" hidden="1">
      <c r="C39" s="80" t="s">
        <v>84</v>
      </c>
      <c r="D39" s="80">
        <v>0.9</v>
      </c>
    </row>
    <row r="40" spans="3:4" hidden="1">
      <c r="C40" s="80" t="s">
        <v>85</v>
      </c>
      <c r="D40" s="80">
        <v>1</v>
      </c>
    </row>
    <row r="41" spans="3:4" hidden="1">
      <c r="C41" s="80" t="s">
        <v>86</v>
      </c>
      <c r="D41" s="80">
        <v>1.1000000000000001</v>
      </c>
    </row>
    <row r="42" spans="3:4" hidden="1">
      <c r="C42" s="80" t="s">
        <v>87</v>
      </c>
      <c r="D42" s="80">
        <v>1.1000000000000001</v>
      </c>
    </row>
    <row r="43" spans="3:4" hidden="1">
      <c r="C43" s="80" t="s">
        <v>88</v>
      </c>
      <c r="D43" s="80">
        <v>1.2</v>
      </c>
    </row>
    <row r="44" spans="3:4" hidden="1">
      <c r="C44" s="80" t="s">
        <v>89</v>
      </c>
      <c r="D44" s="80">
        <v>1.3</v>
      </c>
    </row>
    <row r="45" spans="3:4" hidden="1">
      <c r="C45" s="80" t="s">
        <v>90</v>
      </c>
      <c r="D45" s="80">
        <v>1.4</v>
      </c>
    </row>
    <row r="46" spans="3:4" hidden="1">
      <c r="C46" s="80" t="s">
        <v>91</v>
      </c>
      <c r="D46" s="80">
        <v>1.5</v>
      </c>
    </row>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sheetProtection algorithmName="SHA-512" hashValue="Mjfs9Nj6CvT+sl3HjHsVvAYWC/spyKARRjuT3Wvry2GoCQhVHGXHJfZ48p7wDeyipQGd4tJzEGTNCQWTPpDYMg==" saltValue="Lg4uT6yaY2aYljEd4Fcvgg==" spinCount="100000" sheet="1" objects="1" scenarios="1"/>
  <mergeCells count="17">
    <mergeCell ref="C18:D18"/>
    <mergeCell ref="C19:D19"/>
    <mergeCell ref="C20:D20"/>
    <mergeCell ref="C23:D23"/>
    <mergeCell ref="C24:D24"/>
    <mergeCell ref="C17:D17"/>
    <mergeCell ref="B4:C4"/>
    <mergeCell ref="D4:H4"/>
    <mergeCell ref="B7:E7"/>
    <mergeCell ref="B8:E8"/>
    <mergeCell ref="C11:D11"/>
    <mergeCell ref="G11:H11"/>
    <mergeCell ref="C12:D12"/>
    <mergeCell ref="C13:D13"/>
    <mergeCell ref="C14:D14"/>
    <mergeCell ref="C15:D15"/>
    <mergeCell ref="C16:D16"/>
  </mergeCells>
  <phoneticPr fontId="3"/>
  <dataValidations count="2">
    <dataValidation type="list" allowBlank="1" showInputMessage="1" showErrorMessage="1" sqref="E17 E19:E24" xr:uid="{01A7D817-1C2A-4ECC-B47D-D538D3225E34}">
      <formula1>"　,あり,なし"</formula1>
    </dataValidation>
    <dataValidation type="list" allowBlank="1" showInputMessage="1" showErrorMessage="1" sqref="F20" xr:uid="{5110E92C-00B7-4F60-901C-E143335F2378}">
      <formula1>$C$33:$C$46</formula1>
    </dataValidation>
  </dataValidations>
  <pageMargins left="0.92" right="0.56000000000000005" top="0.56999999999999995" bottom="0.33" header="0.3" footer="0.3"/>
  <pageSetup paperSize="9" scale="94"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B073-8F35-4A1F-B66B-414F5C919EF0}">
  <sheetPr>
    <tabColor theme="5"/>
  </sheetPr>
  <dimension ref="A1:Q90"/>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0</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486" t="str">
        <f>B26</f>
        <v>６年度</v>
      </c>
      <c r="C40" s="487"/>
      <c r="D40" s="488"/>
      <c r="E40" s="58">
        <v>4</v>
      </c>
      <c r="F40" s="6">
        <v>5</v>
      </c>
      <c r="G40" s="7">
        <v>6</v>
      </c>
      <c r="H40" s="33">
        <v>7</v>
      </c>
      <c r="I40" s="7">
        <v>8</v>
      </c>
      <c r="J40" s="7">
        <v>9</v>
      </c>
      <c r="K40" s="33">
        <v>10</v>
      </c>
      <c r="L40" s="7">
        <v>11</v>
      </c>
      <c r="M40" s="7">
        <v>12</v>
      </c>
      <c r="N40" s="7">
        <v>1</v>
      </c>
      <c r="O40" s="7">
        <v>2</v>
      </c>
      <c r="P40" s="8">
        <v>3</v>
      </c>
      <c r="Q40" s="515" t="s">
        <v>7</v>
      </c>
    </row>
    <row r="41" spans="1:17" ht="17.25" customHeight="1">
      <c r="B41" s="489"/>
      <c r="C41" s="490"/>
      <c r="D41" s="491"/>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hurRhUMubyRkJy3VIvLgv2ipL11Qe2dTFSBFoX87CejqfHiv7Uw51OgwaBXShZKDaJXCGBqd0PWCFX3lt5fPxA==" saltValue="VNV1VCsXhbBHYhN1fDODD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63DBE-32A8-4E2B-841C-F3C1B6B652F5}">
  <sheetPr>
    <tabColor theme="5"/>
  </sheetPr>
  <dimension ref="A1:I88"/>
  <sheetViews>
    <sheetView view="pageBreakPreview" zoomScale="80" zoomScaleNormal="70" zoomScaleSheetLayoutView="80" workbookViewId="0">
      <selection activeCell="I18" sqref="I18"/>
    </sheetView>
  </sheetViews>
  <sheetFormatPr defaultColWidth="9" defaultRowHeight="18.75"/>
  <cols>
    <col min="1" max="1" width="2.875" style="83" customWidth="1"/>
    <col min="2" max="2" width="3" style="80" customWidth="1"/>
    <col min="3" max="3" width="16.375" style="80" customWidth="1"/>
    <col min="4" max="4" width="25.5" style="80" customWidth="1"/>
    <col min="5" max="5" width="8" style="80" customWidth="1"/>
    <col min="6" max="6" width="9.125" style="82" customWidth="1"/>
    <col min="7" max="7" width="14.5" style="82" hidden="1" customWidth="1"/>
    <col min="8" max="8" width="13.875" style="82" customWidth="1"/>
    <col min="9" max="9" width="9" style="82"/>
    <col min="10" max="16384" width="9" style="83"/>
  </cols>
  <sheetData>
    <row r="1" spans="1:9" s="78" customFormat="1" ht="31.5" customHeight="1">
      <c r="A1" s="213" t="s">
        <v>158</v>
      </c>
      <c r="B1" s="214"/>
      <c r="C1" s="214"/>
      <c r="D1" s="214"/>
      <c r="E1" s="214"/>
      <c r="F1" s="215"/>
      <c r="G1" s="215"/>
      <c r="H1" s="215"/>
      <c r="I1" s="77"/>
    </row>
    <row r="2" spans="1:9" ht="30.75" customHeight="1">
      <c r="A2" s="213" t="s">
        <v>173</v>
      </c>
      <c r="B2" s="218"/>
      <c r="C2" s="218"/>
      <c r="D2" s="218"/>
      <c r="E2" s="218"/>
      <c r="F2" s="220"/>
      <c r="G2" s="220"/>
      <c r="H2" s="220"/>
    </row>
    <row r="3" spans="1:9" ht="21.75" customHeight="1" thickBot="1">
      <c r="A3" s="213"/>
      <c r="B3" s="218"/>
      <c r="C3" s="218"/>
      <c r="D3" s="218"/>
      <c r="E3" s="218"/>
      <c r="F3" s="220"/>
      <c r="G3" s="220"/>
      <c r="H3" s="220"/>
    </row>
    <row r="4" spans="1:9" ht="19.5" customHeight="1" thickBot="1">
      <c r="A4" s="218"/>
      <c r="B4" s="563" t="s">
        <v>1</v>
      </c>
      <c r="C4" s="563"/>
      <c r="D4" s="565"/>
      <c r="E4" s="566"/>
      <c r="F4" s="566"/>
      <c r="G4" s="566"/>
      <c r="H4" s="567"/>
    </row>
    <row r="5" spans="1:9" ht="19.5" customHeight="1">
      <c r="A5" s="218"/>
      <c r="B5" s="218"/>
      <c r="C5" s="96"/>
      <c r="D5" s="96"/>
      <c r="E5" s="96"/>
      <c r="F5" s="96"/>
      <c r="G5" s="96"/>
      <c r="H5" s="96"/>
    </row>
    <row r="6" spans="1:9" ht="19.5" customHeight="1" thickBot="1">
      <c r="A6" s="221" t="s">
        <v>42</v>
      </c>
      <c r="B6" s="218"/>
      <c r="C6" s="218"/>
      <c r="D6" s="218"/>
      <c r="E6" s="218"/>
      <c r="F6" s="220"/>
      <c r="G6" s="220"/>
      <c r="H6" s="220"/>
    </row>
    <row r="7" spans="1:9" ht="33.75" customHeight="1" thickBot="1">
      <c r="A7" s="219"/>
      <c r="B7" s="570"/>
      <c r="C7" s="562"/>
      <c r="D7" s="633"/>
      <c r="E7" s="424" t="s">
        <v>44</v>
      </c>
      <c r="F7" s="455" t="s">
        <v>96</v>
      </c>
      <c r="G7" s="551" t="s">
        <v>45</v>
      </c>
      <c r="H7" s="652"/>
    </row>
    <row r="8" spans="1:9" ht="24" customHeight="1" thickBot="1">
      <c r="A8" s="219"/>
      <c r="B8" s="282" t="s">
        <v>174</v>
      </c>
      <c r="C8" s="562" t="s">
        <v>175</v>
      </c>
      <c r="D8" s="633"/>
      <c r="E8" s="154"/>
      <c r="F8" s="456"/>
      <c r="G8" s="457"/>
      <c r="H8" s="458" t="b">
        <f>IF(E8="あり",IF(F8="４人以上",1.1,0.5))</f>
        <v>0</v>
      </c>
    </row>
    <row r="9" spans="1:9" ht="24" customHeight="1" thickBot="1">
      <c r="A9" s="219"/>
      <c r="B9" s="282" t="s">
        <v>109</v>
      </c>
      <c r="C9" s="562" t="s">
        <v>176</v>
      </c>
      <c r="D9" s="633"/>
      <c r="E9" s="154"/>
      <c r="F9" s="456"/>
      <c r="G9" s="152"/>
      <c r="H9" s="153">
        <f>IF(E9="あり",F9*0.3,0)</f>
        <v>0</v>
      </c>
    </row>
    <row r="10" spans="1:9" ht="24" customHeight="1">
      <c r="A10" s="219"/>
      <c r="B10" s="282" t="s">
        <v>177</v>
      </c>
      <c r="C10" s="283" t="s">
        <v>68</v>
      </c>
      <c r="D10" s="438"/>
      <c r="E10" s="399"/>
      <c r="F10" s="302"/>
      <c r="G10" s="152"/>
      <c r="H10" s="153">
        <f>IF(E10="あり",0.6,0)</f>
        <v>0</v>
      </c>
    </row>
    <row r="11" spans="1:9" ht="27.75" customHeight="1">
      <c r="A11" s="219"/>
      <c r="B11" s="282" t="s">
        <v>112</v>
      </c>
      <c r="C11" s="655" t="s">
        <v>167</v>
      </c>
      <c r="D11" s="656"/>
      <c r="E11" s="399"/>
      <c r="F11" s="285"/>
      <c r="G11" s="152"/>
      <c r="H11" s="178">
        <f>IF(E11="あり",-1,0)</f>
        <v>0</v>
      </c>
    </row>
    <row r="12" spans="1:9" ht="27.75" customHeight="1" thickBot="1">
      <c r="A12" s="219"/>
      <c r="B12" s="439" t="s">
        <v>169</v>
      </c>
      <c r="C12" s="440"/>
      <c r="D12" s="440"/>
      <c r="E12" s="441"/>
      <c r="F12" s="442"/>
      <c r="G12" s="443"/>
      <c r="H12" s="444">
        <v>2.6</v>
      </c>
    </row>
    <row r="13" spans="1:9" ht="24" customHeight="1" thickTop="1" thickBot="1">
      <c r="A13" s="219"/>
      <c r="B13" s="325" t="s">
        <v>17</v>
      </c>
      <c r="C13" s="218"/>
      <c r="D13" s="218"/>
      <c r="E13" s="218"/>
      <c r="F13" s="327"/>
      <c r="G13" s="192"/>
      <c r="H13" s="193">
        <f>SUM(H8:H12)</f>
        <v>2.6</v>
      </c>
    </row>
    <row r="14" spans="1:9" ht="24" customHeight="1" thickBot="1">
      <c r="A14" s="219"/>
      <c r="B14" s="445" t="s">
        <v>74</v>
      </c>
      <c r="C14" s="446"/>
      <c r="D14" s="446"/>
      <c r="E14" s="446"/>
      <c r="F14" s="447"/>
      <c r="G14" s="200"/>
      <c r="H14" s="201">
        <f>ROUND(H13,0)</f>
        <v>3</v>
      </c>
    </row>
    <row r="15" spans="1:9" ht="25.5" customHeight="1">
      <c r="A15" s="219"/>
      <c r="B15" s="218"/>
      <c r="C15" s="218"/>
      <c r="D15" s="218"/>
      <c r="E15" s="218"/>
      <c r="F15" s="218"/>
      <c r="G15" s="220"/>
      <c r="H15" s="332"/>
      <c r="I15" s="83"/>
    </row>
    <row r="16" spans="1:9" ht="25.5" customHeight="1" thickBot="1">
      <c r="A16" s="221" t="s">
        <v>139</v>
      </c>
      <c r="B16" s="218"/>
      <c r="C16" s="218"/>
      <c r="D16" s="218"/>
      <c r="E16" s="218"/>
      <c r="F16" s="218"/>
      <c r="G16" s="220"/>
      <c r="H16" s="220"/>
      <c r="I16" s="83"/>
    </row>
    <row r="17" spans="1:9" ht="25.5" customHeight="1" thickBot="1">
      <c r="A17" s="219"/>
      <c r="B17" s="420"/>
      <c r="C17" s="334">
        <v>11030</v>
      </c>
      <c r="D17" s="422" t="s">
        <v>76</v>
      </c>
      <c r="E17" s="422"/>
      <c r="F17" s="422"/>
      <c r="G17" s="448"/>
      <c r="H17" s="212">
        <f>C17*H14</f>
        <v>33090</v>
      </c>
      <c r="I17" s="83"/>
    </row>
    <row r="18" spans="1:9" ht="33.75" customHeight="1"/>
    <row r="19" spans="1:9" ht="33.75" customHeight="1"/>
    <row r="20" spans="1:9" ht="33.75" customHeight="1"/>
    <row r="21" spans="1:9" ht="33.75" customHeight="1"/>
    <row r="22" spans="1:9" ht="33.75" customHeight="1"/>
    <row r="23" spans="1:9" ht="33.75" customHeight="1"/>
    <row r="24" spans="1:9" ht="33.75" customHeight="1"/>
    <row r="25" spans="1:9" ht="33.75" customHeight="1"/>
    <row r="26" spans="1:9" ht="33.75" customHeight="1"/>
    <row r="27" spans="1:9" ht="33.75" customHeight="1"/>
    <row r="28" spans="1:9" ht="20.25" customHeight="1"/>
    <row r="29" spans="1:9" ht="20.25" customHeight="1"/>
    <row r="30" spans="1:9" ht="20.25" customHeight="1"/>
    <row r="31" spans="1:9" ht="20.25" customHeight="1"/>
    <row r="32" spans="1: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sheetData>
  <sheetProtection algorithmName="SHA-512" hashValue="3uOzum4W8RimIslrEIR+fmyo9E5C144uFN1Rh6hM4w2ituKss3wbYV/WTp3wv/rtl5QoHmkxWiwfL+lQ6vT3SA==" saltValue="ki68iRlXvpNBJ6Sqb16Dwg==" spinCount="100000" sheet="1" objects="1" scenarios="1"/>
  <mergeCells count="7">
    <mergeCell ref="C11:D11"/>
    <mergeCell ref="B4:C4"/>
    <mergeCell ref="D4:H4"/>
    <mergeCell ref="B7:D7"/>
    <mergeCell ref="G7:H7"/>
    <mergeCell ref="C8:D8"/>
    <mergeCell ref="C9:D9"/>
  </mergeCells>
  <phoneticPr fontId="3"/>
  <dataValidations count="2">
    <dataValidation type="list" allowBlank="1" showInputMessage="1" showErrorMessage="1" sqref="E8:E11" xr:uid="{B9076076-B3EC-4BCB-B669-D8D2CF01C99C}">
      <formula1>"　,あり,なし"</formula1>
    </dataValidation>
    <dataValidation type="list" allowBlank="1" showInputMessage="1" showErrorMessage="1" sqref="F8" xr:uid="{C63B7EDD-98B3-4318-9939-5063919BDB85}">
      <formula1>",４人以上,３人以下,"</formula1>
    </dataValidation>
  </dataValidations>
  <pageMargins left="0.92" right="0.56000000000000005" top="0.75" bottom="0.75" header="0.3" footer="0.3"/>
  <pageSetup paperSize="9" scale="9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A5619-A1A6-4230-BC83-64F92664F544}">
  <sheetPr>
    <tabColor rgb="FFFFFF00"/>
  </sheetPr>
  <dimension ref="A1:Q90"/>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27</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DQIe8E0+F+0OpLpGd9WOCaI/LJ3CX311hi7DWLyZjNS7H1ajERp63lotC1/u6/i23Kdbx0THn4P8tjC4GMSwzw==" saltValue="WW/HmAyUv1FWME9QJba7J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C525-3DF3-4DA3-8BEB-327822F33F20}">
  <sheetPr>
    <tabColor rgb="FFFFFF00"/>
  </sheetPr>
  <dimension ref="A1:L116"/>
  <sheetViews>
    <sheetView view="pageBreakPreview" zoomScale="80" zoomScaleNormal="80" zoomScaleSheetLayoutView="80" workbookViewId="0"/>
  </sheetViews>
  <sheetFormatPr defaultColWidth="9" defaultRowHeight="18.75"/>
  <cols>
    <col min="1" max="1" width="2.875" style="83" customWidth="1"/>
    <col min="2" max="2" width="3" style="80" customWidth="1"/>
    <col min="3" max="3" width="12.125" style="80" customWidth="1"/>
    <col min="4" max="4" width="15.375" style="80" customWidth="1"/>
    <col min="5" max="5" width="10" style="80" customWidth="1"/>
    <col min="6" max="6" width="11.5" style="82" customWidth="1"/>
    <col min="7" max="7" width="12.25" style="82" hidden="1" customWidth="1"/>
    <col min="8" max="8" width="13.125" style="82" customWidth="1"/>
    <col min="9" max="9" width="12.375" style="82" customWidth="1"/>
    <col min="10" max="10" width="7.5" style="83" customWidth="1"/>
    <col min="11" max="11" width="7.75" style="83" hidden="1" customWidth="1"/>
    <col min="12" max="12" width="19" style="83" customWidth="1"/>
    <col min="13" max="16384" width="9" style="83"/>
  </cols>
  <sheetData>
    <row r="1" spans="1:12" s="78" customFormat="1" ht="23.25" customHeight="1">
      <c r="A1" s="76" t="s">
        <v>30</v>
      </c>
      <c r="B1" s="76"/>
      <c r="C1" s="76"/>
      <c r="D1" s="76"/>
      <c r="E1" s="76"/>
      <c r="F1" s="77"/>
      <c r="G1" s="77"/>
      <c r="H1" s="77"/>
      <c r="I1" s="77"/>
    </row>
    <row r="2" spans="1:12" s="78" customFormat="1" ht="23.25" customHeight="1">
      <c r="A2" s="76"/>
      <c r="B2" s="76"/>
      <c r="C2" s="76"/>
      <c r="D2" s="76"/>
      <c r="E2" s="76"/>
      <c r="F2" s="77"/>
      <c r="G2" s="77"/>
      <c r="H2" s="77"/>
      <c r="I2" s="77"/>
    </row>
    <row r="3" spans="1:12" ht="19.5" customHeight="1" thickBot="1">
      <c r="A3" s="79" t="s">
        <v>31</v>
      </c>
      <c r="E3" s="81"/>
      <c r="F3" s="81"/>
      <c r="G3" s="81"/>
      <c r="H3" s="81"/>
    </row>
    <row r="4" spans="1:12" ht="19.5" customHeight="1" thickBot="1">
      <c r="A4" s="79"/>
      <c r="B4" s="84"/>
      <c r="C4" s="85"/>
      <c r="D4" s="85"/>
      <c r="E4" s="86" t="s">
        <v>32</v>
      </c>
      <c r="F4" s="87" t="s">
        <v>33</v>
      </c>
      <c r="G4" s="81"/>
      <c r="H4" s="81"/>
      <c r="I4" s="87" t="s">
        <v>33</v>
      </c>
    </row>
    <row r="5" spans="1:12" ht="37.5" customHeight="1" thickBot="1">
      <c r="A5" s="79"/>
      <c r="B5" s="537" t="s">
        <v>34</v>
      </c>
      <c r="C5" s="538"/>
      <c r="D5" s="538"/>
      <c r="E5" s="88"/>
      <c r="F5" s="89" t="s">
        <v>35</v>
      </c>
      <c r="G5" s="81"/>
      <c r="H5" s="81"/>
      <c r="I5" s="90" t="str">
        <f>IF(E5="あり","分園分を記入","入力不要")</f>
        <v>入力不要</v>
      </c>
    </row>
    <row r="6" spans="1:12" ht="19.5" customHeight="1" thickBot="1">
      <c r="A6" s="79"/>
      <c r="B6" s="537" t="s">
        <v>36</v>
      </c>
      <c r="C6" s="538"/>
      <c r="D6" s="538"/>
      <c r="E6" s="538"/>
      <c r="F6" s="91"/>
      <c r="G6" s="81"/>
      <c r="H6" s="81"/>
      <c r="I6" s="91"/>
    </row>
    <row r="7" spans="1:12" ht="19.5" customHeight="1" thickBot="1">
      <c r="A7" s="79"/>
      <c r="B7" s="539" t="s">
        <v>37</v>
      </c>
      <c r="C7" s="540"/>
      <c r="D7" s="540"/>
      <c r="E7" s="540"/>
      <c r="F7" s="92">
        <f>F8+F9+F10+F11</f>
        <v>0</v>
      </c>
      <c r="H7" s="81"/>
      <c r="I7" s="92">
        <f>I8+I9+I10+I11</f>
        <v>0</v>
      </c>
    </row>
    <row r="8" spans="1:12" ht="19.5" customHeight="1">
      <c r="A8" s="79"/>
      <c r="B8" s="93"/>
      <c r="C8" s="541" t="s">
        <v>38</v>
      </c>
      <c r="D8" s="535"/>
      <c r="E8" s="94"/>
      <c r="F8" s="95">
        <f>【保育所】児童数!Q28</f>
        <v>0</v>
      </c>
      <c r="G8" s="96"/>
      <c r="H8" s="96"/>
      <c r="I8" s="95">
        <f>'【保育所】児童数 (分園)'!Q28</f>
        <v>0</v>
      </c>
    </row>
    <row r="9" spans="1:12" ht="19.5" customHeight="1">
      <c r="A9" s="79"/>
      <c r="B9" s="93"/>
      <c r="C9" s="541" t="s">
        <v>39</v>
      </c>
      <c r="D9" s="535"/>
      <c r="E9" s="94"/>
      <c r="F9" s="97">
        <f>【保育所】児童数!Q29</f>
        <v>0</v>
      </c>
      <c r="G9" s="96"/>
      <c r="H9" s="96"/>
      <c r="I9" s="97">
        <f>'【保育所】児童数 (分園)'!Q29</f>
        <v>0</v>
      </c>
    </row>
    <row r="10" spans="1:12" ht="19.5" customHeight="1">
      <c r="A10" s="79"/>
      <c r="B10" s="93"/>
      <c r="C10" s="535" t="s">
        <v>15</v>
      </c>
      <c r="D10" s="536"/>
      <c r="E10" s="94"/>
      <c r="F10" s="97">
        <f>【保育所】児童数!Q31</f>
        <v>0</v>
      </c>
      <c r="G10" s="96"/>
      <c r="H10" s="96"/>
      <c r="I10" s="97">
        <f>'【保育所】児童数 (分園)'!Q31</f>
        <v>0</v>
      </c>
    </row>
    <row r="11" spans="1:12" ht="19.5" customHeight="1" thickBot="1">
      <c r="A11" s="80"/>
      <c r="B11" s="98"/>
      <c r="C11" s="542" t="s">
        <v>16</v>
      </c>
      <c r="D11" s="543"/>
      <c r="E11" s="99"/>
      <c r="F11" s="100">
        <f>【保育所】児童数!Q32</f>
        <v>0</v>
      </c>
      <c r="G11" s="96"/>
      <c r="H11" s="96"/>
      <c r="I11" s="100">
        <f>'【保育所】児童数 (分園)'!Q32</f>
        <v>0</v>
      </c>
    </row>
    <row r="12" spans="1:12" ht="42.75" customHeight="1">
      <c r="A12" s="80"/>
      <c r="B12" s="101" t="s">
        <v>40</v>
      </c>
      <c r="C12" s="544" t="s">
        <v>41</v>
      </c>
      <c r="D12" s="544"/>
      <c r="E12" s="544"/>
      <c r="F12" s="544"/>
      <c r="G12" s="544"/>
      <c r="H12" s="544"/>
      <c r="I12" s="544"/>
      <c r="J12" s="544"/>
      <c r="K12" s="544"/>
      <c r="L12" s="544"/>
    </row>
    <row r="13" spans="1:12" ht="19.5" customHeight="1">
      <c r="A13" s="80"/>
      <c r="B13" s="102"/>
      <c r="C13" s="103"/>
      <c r="D13" s="103"/>
      <c r="E13" s="103"/>
      <c r="F13" s="103"/>
      <c r="G13" s="103"/>
      <c r="H13" s="103"/>
    </row>
    <row r="14" spans="1:12" ht="19.5" customHeight="1" thickBot="1">
      <c r="A14" s="79" t="s">
        <v>42</v>
      </c>
    </row>
    <row r="15" spans="1:12" ht="19.5" customHeight="1" thickBot="1">
      <c r="A15" s="79"/>
      <c r="E15" s="545" t="s">
        <v>43</v>
      </c>
      <c r="F15" s="546"/>
      <c r="G15" s="546"/>
      <c r="H15" s="547"/>
      <c r="I15" s="548" t="str">
        <f>IF(E5="あり","分園分","選択不要")</f>
        <v>選択不要</v>
      </c>
      <c r="J15" s="549"/>
      <c r="K15" s="549"/>
      <c r="L15" s="550"/>
    </row>
    <row r="16" spans="1:12" ht="33" customHeight="1">
      <c r="B16" s="84"/>
      <c r="C16" s="85"/>
      <c r="D16" s="85"/>
      <c r="E16" s="104" t="s">
        <v>44</v>
      </c>
      <c r="F16" s="105"/>
      <c r="G16" s="551" t="s">
        <v>45</v>
      </c>
      <c r="H16" s="552"/>
      <c r="I16" s="106" t="s">
        <v>44</v>
      </c>
      <c r="J16" s="107"/>
      <c r="K16" s="553" t="s">
        <v>45</v>
      </c>
      <c r="L16" s="554"/>
    </row>
    <row r="17" spans="2:12" ht="19.5" customHeight="1">
      <c r="B17" s="108" t="s">
        <v>46</v>
      </c>
      <c r="C17" s="85" t="s">
        <v>47</v>
      </c>
      <c r="D17" s="109"/>
      <c r="E17" s="110"/>
      <c r="F17" s="111"/>
      <c r="G17" s="112"/>
      <c r="H17" s="113">
        <f>H24*1.3</f>
        <v>0</v>
      </c>
      <c r="I17" s="114"/>
      <c r="J17" s="115"/>
      <c r="K17" s="116"/>
      <c r="L17" s="113">
        <f>L24*1.3</f>
        <v>0</v>
      </c>
    </row>
    <row r="18" spans="2:12" ht="19.5" customHeight="1">
      <c r="B18" s="117"/>
      <c r="C18" s="118" t="s">
        <v>48</v>
      </c>
      <c r="D18" s="119"/>
      <c r="E18" s="120"/>
      <c r="F18" s="121">
        <f>F8</f>
        <v>0</v>
      </c>
      <c r="G18" s="122">
        <f>IF(E19="なし",F18*1/30,0)</f>
        <v>0</v>
      </c>
      <c r="H18" s="123">
        <f t="shared" ref="H18:H23" si="0">ROUNDDOWN(G18,1)</f>
        <v>0</v>
      </c>
      <c r="I18" s="118"/>
      <c r="J18" s="121">
        <f>IF(E5="あり",I8,0)</f>
        <v>0</v>
      </c>
      <c r="K18" s="122">
        <f>IF(I19="なし",J18*1/30,0)</f>
        <v>0</v>
      </c>
      <c r="L18" s="123">
        <f>ROUNDDOWN(K18,1)</f>
        <v>0</v>
      </c>
    </row>
    <row r="19" spans="2:12" ht="19.5" customHeight="1">
      <c r="B19" s="117"/>
      <c r="C19" s="118" t="s">
        <v>49</v>
      </c>
      <c r="D19" s="119"/>
      <c r="E19" s="124"/>
      <c r="F19" s="125"/>
      <c r="G19" s="122">
        <f>IF(E19="あり",F18*1/25,0)</f>
        <v>0</v>
      </c>
      <c r="H19" s="123">
        <f t="shared" si="0"/>
        <v>0</v>
      </c>
      <c r="I19" s="126">
        <f>E19</f>
        <v>0</v>
      </c>
      <c r="J19" s="121"/>
      <c r="K19" s="122">
        <f>IF(I19="あり",J18*1/25,0)</f>
        <v>0</v>
      </c>
      <c r="L19" s="123">
        <f t="shared" ref="L19:L21" si="1">ROUNDDOWN(K19,1)</f>
        <v>0</v>
      </c>
    </row>
    <row r="20" spans="2:12" ht="19.5" customHeight="1">
      <c r="B20" s="117"/>
      <c r="C20" s="127" t="s">
        <v>50</v>
      </c>
      <c r="D20" s="128"/>
      <c r="E20" s="129"/>
      <c r="F20" s="130">
        <f>F9</f>
        <v>0</v>
      </c>
      <c r="G20" s="131">
        <f>IF(E21="なし",F20/20,0)</f>
        <v>0</v>
      </c>
      <c r="H20" s="132">
        <f t="shared" si="0"/>
        <v>0</v>
      </c>
      <c r="I20" s="80"/>
      <c r="J20" s="121">
        <f>IF(E5="あり",I9,0)</f>
        <v>0</v>
      </c>
      <c r="K20" s="131">
        <f>IF(I21="なし",J20/20,0)</f>
        <v>0</v>
      </c>
      <c r="L20" s="123">
        <f t="shared" si="1"/>
        <v>0</v>
      </c>
    </row>
    <row r="21" spans="2:12" ht="19.5" customHeight="1">
      <c r="B21" s="117"/>
      <c r="C21" s="127" t="s">
        <v>51</v>
      </c>
      <c r="D21" s="128"/>
      <c r="E21" s="124"/>
      <c r="F21" s="125"/>
      <c r="G21" s="131">
        <f>IF(E21="あり",F20/15,0)</f>
        <v>0</v>
      </c>
      <c r="H21" s="132">
        <f t="shared" si="0"/>
        <v>0</v>
      </c>
      <c r="I21" s="133">
        <f>E21</f>
        <v>0</v>
      </c>
      <c r="J21" s="125"/>
      <c r="K21" s="131">
        <f>IF(I21="あり",J20/15,0)</f>
        <v>0</v>
      </c>
      <c r="L21" s="123">
        <f t="shared" si="1"/>
        <v>0</v>
      </c>
    </row>
    <row r="22" spans="2:12" ht="19.5" customHeight="1">
      <c r="B22" s="117"/>
      <c r="C22" s="127" t="s">
        <v>15</v>
      </c>
      <c r="D22" s="128"/>
      <c r="E22" s="134"/>
      <c r="F22" s="130">
        <f>F10</f>
        <v>0</v>
      </c>
      <c r="G22" s="131">
        <f>F22*1/6</f>
        <v>0</v>
      </c>
      <c r="H22" s="132">
        <f t="shared" si="0"/>
        <v>0</v>
      </c>
      <c r="I22" s="127"/>
      <c r="J22" s="121">
        <f>IF(E5="あり",I10,0)</f>
        <v>0</v>
      </c>
      <c r="K22" s="131">
        <f>J22*1/6</f>
        <v>0</v>
      </c>
      <c r="L22" s="132">
        <f>ROUNDDOWN(K22,1)</f>
        <v>0</v>
      </c>
    </row>
    <row r="23" spans="2:12" ht="19.5" customHeight="1" thickBot="1">
      <c r="B23" s="117"/>
      <c r="C23" s="135" t="s">
        <v>16</v>
      </c>
      <c r="D23" s="136"/>
      <c r="E23" s="137"/>
      <c r="F23" s="138">
        <f>F11</f>
        <v>0</v>
      </c>
      <c r="G23" s="139">
        <f>F23*1/3</f>
        <v>0</v>
      </c>
      <c r="H23" s="140">
        <f t="shared" si="0"/>
        <v>0</v>
      </c>
      <c r="I23" s="137"/>
      <c r="J23" s="138">
        <f>IF(E5="あり",I11,0)</f>
        <v>0</v>
      </c>
      <c r="K23" s="139">
        <f>J23*1/3</f>
        <v>0</v>
      </c>
      <c r="L23" s="140">
        <f>ROUNDDOWN(K23,1)</f>
        <v>0</v>
      </c>
    </row>
    <row r="24" spans="2:12" ht="19.5" customHeight="1" thickTop="1">
      <c r="B24" s="117"/>
      <c r="C24" s="141" t="s">
        <v>52</v>
      </c>
      <c r="D24" s="142"/>
      <c r="E24" s="143"/>
      <c r="F24" s="144"/>
      <c r="G24" s="145"/>
      <c r="H24" s="146">
        <f>ROUND(SUM(H18:H23),0)</f>
        <v>0</v>
      </c>
      <c r="J24" s="147"/>
      <c r="K24" s="145"/>
      <c r="L24" s="146">
        <f>ROUND(SUM(L18:L23),0)</f>
        <v>0</v>
      </c>
    </row>
    <row r="25" spans="2:12" ht="19.5" customHeight="1">
      <c r="B25" s="148" t="s">
        <v>53</v>
      </c>
      <c r="C25" s="149" t="s">
        <v>54</v>
      </c>
      <c r="D25" s="150"/>
      <c r="E25" s="151"/>
      <c r="F25" s="111"/>
      <c r="G25" s="152"/>
      <c r="H25" s="153">
        <f>IF(E25="あり",1.7,0)</f>
        <v>0</v>
      </c>
      <c r="I25" s="154"/>
      <c r="J25" s="111"/>
      <c r="K25" s="152"/>
      <c r="L25" s="153">
        <f>IF(E5="あり",IF(I25="あり",1.7,0),0)</f>
        <v>0</v>
      </c>
    </row>
    <row r="26" spans="2:12" ht="19.5" customHeight="1" thickBot="1">
      <c r="B26" s="148" t="s">
        <v>55</v>
      </c>
      <c r="C26" s="149" t="s">
        <v>56</v>
      </c>
      <c r="D26" s="150"/>
      <c r="E26" s="151"/>
      <c r="F26" s="111"/>
      <c r="G26" s="155"/>
      <c r="H26" s="153">
        <f>IF(E26="あり",1.2,0)</f>
        <v>0</v>
      </c>
      <c r="I26" s="555" t="str">
        <f>IF($E$5="あり","本園分で選択","－")</f>
        <v>－</v>
      </c>
      <c r="J26" s="556"/>
      <c r="K26" s="116"/>
      <c r="L26" s="156"/>
    </row>
    <row r="27" spans="2:12" ht="19.5" customHeight="1" thickBot="1">
      <c r="B27" s="148" t="s">
        <v>57</v>
      </c>
      <c r="C27" s="538" t="s">
        <v>58</v>
      </c>
      <c r="D27" s="557"/>
      <c r="E27" s="157"/>
      <c r="F27" s="158"/>
      <c r="G27" s="152"/>
      <c r="H27" s="153">
        <f>IF(E27="あり",IF(F27="A",0.4,IF(F27="B",0.3,0)),0)</f>
        <v>0</v>
      </c>
      <c r="I27" s="558" t="str">
        <f t="shared" ref="I27:I34" si="2">IF($E$5="あり","本園分で選択","－")</f>
        <v>－</v>
      </c>
      <c r="J27" s="559"/>
      <c r="K27" s="116"/>
      <c r="L27" s="156"/>
    </row>
    <row r="28" spans="2:12" ht="19.5" customHeight="1" thickBot="1">
      <c r="B28" s="148" t="s">
        <v>59</v>
      </c>
      <c r="C28" s="149" t="s">
        <v>60</v>
      </c>
      <c r="D28" s="150"/>
      <c r="E28" s="159"/>
      <c r="F28" s="160"/>
      <c r="G28" s="161"/>
      <c r="H28" s="162">
        <f>IF(E28="あり",0.4,0)</f>
        <v>0</v>
      </c>
      <c r="I28" s="558" t="str">
        <f t="shared" si="2"/>
        <v>－</v>
      </c>
      <c r="J28" s="559"/>
      <c r="K28" s="116"/>
      <c r="L28" s="156"/>
    </row>
    <row r="29" spans="2:12" ht="33" customHeight="1" thickBot="1">
      <c r="B29" s="148" t="s">
        <v>61</v>
      </c>
      <c r="C29" s="538" t="s">
        <v>62</v>
      </c>
      <c r="D29" s="557"/>
      <c r="E29" s="163"/>
      <c r="F29" s="164"/>
      <c r="G29" s="165" t="e">
        <f>VLOOKUP(F29,$C$43:$D$56,2,FALSE)</f>
        <v>#N/A</v>
      </c>
      <c r="H29" s="153">
        <f>IF(E29="あり",G29,0)</f>
        <v>0</v>
      </c>
      <c r="I29" s="555" t="str">
        <f t="shared" si="2"/>
        <v>－</v>
      </c>
      <c r="J29" s="556"/>
      <c r="K29" s="116"/>
      <c r="L29" s="156"/>
    </row>
    <row r="30" spans="2:12" ht="19.5" customHeight="1" thickBot="1">
      <c r="B30" s="166" t="s">
        <v>63</v>
      </c>
      <c r="C30" s="538" t="s">
        <v>64</v>
      </c>
      <c r="D30" s="557"/>
      <c r="E30" s="167"/>
      <c r="F30" s="168"/>
      <c r="G30" s="165"/>
      <c r="H30" s="162">
        <f>IF(E30="あり",2.7,0)</f>
        <v>0</v>
      </c>
      <c r="I30" s="558" t="str">
        <f>IF($E$5="あり","本園分で選択","－")</f>
        <v>－</v>
      </c>
      <c r="J30" s="559"/>
      <c r="K30" s="116"/>
      <c r="L30" s="156"/>
    </row>
    <row r="31" spans="2:12" ht="19.5" customHeight="1" thickBot="1">
      <c r="B31" s="166" t="s">
        <v>65</v>
      </c>
      <c r="C31" s="149" t="s">
        <v>66</v>
      </c>
      <c r="D31" s="109"/>
      <c r="E31" s="163"/>
      <c r="F31" s="91"/>
      <c r="G31" s="155"/>
      <c r="H31" s="153">
        <f>IF(E31="あり",F31*1.3,0)</f>
        <v>0</v>
      </c>
      <c r="I31" s="555" t="str">
        <f t="shared" si="2"/>
        <v>－</v>
      </c>
      <c r="J31" s="556"/>
      <c r="K31" s="116"/>
      <c r="L31" s="156"/>
    </row>
    <row r="32" spans="2:12" ht="19.5" customHeight="1">
      <c r="B32" s="166" t="s">
        <v>67</v>
      </c>
      <c r="C32" s="538" t="s">
        <v>68</v>
      </c>
      <c r="D32" s="557"/>
      <c r="E32" s="167"/>
      <c r="F32" s="169"/>
      <c r="G32" s="152"/>
      <c r="H32" s="153">
        <f>IF(E32="あり",0.6,0)</f>
        <v>0</v>
      </c>
      <c r="I32" s="558" t="str">
        <f t="shared" si="2"/>
        <v>－</v>
      </c>
      <c r="J32" s="559"/>
      <c r="K32" s="170"/>
      <c r="L32" s="171"/>
    </row>
    <row r="33" spans="1:12" ht="19.5" customHeight="1">
      <c r="B33" s="166" t="s">
        <v>69</v>
      </c>
      <c r="C33" s="537" t="s">
        <v>70</v>
      </c>
      <c r="D33" s="557"/>
      <c r="E33" s="560" t="str">
        <f>IF($E$5="あり","分園分で選択","－")</f>
        <v>－</v>
      </c>
      <c r="F33" s="561"/>
      <c r="G33" s="172"/>
      <c r="H33" s="173"/>
      <c r="I33" s="174"/>
      <c r="J33" s="175">
        <f>IF(I6&lt;40,-1.3,IF(I6&gt;=151,-3.8,-2.6))</f>
        <v>-1.3</v>
      </c>
      <c r="K33" s="116"/>
      <c r="L33" s="176">
        <f>IF(E5="あり",J33,0)</f>
        <v>0</v>
      </c>
    </row>
    <row r="34" spans="1:12" ht="19.5" customHeight="1">
      <c r="B34" s="166" t="s">
        <v>71</v>
      </c>
      <c r="C34" s="537" t="s">
        <v>72</v>
      </c>
      <c r="D34" s="557"/>
      <c r="E34" s="167"/>
      <c r="F34" s="177"/>
      <c r="G34" s="152"/>
      <c r="H34" s="178">
        <f>IF(E34="該当",-1,0)</f>
        <v>0</v>
      </c>
      <c r="I34" s="558" t="str">
        <f t="shared" si="2"/>
        <v>－</v>
      </c>
      <c r="J34" s="559"/>
      <c r="K34" s="116"/>
      <c r="L34" s="156"/>
    </row>
    <row r="35" spans="1:12" ht="19.5" customHeight="1" thickBot="1">
      <c r="B35" s="179" t="s">
        <v>73</v>
      </c>
      <c r="C35" s="180"/>
      <c r="D35" s="180"/>
      <c r="E35" s="181"/>
      <c r="F35" s="182"/>
      <c r="G35" s="183"/>
      <c r="H35" s="184">
        <f>IF(F6&lt;=30,4.5,IF(F6&lt;=40,4.2,IF(F6&lt;=90,5.4,IF(F6&lt;=150,5.1,6.3))))</f>
        <v>4.5</v>
      </c>
      <c r="I35" s="185"/>
      <c r="J35" s="186"/>
      <c r="K35" s="187"/>
      <c r="L35" s="184">
        <f>IF(E5="あり",IF(I6&lt;=30,4.5,IF(I6&lt;=40,4.2,IF(I6&lt;=90,5.4,IF(I6&lt;=150,5.1,6.3)))),0)</f>
        <v>0</v>
      </c>
    </row>
    <row r="36" spans="1:12" ht="19.5" customHeight="1" thickTop="1" thickBot="1">
      <c r="B36" s="188" t="s">
        <v>17</v>
      </c>
      <c r="C36" s="189"/>
      <c r="D36" s="189"/>
      <c r="E36" s="190"/>
      <c r="F36" s="191"/>
      <c r="G36" s="192"/>
      <c r="H36" s="193">
        <f>SUM(H34:H35,H17,H25:H32)</f>
        <v>4.5</v>
      </c>
      <c r="J36" s="194"/>
      <c r="K36" s="195"/>
      <c r="L36" s="193">
        <f>SUM(L17,L25,L33,L35)</f>
        <v>0</v>
      </c>
    </row>
    <row r="37" spans="1:12" ht="19.5" customHeight="1" thickBot="1">
      <c r="B37" s="196" t="s">
        <v>74</v>
      </c>
      <c r="C37" s="197"/>
      <c r="D37" s="197"/>
      <c r="E37" s="198"/>
      <c r="F37" s="199"/>
      <c r="G37" s="200"/>
      <c r="H37" s="201">
        <f>ROUND(H36,0)</f>
        <v>5</v>
      </c>
      <c r="I37" s="202"/>
      <c r="J37" s="203"/>
      <c r="K37" s="204"/>
      <c r="L37" s="201">
        <f>IF(E5="あり",ROUND(L36,0),0)</f>
        <v>0</v>
      </c>
    </row>
    <row r="38" spans="1:12" ht="19.5" customHeight="1">
      <c r="H38" s="205"/>
    </row>
    <row r="39" spans="1:12" ht="19.5" customHeight="1" thickBot="1">
      <c r="A39" s="79" t="s">
        <v>75</v>
      </c>
    </row>
    <row r="40" spans="1:12" ht="19.5" customHeight="1" thickBot="1">
      <c r="B40" s="206"/>
      <c r="C40" s="207">
        <v>11030</v>
      </c>
      <c r="D40" s="208" t="s">
        <v>76</v>
      </c>
      <c r="E40" s="209"/>
      <c r="F40" s="210"/>
      <c r="G40" s="211"/>
      <c r="H40" s="212">
        <f>C40*(H37+L37)</f>
        <v>55150</v>
      </c>
    </row>
    <row r="41" spans="1:12" ht="19.5" customHeight="1"/>
    <row r="42" spans="1:12" hidden="1">
      <c r="C42" s="83" t="s">
        <v>77</v>
      </c>
      <c r="D42" s="83"/>
    </row>
    <row r="43" spans="1:12" hidden="1">
      <c r="C43" s="83" t="s">
        <v>78</v>
      </c>
      <c r="D43" s="83">
        <v>0.5</v>
      </c>
    </row>
    <row r="44" spans="1:12" hidden="1">
      <c r="C44" s="83" t="s">
        <v>79</v>
      </c>
      <c r="D44" s="83">
        <v>0.5</v>
      </c>
    </row>
    <row r="45" spans="1:12" hidden="1">
      <c r="C45" s="83" t="s">
        <v>80</v>
      </c>
      <c r="D45" s="83">
        <v>0.6</v>
      </c>
    </row>
    <row r="46" spans="1:12" hidden="1">
      <c r="C46" s="83" t="s">
        <v>81</v>
      </c>
      <c r="D46" s="83">
        <v>0.7</v>
      </c>
    </row>
    <row r="47" spans="1:12" hidden="1">
      <c r="C47" s="83" t="s">
        <v>82</v>
      </c>
      <c r="D47" s="83">
        <v>0.8</v>
      </c>
    </row>
    <row r="48" spans="1:12" s="80" customFormat="1" hidden="1">
      <c r="A48" s="83"/>
      <c r="C48" s="83" t="s">
        <v>83</v>
      </c>
      <c r="D48" s="83">
        <v>0.8</v>
      </c>
      <c r="F48" s="82"/>
      <c r="G48" s="82"/>
      <c r="H48" s="82"/>
      <c r="I48" s="82"/>
      <c r="J48" s="83"/>
      <c r="K48" s="83"/>
      <c r="L48" s="83"/>
    </row>
    <row r="49" spans="1:12" s="80" customFormat="1" hidden="1">
      <c r="A49" s="83"/>
      <c r="C49" s="83" t="s">
        <v>84</v>
      </c>
      <c r="D49" s="83">
        <v>0.9</v>
      </c>
      <c r="F49" s="82"/>
      <c r="G49" s="82"/>
      <c r="H49" s="82"/>
      <c r="I49" s="82"/>
      <c r="J49" s="83"/>
      <c r="K49" s="83"/>
      <c r="L49" s="83"/>
    </row>
    <row r="50" spans="1:12" s="80" customFormat="1" hidden="1">
      <c r="A50" s="83"/>
      <c r="C50" s="83" t="s">
        <v>85</v>
      </c>
      <c r="D50" s="83">
        <v>1</v>
      </c>
      <c r="F50" s="82"/>
      <c r="G50" s="82"/>
      <c r="H50" s="82"/>
      <c r="I50" s="82"/>
      <c r="J50" s="83"/>
      <c r="K50" s="83"/>
      <c r="L50" s="83"/>
    </row>
    <row r="51" spans="1:12" s="80" customFormat="1" hidden="1">
      <c r="A51" s="83"/>
      <c r="C51" s="83" t="s">
        <v>86</v>
      </c>
      <c r="D51" s="83">
        <v>1.1000000000000001</v>
      </c>
      <c r="F51" s="82"/>
      <c r="G51" s="82"/>
      <c r="H51" s="82"/>
      <c r="I51" s="82"/>
      <c r="J51" s="83"/>
      <c r="K51" s="83"/>
      <c r="L51" s="83"/>
    </row>
    <row r="52" spans="1:12" s="80" customFormat="1" hidden="1">
      <c r="A52" s="83"/>
      <c r="C52" s="83" t="s">
        <v>87</v>
      </c>
      <c r="D52" s="83">
        <v>1.1000000000000001</v>
      </c>
      <c r="F52" s="82"/>
      <c r="G52" s="82"/>
      <c r="H52" s="82"/>
      <c r="I52" s="82"/>
      <c r="J52" s="83"/>
      <c r="K52" s="83"/>
      <c r="L52" s="83"/>
    </row>
    <row r="53" spans="1:12" s="80" customFormat="1" hidden="1">
      <c r="A53" s="83"/>
      <c r="C53" s="83" t="s">
        <v>88</v>
      </c>
      <c r="D53" s="83">
        <v>1.2</v>
      </c>
      <c r="F53" s="82"/>
      <c r="G53" s="82"/>
      <c r="H53" s="82"/>
      <c r="I53" s="82"/>
      <c r="J53" s="83"/>
      <c r="K53" s="83"/>
      <c r="L53" s="83"/>
    </row>
    <row r="54" spans="1:12" s="80" customFormat="1" hidden="1">
      <c r="A54" s="83"/>
      <c r="C54" s="83" t="s">
        <v>89</v>
      </c>
      <c r="D54" s="83">
        <v>1.3</v>
      </c>
      <c r="F54" s="82"/>
      <c r="G54" s="82"/>
      <c r="H54" s="82"/>
      <c r="I54" s="82"/>
      <c r="J54" s="83"/>
      <c r="K54" s="83"/>
      <c r="L54" s="83"/>
    </row>
    <row r="55" spans="1:12" s="80" customFormat="1" hidden="1">
      <c r="A55" s="83"/>
      <c r="C55" s="83" t="s">
        <v>90</v>
      </c>
      <c r="D55" s="83">
        <v>1.4</v>
      </c>
      <c r="F55" s="82"/>
      <c r="G55" s="82"/>
      <c r="H55" s="82"/>
      <c r="I55" s="82"/>
      <c r="J55" s="83"/>
      <c r="K55" s="83"/>
      <c r="L55" s="83"/>
    </row>
    <row r="56" spans="1:12" s="80" customFormat="1" hidden="1">
      <c r="A56" s="83"/>
      <c r="C56" s="83" t="s">
        <v>91</v>
      </c>
      <c r="D56" s="83">
        <v>1.5</v>
      </c>
      <c r="F56" s="82"/>
      <c r="G56" s="82"/>
      <c r="H56" s="82"/>
      <c r="I56" s="82"/>
      <c r="J56" s="83"/>
      <c r="K56" s="83"/>
      <c r="L56" s="83"/>
    </row>
    <row r="57" spans="1:12" s="80" customFormat="1" ht="20.25" customHeight="1">
      <c r="A57" s="83"/>
      <c r="F57" s="82"/>
      <c r="G57" s="82"/>
      <c r="H57" s="82"/>
      <c r="I57" s="82"/>
      <c r="J57" s="83"/>
      <c r="K57" s="83"/>
      <c r="L57" s="83"/>
    </row>
    <row r="58" spans="1:12" s="80" customFormat="1" ht="20.25" customHeight="1">
      <c r="A58" s="83"/>
      <c r="F58" s="82"/>
      <c r="G58" s="82"/>
      <c r="H58" s="82"/>
      <c r="I58" s="82"/>
      <c r="J58" s="83"/>
      <c r="K58" s="83"/>
      <c r="L58" s="83"/>
    </row>
    <row r="59" spans="1:12" s="80" customFormat="1" ht="20.25" customHeight="1">
      <c r="A59" s="83"/>
      <c r="F59" s="82"/>
      <c r="G59" s="82"/>
      <c r="H59" s="82"/>
      <c r="I59" s="82"/>
      <c r="J59" s="83"/>
      <c r="K59" s="83"/>
      <c r="L59" s="83"/>
    </row>
    <row r="60" spans="1:12" s="80" customFormat="1" ht="20.25" customHeight="1">
      <c r="A60" s="83"/>
      <c r="F60" s="82"/>
      <c r="G60" s="82"/>
      <c r="H60" s="82"/>
      <c r="I60" s="82"/>
      <c r="J60" s="83"/>
      <c r="K60" s="83"/>
      <c r="L60" s="83"/>
    </row>
    <row r="61" spans="1:12" s="80" customFormat="1" ht="20.25" customHeight="1">
      <c r="A61" s="83"/>
      <c r="F61" s="82"/>
      <c r="G61" s="82"/>
      <c r="H61" s="82"/>
      <c r="I61" s="82"/>
      <c r="J61" s="83"/>
      <c r="K61" s="83"/>
      <c r="L61" s="83"/>
    </row>
    <row r="62" spans="1:12" s="80" customFormat="1" ht="20.25" customHeight="1">
      <c r="A62" s="83"/>
      <c r="F62" s="82"/>
      <c r="G62" s="82"/>
      <c r="H62" s="82"/>
      <c r="I62" s="82"/>
      <c r="J62" s="83"/>
      <c r="K62" s="83"/>
      <c r="L62" s="83"/>
    </row>
    <row r="63" spans="1:12" s="80" customFormat="1" ht="20.25" customHeight="1">
      <c r="A63" s="83"/>
      <c r="F63" s="82"/>
      <c r="G63" s="82"/>
      <c r="H63" s="82"/>
      <c r="I63" s="82"/>
      <c r="J63" s="83"/>
      <c r="K63" s="83"/>
      <c r="L63" s="83"/>
    </row>
    <row r="64" spans="1:1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sheetData>
  <sheetProtection algorithmName="SHA-512" hashValue="+tA1m/e0ztPdauVRRR3ySVtnBwJ6X5/PVayN1rhwFymCMyJeRqACntwH3XILbFLjxxbezceAzObanIM7Nn7eHw==" saltValue="y32oaT2IXJEzvOvGDnEr6A==" spinCount="100000" sheet="1" objects="1" scenarios="1"/>
  <mergeCells count="27">
    <mergeCell ref="C34:D34"/>
    <mergeCell ref="I34:J34"/>
    <mergeCell ref="C30:D30"/>
    <mergeCell ref="I30:J30"/>
    <mergeCell ref="I31:J31"/>
    <mergeCell ref="C32:D32"/>
    <mergeCell ref="I32:J32"/>
    <mergeCell ref="C33:D33"/>
    <mergeCell ref="E33:F33"/>
    <mergeCell ref="I26:J26"/>
    <mergeCell ref="C27:D27"/>
    <mergeCell ref="I27:J27"/>
    <mergeCell ref="I28:J28"/>
    <mergeCell ref="C29:D29"/>
    <mergeCell ref="I29:J29"/>
    <mergeCell ref="C11:D11"/>
    <mergeCell ref="C12:L12"/>
    <mergeCell ref="E15:H15"/>
    <mergeCell ref="I15:L15"/>
    <mergeCell ref="G16:H16"/>
    <mergeCell ref="K16:L16"/>
    <mergeCell ref="C10:D10"/>
    <mergeCell ref="B5:D5"/>
    <mergeCell ref="B6:E6"/>
    <mergeCell ref="B7:E7"/>
    <mergeCell ref="C8:D8"/>
    <mergeCell ref="C9:D9"/>
  </mergeCells>
  <phoneticPr fontId="3"/>
  <dataValidations count="5">
    <dataValidation type="list" allowBlank="1" showInputMessage="1" showErrorMessage="1" sqref="I25 E21 E5 E25:E32 E19" xr:uid="{92323B15-18F4-4ACF-8C42-E31A7E17983B}">
      <formula1>"　,あり,なし"</formula1>
    </dataValidation>
    <dataValidation type="list" allowBlank="1" showInputMessage="1" showErrorMessage="1" sqref="E34" xr:uid="{4A001373-B945-4F07-8EDC-7A15C4AE3A2F}">
      <formula1>"　,該当,非該当"</formula1>
    </dataValidation>
    <dataValidation type="list" allowBlank="1" showInputMessage="1" showErrorMessage="1" sqref="F27" xr:uid="{55B28291-B4C4-40C6-907A-7FE03F437B99}">
      <formula1>"　,A,B"</formula1>
    </dataValidation>
    <dataValidation type="list" allowBlank="1" showInputMessage="1" showErrorMessage="1" sqref="F30" xr:uid="{B00B13B2-841C-4F67-AD4D-0C501061CB8E}">
      <formula1>#REF!</formula1>
    </dataValidation>
    <dataValidation type="list" allowBlank="1" showInputMessage="1" showErrorMessage="1" sqref="F29" xr:uid="{AB540253-CCF9-4C38-929D-81CF64512B87}">
      <formula1>$C$43:$C$56</formula1>
    </dataValidation>
  </dataValidations>
  <pageMargins left="0.92" right="0.56000000000000005" top="0.75" bottom="0.37" header="0.3" footer="0.3"/>
  <pageSetup paperSize="9" scale="6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F2DB-3AF0-4376-8BE3-F08D26C32845}">
  <sheetPr>
    <tabColor rgb="FF92D050"/>
  </sheetPr>
  <dimension ref="A1:Q90"/>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92</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qWv8IQux6Br+ETvBrMP1kKj/yj1JGChlVOE7BRTftknW7BlFmaGbjNYHoDWucvQbycQ7EksW3oSZVONb9QJiZw==" saltValue="br0+Rm1bvXarCFULB1M47g=="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B57E-B3C1-49E3-941D-7C045F1FF532}">
  <sheetPr>
    <tabColor rgb="FF92D050"/>
  </sheetPr>
  <dimension ref="A1:Q90"/>
  <sheetViews>
    <sheetView zoomScale="80" zoomScaleNormal="80" workbookViewId="0">
      <selection activeCell="C30" sqref="C30"/>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93</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Mbb1/HOXgflBTuRovd3X31juZp8xxRd9FTGQb2qvMUskzE2qJmw4Bk7fgntmKghJqoBcLQh0bGhrDYWFZj7jVQ==" saltValue="q8sM5OEvRSUdFF3Bpynzp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DC96-3CC7-4623-BB00-2AFE5887C7EE}">
  <sheetPr>
    <tabColor rgb="FF92D050"/>
  </sheetPr>
  <dimension ref="A1:Q90"/>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92" t="s">
        <v>94</v>
      </c>
      <c r="B1" s="492"/>
      <c r="C1" s="492"/>
      <c r="D1" s="492"/>
      <c r="E1" s="492"/>
      <c r="F1" s="492"/>
      <c r="G1" s="492"/>
      <c r="H1" s="492"/>
      <c r="I1" s="492"/>
      <c r="J1" s="492"/>
      <c r="K1" s="492"/>
      <c r="L1" s="492"/>
      <c r="M1" s="492"/>
      <c r="N1" s="492"/>
      <c r="O1" s="492"/>
      <c r="P1" s="492"/>
      <c r="Q1" s="492"/>
    </row>
    <row r="2" spans="1:17" ht="18" customHeight="1" thickBot="1">
      <c r="B2" s="2"/>
      <c r="C2" s="2"/>
    </row>
    <row r="3" spans="1:17" ht="18" customHeight="1" thickBot="1">
      <c r="B3" s="2"/>
      <c r="C3" s="2"/>
      <c r="H3" s="493" t="s">
        <v>1</v>
      </c>
      <c r="I3" s="494"/>
      <c r="J3" s="494"/>
      <c r="K3" s="494"/>
      <c r="L3" s="495"/>
      <c r="M3" s="493"/>
      <c r="N3" s="494"/>
      <c r="O3" s="494"/>
      <c r="P3" s="494"/>
      <c r="Q3" s="495"/>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H6" s="3"/>
      <c r="I6" s="3"/>
      <c r="J6" s="3"/>
      <c r="K6" s="3"/>
      <c r="L6" s="3"/>
      <c r="M6" s="3"/>
      <c r="N6" s="3"/>
      <c r="O6" s="3"/>
      <c r="P6" s="3"/>
      <c r="Q6" s="3"/>
    </row>
    <row r="7" spans="1:17" ht="18" customHeight="1">
      <c r="B7" s="1" t="s">
        <v>4</v>
      </c>
      <c r="C7" s="4"/>
      <c r="H7" s="3"/>
      <c r="I7" s="3"/>
      <c r="J7" s="3"/>
      <c r="K7" s="3"/>
      <c r="L7" s="3"/>
      <c r="M7" s="3"/>
      <c r="N7" s="3"/>
      <c r="O7" s="3"/>
      <c r="P7" s="3"/>
      <c r="Q7" s="3"/>
    </row>
    <row r="8" spans="1:17" ht="18" customHeight="1">
      <c r="B8" s="4"/>
      <c r="C8" s="4"/>
      <c r="H8" s="3"/>
      <c r="I8" s="3"/>
      <c r="J8" s="3"/>
      <c r="K8" s="3"/>
      <c r="L8" s="3"/>
      <c r="M8" s="3"/>
      <c r="N8" s="3"/>
      <c r="O8" s="3"/>
      <c r="P8" s="3"/>
      <c r="Q8" s="3"/>
    </row>
    <row r="9" spans="1:17" ht="18" customHeight="1" thickBot="1">
      <c r="A9" s="57" t="s">
        <v>28</v>
      </c>
    </row>
    <row r="10" spans="1:17" ht="17.25" customHeight="1">
      <c r="B10" s="496" t="s">
        <v>6</v>
      </c>
      <c r="C10" s="497"/>
      <c r="D10" s="497"/>
      <c r="E10" s="6">
        <v>4</v>
      </c>
      <c r="F10" s="7">
        <v>5</v>
      </c>
      <c r="G10" s="7">
        <v>6</v>
      </c>
      <c r="H10" s="7">
        <v>7</v>
      </c>
      <c r="I10" s="7">
        <v>8</v>
      </c>
      <c r="J10" s="7">
        <v>9</v>
      </c>
      <c r="K10" s="7">
        <v>10</v>
      </c>
      <c r="L10" s="7">
        <v>11</v>
      </c>
      <c r="M10" s="7">
        <v>12</v>
      </c>
      <c r="N10" s="7">
        <v>1</v>
      </c>
      <c r="O10" s="7">
        <v>2</v>
      </c>
      <c r="P10" s="8">
        <v>3</v>
      </c>
      <c r="Q10" s="500" t="s">
        <v>7</v>
      </c>
    </row>
    <row r="11" spans="1:17" ht="17.25" customHeight="1">
      <c r="B11" s="498"/>
      <c r="C11" s="499"/>
      <c r="D11" s="499"/>
      <c r="E11" s="502" t="s">
        <v>8</v>
      </c>
      <c r="F11" s="503"/>
      <c r="G11" s="503"/>
      <c r="H11" s="503"/>
      <c r="I11" s="503"/>
      <c r="J11" s="503"/>
      <c r="K11" s="503"/>
      <c r="L11" s="503"/>
      <c r="M11" s="503"/>
      <c r="N11" s="503"/>
      <c r="O11" s="503"/>
      <c r="P11" s="504"/>
      <c r="Q11" s="501"/>
    </row>
    <row r="12" spans="1:17" ht="17.25" customHeight="1">
      <c r="B12" s="480" t="s">
        <v>9</v>
      </c>
      <c r="C12" s="505"/>
      <c r="D12" s="9" t="s">
        <v>10</v>
      </c>
      <c r="E12" s="10"/>
      <c r="F12" s="11"/>
      <c r="G12" s="11"/>
      <c r="H12" s="11"/>
      <c r="I12" s="11"/>
      <c r="J12" s="11"/>
      <c r="K12" s="11"/>
      <c r="L12" s="11"/>
      <c r="M12" s="11"/>
      <c r="N12" s="11"/>
      <c r="O12" s="11"/>
      <c r="P12" s="12"/>
      <c r="Q12" s="13">
        <f>ROUND(SUM(E12:P12)/12,0)</f>
        <v>0</v>
      </c>
    </row>
    <row r="13" spans="1:17" ht="17.25" customHeight="1">
      <c r="B13" s="506"/>
      <c r="C13" s="507"/>
      <c r="D13" s="14" t="s">
        <v>11</v>
      </c>
      <c r="E13" s="15"/>
      <c r="F13" s="16" t="str">
        <f>IFERROR(F12/$E$12,"")</f>
        <v/>
      </c>
      <c r="G13" s="16" t="str">
        <f t="shared" ref="G13:P13" si="0">IFERROR(G12/$E$12,"")</f>
        <v/>
      </c>
      <c r="H13" s="16" t="str">
        <f t="shared" si="0"/>
        <v/>
      </c>
      <c r="I13" s="16" t="str">
        <f>IFERROR(I12/$E$12,"")</f>
        <v/>
      </c>
      <c r="J13" s="16" t="str">
        <f t="shared" si="0"/>
        <v/>
      </c>
      <c r="K13" s="16" t="str">
        <f t="shared" si="0"/>
        <v/>
      </c>
      <c r="L13" s="16" t="str">
        <f t="shared" si="0"/>
        <v/>
      </c>
      <c r="M13" s="16" t="str">
        <f t="shared" si="0"/>
        <v/>
      </c>
      <c r="N13" s="16" t="str">
        <f t="shared" si="0"/>
        <v/>
      </c>
      <c r="O13" s="16" t="str">
        <f t="shared" si="0"/>
        <v/>
      </c>
      <c r="P13" s="17" t="str">
        <f t="shared" si="0"/>
        <v/>
      </c>
      <c r="Q13" s="18" t="s">
        <v>12</v>
      </c>
    </row>
    <row r="14" spans="1:17" ht="17.25" customHeight="1">
      <c r="B14" s="508" t="s">
        <v>13</v>
      </c>
      <c r="C14" s="509"/>
      <c r="D14" s="9" t="s">
        <v>10</v>
      </c>
      <c r="E14" s="10"/>
      <c r="F14" s="11"/>
      <c r="G14" s="11"/>
      <c r="H14" s="11"/>
      <c r="I14" s="11"/>
      <c r="J14" s="11"/>
      <c r="K14" s="11"/>
      <c r="L14" s="11"/>
      <c r="M14" s="11"/>
      <c r="N14" s="11"/>
      <c r="O14" s="11"/>
      <c r="P14" s="12"/>
      <c r="Q14" s="13">
        <f>ROUND(SUM(E14:P14)/12,0)</f>
        <v>0</v>
      </c>
    </row>
    <row r="15" spans="1:17" ht="17.25" customHeight="1">
      <c r="B15" s="508"/>
      <c r="C15" s="509"/>
      <c r="D15" s="14" t="s">
        <v>11</v>
      </c>
      <c r="E15" s="15"/>
      <c r="F15" s="16" t="str">
        <f>IFERROR(F14/$E$14,"")</f>
        <v/>
      </c>
      <c r="G15" s="16" t="str">
        <f t="shared" ref="G15:P15" si="1">IFERROR(G14/$E$14,"")</f>
        <v/>
      </c>
      <c r="H15" s="16" t="str">
        <f t="shared" si="1"/>
        <v/>
      </c>
      <c r="I15" s="16" t="str">
        <f t="shared" si="1"/>
        <v/>
      </c>
      <c r="J15" s="16" t="str">
        <f t="shared" si="1"/>
        <v/>
      </c>
      <c r="K15" s="16" t="str">
        <f t="shared" si="1"/>
        <v/>
      </c>
      <c r="L15" s="16" t="str">
        <f t="shared" si="1"/>
        <v/>
      </c>
      <c r="M15" s="16" t="str">
        <f t="shared" si="1"/>
        <v/>
      </c>
      <c r="N15" s="16" t="str">
        <f t="shared" si="1"/>
        <v/>
      </c>
      <c r="O15" s="16" t="str">
        <f t="shared" si="1"/>
        <v/>
      </c>
      <c r="P15" s="17" t="str">
        <f t="shared" si="1"/>
        <v/>
      </c>
      <c r="Q15" s="18"/>
    </row>
    <row r="16" spans="1:17" ht="17.25" customHeight="1">
      <c r="B16" s="510"/>
      <c r="C16" s="512" t="s">
        <v>14</v>
      </c>
      <c r="D16" s="9" t="s">
        <v>10</v>
      </c>
      <c r="E16" s="10"/>
      <c r="F16" s="11"/>
      <c r="G16" s="11"/>
      <c r="H16" s="11"/>
      <c r="I16" s="11"/>
      <c r="J16" s="11"/>
      <c r="K16" s="11"/>
      <c r="L16" s="11"/>
      <c r="M16" s="11"/>
      <c r="N16" s="11"/>
      <c r="O16" s="11"/>
      <c r="P16" s="12"/>
      <c r="Q16" s="13">
        <f>ROUND(SUM(E16:P16)/12,0)</f>
        <v>0</v>
      </c>
    </row>
    <row r="17" spans="1:17" ht="17.25" customHeight="1">
      <c r="B17" s="511"/>
      <c r="C17" s="513"/>
      <c r="D17" s="14" t="s">
        <v>11</v>
      </c>
      <c r="E17" s="15"/>
      <c r="F17" s="16" t="str">
        <f>IFERROR(F16/$E$16,"")</f>
        <v/>
      </c>
      <c r="G17" s="16" t="str">
        <f t="shared" ref="G17:P17" si="2">IFERROR(G16/$E$16,"")</f>
        <v/>
      </c>
      <c r="H17" s="16" t="str">
        <f t="shared" si="2"/>
        <v/>
      </c>
      <c r="I17" s="16" t="str">
        <f t="shared" si="2"/>
        <v/>
      </c>
      <c r="J17" s="16" t="str">
        <f t="shared" si="2"/>
        <v/>
      </c>
      <c r="K17" s="16" t="str">
        <f t="shared" si="2"/>
        <v/>
      </c>
      <c r="L17" s="16" t="str">
        <f t="shared" si="2"/>
        <v/>
      </c>
      <c r="M17" s="16" t="str">
        <f t="shared" si="2"/>
        <v/>
      </c>
      <c r="N17" s="16" t="str">
        <f t="shared" si="2"/>
        <v/>
      </c>
      <c r="O17" s="16" t="str">
        <f t="shared" si="2"/>
        <v/>
      </c>
      <c r="P17" s="17" t="str">
        <f t="shared" si="2"/>
        <v/>
      </c>
      <c r="Q17" s="18"/>
    </row>
    <row r="18" spans="1:17" ht="17.25" customHeight="1">
      <c r="B18" s="480" t="s">
        <v>15</v>
      </c>
      <c r="C18" s="505"/>
      <c r="D18" s="9" t="s">
        <v>10</v>
      </c>
      <c r="E18" s="10"/>
      <c r="F18" s="11"/>
      <c r="G18" s="11"/>
      <c r="H18" s="11"/>
      <c r="I18" s="11"/>
      <c r="J18" s="11"/>
      <c r="K18" s="11"/>
      <c r="L18" s="11"/>
      <c r="M18" s="11"/>
      <c r="N18" s="11"/>
      <c r="O18" s="11"/>
      <c r="P18" s="12"/>
      <c r="Q18" s="13">
        <f>ROUND(SUM(E18:P18)/12,0)</f>
        <v>0</v>
      </c>
    </row>
    <row r="19" spans="1:17" ht="17.25" customHeight="1">
      <c r="B19" s="506"/>
      <c r="C19" s="514"/>
      <c r="D19" s="14" t="s">
        <v>11</v>
      </c>
      <c r="E19" s="15"/>
      <c r="F19" s="16" t="str">
        <f>IFERROR(F18/$E$18,"")</f>
        <v/>
      </c>
      <c r="G19" s="16" t="str">
        <f t="shared" ref="G19:P19" si="3">IFERROR(G18/$E$18,"")</f>
        <v/>
      </c>
      <c r="H19" s="16" t="str">
        <f t="shared" si="3"/>
        <v/>
      </c>
      <c r="I19" s="16" t="str">
        <f t="shared" si="3"/>
        <v/>
      </c>
      <c r="J19" s="16" t="str">
        <f t="shared" si="3"/>
        <v/>
      </c>
      <c r="K19" s="16" t="str">
        <f t="shared" si="3"/>
        <v/>
      </c>
      <c r="L19" s="16" t="str">
        <f t="shared" si="3"/>
        <v/>
      </c>
      <c r="M19" s="16" t="str">
        <f t="shared" si="3"/>
        <v/>
      </c>
      <c r="N19" s="16" t="str">
        <f t="shared" si="3"/>
        <v/>
      </c>
      <c r="O19" s="16" t="str">
        <f t="shared" si="3"/>
        <v/>
      </c>
      <c r="P19" s="17" t="str">
        <f t="shared" si="3"/>
        <v/>
      </c>
      <c r="Q19" s="18"/>
    </row>
    <row r="20" spans="1:17" ht="17.25" customHeight="1">
      <c r="B20" s="480" t="s">
        <v>16</v>
      </c>
      <c r="C20" s="481"/>
      <c r="D20" s="9" t="s">
        <v>10</v>
      </c>
      <c r="E20" s="10"/>
      <c r="F20" s="11"/>
      <c r="G20" s="11"/>
      <c r="H20" s="11"/>
      <c r="I20" s="11"/>
      <c r="J20" s="11"/>
      <c r="K20" s="11"/>
      <c r="L20" s="11"/>
      <c r="M20" s="11"/>
      <c r="N20" s="11"/>
      <c r="O20" s="11"/>
      <c r="P20" s="12"/>
      <c r="Q20" s="13">
        <f>ROUND(SUM(E20:P20)/12,0)</f>
        <v>0</v>
      </c>
    </row>
    <row r="21" spans="1:17" ht="17.25" customHeight="1" thickBot="1">
      <c r="B21" s="482"/>
      <c r="C21" s="483"/>
      <c r="D21" s="19" t="s">
        <v>11</v>
      </c>
      <c r="E21" s="20"/>
      <c r="F21" s="21" t="str">
        <f>IFERROR(F20/$E$20,"")</f>
        <v/>
      </c>
      <c r="G21" s="21" t="str">
        <f t="shared" ref="G21:P21" si="4">IFERROR(G20/$E$20,"")</f>
        <v/>
      </c>
      <c r="H21" s="21" t="str">
        <f t="shared" si="4"/>
        <v/>
      </c>
      <c r="I21" s="21" t="str">
        <f t="shared" si="4"/>
        <v/>
      </c>
      <c r="J21" s="21" t="str">
        <f t="shared" si="4"/>
        <v/>
      </c>
      <c r="K21" s="21" t="str">
        <f t="shared" si="4"/>
        <v/>
      </c>
      <c r="L21" s="21" t="str">
        <f t="shared" si="4"/>
        <v/>
      </c>
      <c r="M21" s="21" t="str">
        <f t="shared" si="4"/>
        <v/>
      </c>
      <c r="N21" s="21" t="str">
        <f t="shared" si="4"/>
        <v/>
      </c>
      <c r="O21" s="21" t="str">
        <f t="shared" si="4"/>
        <v/>
      </c>
      <c r="P21" s="22" t="str">
        <f t="shared" si="4"/>
        <v/>
      </c>
      <c r="Q21" s="23"/>
    </row>
    <row r="22" spans="1:17" ht="17.25" customHeight="1" thickTop="1" thickBot="1">
      <c r="B22" s="484" t="s">
        <v>17</v>
      </c>
      <c r="C22" s="485"/>
      <c r="D22" s="24"/>
      <c r="E22" s="25">
        <f>SUM(E12,E14,E18,E20)</f>
        <v>0</v>
      </c>
      <c r="F22" s="26"/>
      <c r="G22" s="26"/>
      <c r="H22" s="26"/>
      <c r="I22" s="26"/>
      <c r="J22" s="26"/>
      <c r="K22" s="26"/>
      <c r="L22" s="26"/>
      <c r="M22" s="26"/>
      <c r="N22" s="26"/>
      <c r="O22" s="26"/>
      <c r="P22" s="27"/>
      <c r="Q22" s="28">
        <f>SUM(Q12,Q14,Q18,Q20)</f>
        <v>0</v>
      </c>
    </row>
    <row r="23" spans="1:17" ht="17.25" customHeight="1">
      <c r="B23" s="3"/>
      <c r="C23" s="3"/>
      <c r="D23" s="3"/>
      <c r="F23" s="29"/>
      <c r="G23" s="29"/>
      <c r="H23" s="29"/>
      <c r="I23" s="29"/>
      <c r="J23" s="29"/>
      <c r="K23" s="29"/>
      <c r="L23" s="29"/>
      <c r="M23" s="29"/>
      <c r="N23" s="29"/>
      <c r="O23" s="29"/>
      <c r="P23" s="29"/>
    </row>
    <row r="24" spans="1:17" ht="17.25" customHeight="1">
      <c r="B24" s="3"/>
      <c r="C24" s="3"/>
      <c r="D24" s="3"/>
      <c r="F24" s="29"/>
      <c r="G24" s="29"/>
      <c r="H24" s="29"/>
      <c r="I24" s="29"/>
      <c r="J24" s="29"/>
      <c r="K24" s="29"/>
      <c r="L24" s="29"/>
      <c r="M24" s="29"/>
      <c r="N24" s="29"/>
      <c r="O24" s="29"/>
      <c r="P24" s="29"/>
    </row>
    <row r="25" spans="1:17" ht="17.25" customHeight="1" thickBot="1">
      <c r="A25" s="57" t="s">
        <v>29</v>
      </c>
      <c r="E25" s="30"/>
    </row>
    <row r="26" spans="1:17" ht="17.25" customHeight="1">
      <c r="B26" s="486" t="s">
        <v>19</v>
      </c>
      <c r="C26" s="487"/>
      <c r="D26" s="488"/>
      <c r="E26" s="31">
        <v>4</v>
      </c>
      <c r="F26" s="32">
        <v>5</v>
      </c>
      <c r="G26" s="7">
        <v>6</v>
      </c>
      <c r="H26" s="33">
        <v>7</v>
      </c>
      <c r="I26" s="7">
        <v>8</v>
      </c>
      <c r="J26" s="7">
        <v>9</v>
      </c>
      <c r="K26" s="33">
        <v>10</v>
      </c>
      <c r="L26" s="7">
        <v>11</v>
      </c>
      <c r="M26" s="7">
        <v>12</v>
      </c>
      <c r="N26" s="7">
        <v>1</v>
      </c>
      <c r="O26" s="7">
        <v>2</v>
      </c>
      <c r="P26" s="8">
        <v>3</v>
      </c>
      <c r="Q26" s="515" t="s">
        <v>7</v>
      </c>
    </row>
    <row r="27" spans="1:17" ht="17.25" customHeight="1">
      <c r="B27" s="489"/>
      <c r="C27" s="490"/>
      <c r="D27" s="491"/>
      <c r="E27" s="34" t="s">
        <v>8</v>
      </c>
      <c r="F27" s="517" t="s">
        <v>20</v>
      </c>
      <c r="G27" s="517"/>
      <c r="H27" s="517"/>
      <c r="I27" s="517"/>
      <c r="J27" s="517"/>
      <c r="K27" s="517"/>
      <c r="L27" s="517"/>
      <c r="M27" s="517"/>
      <c r="N27" s="517"/>
      <c r="O27" s="517"/>
      <c r="P27" s="518"/>
      <c r="Q27" s="516"/>
    </row>
    <row r="28" spans="1:17" ht="17.25" customHeight="1">
      <c r="B28" s="519" t="s">
        <v>9</v>
      </c>
      <c r="C28" s="520"/>
      <c r="D28" s="35" t="s">
        <v>10</v>
      </c>
      <c r="E28" s="36"/>
      <c r="F28" s="37" t="str">
        <f>IFERROR($E$28*F13,"")</f>
        <v/>
      </c>
      <c r="G28" s="38" t="str">
        <f t="shared" ref="G28:P28" si="5">IFERROR($E$28*G13,"")</f>
        <v/>
      </c>
      <c r="H28" s="38" t="str">
        <f t="shared" si="5"/>
        <v/>
      </c>
      <c r="I28" s="38" t="str">
        <f t="shared" si="5"/>
        <v/>
      </c>
      <c r="J28" s="38" t="str">
        <f t="shared" si="5"/>
        <v/>
      </c>
      <c r="K28" s="38" t="str">
        <f t="shared" si="5"/>
        <v/>
      </c>
      <c r="L28" s="38" t="str">
        <f t="shared" si="5"/>
        <v/>
      </c>
      <c r="M28" s="38" t="str">
        <f t="shared" si="5"/>
        <v/>
      </c>
      <c r="N28" s="38" t="str">
        <f t="shared" si="5"/>
        <v/>
      </c>
      <c r="O28" s="38" t="str">
        <f t="shared" si="5"/>
        <v/>
      </c>
      <c r="P28" s="39" t="str">
        <f t="shared" si="5"/>
        <v/>
      </c>
      <c r="Q28" s="40">
        <f>ROUND(SUM(E28:P28)/12,0)</f>
        <v>0</v>
      </c>
    </row>
    <row r="29" spans="1:17" ht="17.25" customHeight="1">
      <c r="B29" s="508" t="s">
        <v>13</v>
      </c>
      <c r="C29" s="509"/>
      <c r="D29" s="41" t="s">
        <v>10</v>
      </c>
      <c r="E29" s="36"/>
      <c r="F29" s="37" t="str">
        <f>IFERROR($E$29*F15,"")</f>
        <v/>
      </c>
      <c r="G29" s="38" t="str">
        <f t="shared" ref="G29:P29" si="6">IFERROR($E$29*G15,"")</f>
        <v/>
      </c>
      <c r="H29" s="38" t="str">
        <f t="shared" si="6"/>
        <v/>
      </c>
      <c r="I29" s="38" t="str">
        <f t="shared" si="6"/>
        <v/>
      </c>
      <c r="J29" s="38" t="str">
        <f t="shared" si="6"/>
        <v/>
      </c>
      <c r="K29" s="38" t="str">
        <f t="shared" si="6"/>
        <v/>
      </c>
      <c r="L29" s="38" t="str">
        <f t="shared" si="6"/>
        <v/>
      </c>
      <c r="M29" s="38" t="str">
        <f t="shared" si="6"/>
        <v/>
      </c>
      <c r="N29" s="38" t="str">
        <f t="shared" si="6"/>
        <v/>
      </c>
      <c r="O29" s="38" t="str">
        <f t="shared" si="6"/>
        <v/>
      </c>
      <c r="P29" s="39" t="str">
        <f t="shared" si="6"/>
        <v/>
      </c>
      <c r="Q29" s="40">
        <f>ROUND(SUM(E29:P29)/12,0)</f>
        <v>0</v>
      </c>
    </row>
    <row r="30" spans="1:17" ht="25.5" customHeight="1">
      <c r="B30" s="42"/>
      <c r="C30" s="43" t="s">
        <v>21</v>
      </c>
      <c r="D30" s="35" t="s">
        <v>10</v>
      </c>
      <c r="E30" s="36"/>
      <c r="F30" s="37" t="str">
        <f>IFERROR($E$30*F17,"")</f>
        <v/>
      </c>
      <c r="G30" s="38" t="str">
        <f t="shared" ref="G30:P30" si="7">IFERROR($E$30*G17,"")</f>
        <v/>
      </c>
      <c r="H30" s="38" t="str">
        <f t="shared" si="7"/>
        <v/>
      </c>
      <c r="I30" s="38" t="str">
        <f t="shared" si="7"/>
        <v/>
      </c>
      <c r="J30" s="38" t="str">
        <f t="shared" si="7"/>
        <v/>
      </c>
      <c r="K30" s="38" t="str">
        <f t="shared" si="7"/>
        <v/>
      </c>
      <c r="L30" s="38" t="str">
        <f t="shared" si="7"/>
        <v/>
      </c>
      <c r="M30" s="38" t="str">
        <f t="shared" si="7"/>
        <v/>
      </c>
      <c r="N30" s="38" t="str">
        <f t="shared" si="7"/>
        <v/>
      </c>
      <c r="O30" s="38" t="str">
        <f t="shared" si="7"/>
        <v/>
      </c>
      <c r="P30" s="39" t="str">
        <f t="shared" si="7"/>
        <v/>
      </c>
      <c r="Q30" s="40">
        <f>ROUND(SUM(E30:P30)/12,0)</f>
        <v>0</v>
      </c>
    </row>
    <row r="31" spans="1:17" ht="17.25" customHeight="1">
      <c r="B31" s="519" t="s">
        <v>15</v>
      </c>
      <c r="C31" s="520"/>
      <c r="D31" s="35" t="s">
        <v>10</v>
      </c>
      <c r="E31" s="36"/>
      <c r="F31" s="37" t="str">
        <f t="shared" ref="F31:P31" si="8">IFERROR($E$31*F19,"")</f>
        <v/>
      </c>
      <c r="G31" s="38" t="str">
        <f t="shared" si="8"/>
        <v/>
      </c>
      <c r="H31" s="38" t="str">
        <f t="shared" si="8"/>
        <v/>
      </c>
      <c r="I31" s="38" t="str">
        <f t="shared" si="8"/>
        <v/>
      </c>
      <c r="J31" s="38" t="str">
        <f t="shared" si="8"/>
        <v/>
      </c>
      <c r="K31" s="38" t="str">
        <f t="shared" si="8"/>
        <v/>
      </c>
      <c r="L31" s="38" t="str">
        <f t="shared" si="8"/>
        <v/>
      </c>
      <c r="M31" s="38" t="str">
        <f t="shared" si="8"/>
        <v/>
      </c>
      <c r="N31" s="38" t="str">
        <f t="shared" si="8"/>
        <v/>
      </c>
      <c r="O31" s="38" t="str">
        <f t="shared" si="8"/>
        <v/>
      </c>
      <c r="P31" s="39" t="str">
        <f t="shared" si="8"/>
        <v/>
      </c>
      <c r="Q31" s="40">
        <f>ROUND(SUM(E31:P31)/12,0)</f>
        <v>0</v>
      </c>
    </row>
    <row r="32" spans="1:17" ht="17.25" customHeight="1" thickBot="1">
      <c r="B32" s="524" t="s">
        <v>16</v>
      </c>
      <c r="C32" s="525"/>
      <c r="D32" s="44" t="s">
        <v>10</v>
      </c>
      <c r="E32" s="45"/>
      <c r="F32" s="46" t="str">
        <f>IFERROR($E$32*F21,"")</f>
        <v/>
      </c>
      <c r="G32" s="47" t="str">
        <f t="shared" ref="G32:P32" si="9">IFERROR($E$32*G21,"")</f>
        <v/>
      </c>
      <c r="H32" s="47" t="str">
        <f t="shared" si="9"/>
        <v/>
      </c>
      <c r="I32" s="47" t="str">
        <f t="shared" si="9"/>
        <v/>
      </c>
      <c r="J32" s="47" t="str">
        <f t="shared" si="9"/>
        <v/>
      </c>
      <c r="K32" s="47" t="str">
        <f t="shared" si="9"/>
        <v/>
      </c>
      <c r="L32" s="47" t="str">
        <f t="shared" si="9"/>
        <v/>
      </c>
      <c r="M32" s="47" t="str">
        <f t="shared" si="9"/>
        <v/>
      </c>
      <c r="N32" s="47" t="str">
        <f t="shared" si="9"/>
        <v/>
      </c>
      <c r="O32" s="47" t="str">
        <f t="shared" si="9"/>
        <v/>
      </c>
      <c r="P32" s="48" t="str">
        <f t="shared" si="9"/>
        <v/>
      </c>
      <c r="Q32" s="49">
        <f>ROUND(SUM(E32:P32)/12,0)</f>
        <v>0</v>
      </c>
    </row>
    <row r="33" spans="1:17" ht="17.25" customHeight="1" thickTop="1" thickBot="1">
      <c r="B33" s="526" t="s">
        <v>17</v>
      </c>
      <c r="C33" s="527"/>
      <c r="D33" s="50"/>
      <c r="E33" s="51">
        <f>SUM(E28,E29,E31,E32)</f>
        <v>0</v>
      </c>
      <c r="F33" s="52"/>
      <c r="G33" s="53"/>
      <c r="H33" s="53"/>
      <c r="I33" s="53"/>
      <c r="J33" s="53"/>
      <c r="K33" s="53"/>
      <c r="L33" s="53"/>
      <c r="M33" s="53"/>
      <c r="N33" s="53"/>
      <c r="O33" s="53"/>
      <c r="P33" s="54"/>
      <c r="Q33" s="55">
        <f>SUM(Q28,Q29,Q31,Q32)</f>
        <v>0</v>
      </c>
    </row>
    <row r="34" spans="1:17" ht="17.25" customHeight="1">
      <c r="B34" s="56" t="s">
        <v>22</v>
      </c>
    </row>
    <row r="35" spans="1:17" ht="17.25" customHeight="1"/>
    <row r="36" spans="1:17" ht="17.25" customHeight="1"/>
    <row r="37" spans="1:17" ht="17.25" customHeight="1"/>
    <row r="38" spans="1:17" ht="17.25" customHeight="1"/>
    <row r="39" spans="1:17" ht="17.25" customHeight="1" thickBot="1">
      <c r="A39" s="57" t="s">
        <v>23</v>
      </c>
      <c r="E39" s="30"/>
    </row>
    <row r="40" spans="1:17" ht="17.25" customHeight="1">
      <c r="B40" s="528" t="str">
        <f>B26</f>
        <v>６年度</v>
      </c>
      <c r="C40" s="529"/>
      <c r="D40" s="530"/>
      <c r="E40" s="58">
        <v>4</v>
      </c>
      <c r="F40" s="6">
        <v>5</v>
      </c>
      <c r="G40" s="7">
        <v>6</v>
      </c>
      <c r="H40" s="33">
        <v>7</v>
      </c>
      <c r="I40" s="7">
        <v>8</v>
      </c>
      <c r="J40" s="7">
        <v>9</v>
      </c>
      <c r="K40" s="33">
        <v>10</v>
      </c>
      <c r="L40" s="7">
        <v>11</v>
      </c>
      <c r="M40" s="7">
        <v>12</v>
      </c>
      <c r="N40" s="7">
        <v>1</v>
      </c>
      <c r="O40" s="7">
        <v>2</v>
      </c>
      <c r="P40" s="8">
        <v>3</v>
      </c>
      <c r="Q40" s="515" t="s">
        <v>7</v>
      </c>
    </row>
    <row r="41" spans="1:17" ht="17.25" customHeight="1">
      <c r="B41" s="531"/>
      <c r="C41" s="532"/>
      <c r="D41" s="533"/>
      <c r="E41" s="59" t="s">
        <v>8</v>
      </c>
      <c r="F41" s="534" t="s">
        <v>24</v>
      </c>
      <c r="G41" s="517"/>
      <c r="H41" s="517"/>
      <c r="I41" s="517"/>
      <c r="J41" s="517"/>
      <c r="K41" s="517"/>
      <c r="L41" s="517"/>
      <c r="M41" s="517"/>
      <c r="N41" s="517"/>
      <c r="O41" s="517"/>
      <c r="P41" s="518"/>
      <c r="Q41" s="516"/>
    </row>
    <row r="42" spans="1:17" ht="17.25" customHeight="1">
      <c r="B42" s="519" t="s">
        <v>9</v>
      </c>
      <c r="C42" s="520"/>
      <c r="D42" s="60" t="s">
        <v>10</v>
      </c>
      <c r="E42" s="61">
        <f>E28</f>
        <v>0</v>
      </c>
      <c r="F42" s="62"/>
      <c r="G42" s="63"/>
      <c r="H42" s="63"/>
      <c r="I42" s="63"/>
      <c r="J42" s="63"/>
      <c r="K42" s="63"/>
      <c r="L42" s="63"/>
      <c r="M42" s="63"/>
      <c r="N42" s="63"/>
      <c r="O42" s="63"/>
      <c r="P42" s="64"/>
      <c r="Q42" s="40">
        <f>ROUND(SUM(E42:P42)/12,0)</f>
        <v>0</v>
      </c>
    </row>
    <row r="43" spans="1:17" ht="17.25" customHeight="1">
      <c r="B43" s="508" t="s">
        <v>13</v>
      </c>
      <c r="C43" s="509"/>
      <c r="D43" s="60" t="s">
        <v>10</v>
      </c>
      <c r="E43" s="61">
        <f>E29</f>
        <v>0</v>
      </c>
      <c r="F43" s="62"/>
      <c r="G43" s="63"/>
      <c r="H43" s="63"/>
      <c r="I43" s="63"/>
      <c r="J43" s="63"/>
      <c r="K43" s="63"/>
      <c r="L43" s="63"/>
      <c r="M43" s="63"/>
      <c r="N43" s="63"/>
      <c r="O43" s="63"/>
      <c r="P43" s="64"/>
      <c r="Q43" s="40">
        <f>ROUND(SUM(E43:P43)/12,0)</f>
        <v>0</v>
      </c>
    </row>
    <row r="44" spans="1:17" ht="25.5" customHeight="1">
      <c r="B44" s="42"/>
      <c r="C44" s="43" t="s">
        <v>21</v>
      </c>
      <c r="D44" s="60" t="s">
        <v>10</v>
      </c>
      <c r="E44" s="61">
        <f>E30</f>
        <v>0</v>
      </c>
      <c r="F44" s="62"/>
      <c r="G44" s="63"/>
      <c r="H44" s="63"/>
      <c r="I44" s="63"/>
      <c r="J44" s="63"/>
      <c r="K44" s="63"/>
      <c r="L44" s="63"/>
      <c r="M44" s="63"/>
      <c r="N44" s="63"/>
      <c r="O44" s="63"/>
      <c r="P44" s="64"/>
      <c r="Q44" s="40">
        <f>ROUND(SUM(E44:P44)/12,0)</f>
        <v>0</v>
      </c>
    </row>
    <row r="45" spans="1:17" ht="17.25" customHeight="1">
      <c r="B45" s="519" t="s">
        <v>15</v>
      </c>
      <c r="C45" s="520"/>
      <c r="D45" s="60" t="s">
        <v>10</v>
      </c>
      <c r="E45" s="61">
        <f>E31</f>
        <v>0</v>
      </c>
      <c r="F45" s="62"/>
      <c r="G45" s="63"/>
      <c r="H45" s="63"/>
      <c r="I45" s="63"/>
      <c r="J45" s="63"/>
      <c r="K45" s="63"/>
      <c r="L45" s="63"/>
      <c r="M45" s="63"/>
      <c r="N45" s="63"/>
      <c r="O45" s="63"/>
      <c r="P45" s="64"/>
      <c r="Q45" s="40">
        <f>ROUND(SUM(E45:P45)/12,0)</f>
        <v>0</v>
      </c>
    </row>
    <row r="46" spans="1:17" ht="17.25" customHeight="1" thickBot="1">
      <c r="B46" s="524" t="s">
        <v>16</v>
      </c>
      <c r="C46" s="525"/>
      <c r="D46" s="65" t="s">
        <v>10</v>
      </c>
      <c r="E46" s="66">
        <f>E32</f>
        <v>0</v>
      </c>
      <c r="F46" s="67"/>
      <c r="G46" s="68"/>
      <c r="H46" s="68"/>
      <c r="I46" s="68"/>
      <c r="J46" s="68"/>
      <c r="K46" s="68"/>
      <c r="L46" s="68"/>
      <c r="M46" s="68"/>
      <c r="N46" s="68"/>
      <c r="O46" s="68"/>
      <c r="P46" s="69"/>
      <c r="Q46" s="49">
        <f>ROUND(SUM(E46:P46)/12,0)</f>
        <v>0</v>
      </c>
    </row>
    <row r="47" spans="1:17" ht="17.25" customHeight="1" thickTop="1" thickBot="1">
      <c r="B47" s="484" t="s">
        <v>17</v>
      </c>
      <c r="C47" s="485"/>
      <c r="D47" s="70"/>
      <c r="E47" s="71">
        <f>SUM(E42,E43,E45,E46)</f>
        <v>0</v>
      </c>
      <c r="F47" s="72"/>
      <c r="G47" s="26"/>
      <c r="H47" s="26"/>
      <c r="I47" s="26"/>
      <c r="J47" s="26"/>
      <c r="K47" s="26"/>
      <c r="L47" s="26"/>
      <c r="M47" s="26"/>
      <c r="N47" s="26"/>
      <c r="O47" s="26"/>
      <c r="P47" s="27"/>
      <c r="Q47" s="55">
        <f>SUM(Q42,Q43,Q45,Q46)</f>
        <v>0</v>
      </c>
    </row>
    <row r="48" spans="1:17" ht="17.25" customHeight="1">
      <c r="B48" s="56" t="s">
        <v>22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25</v>
      </c>
      <c r="C50" s="75"/>
    </row>
    <row r="51" spans="2:17" ht="94.5" customHeight="1" thickBot="1">
      <c r="B51" s="521" t="s">
        <v>26</v>
      </c>
      <c r="C51" s="522"/>
      <c r="D51" s="522"/>
      <c r="E51" s="522"/>
      <c r="F51" s="522"/>
      <c r="G51" s="522"/>
      <c r="H51" s="522"/>
      <c r="I51" s="522"/>
      <c r="J51" s="522"/>
      <c r="K51" s="522"/>
      <c r="L51" s="522"/>
      <c r="M51" s="522"/>
      <c r="N51" s="522"/>
      <c r="O51" s="522"/>
      <c r="P51" s="522"/>
      <c r="Q51" s="523"/>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6sFlvZupyHzxeHGBn8U/pGBYieGfEGVaNQ61bWKsXXnjiaFxFRsK89NXwGjfiQBgTV7Ry5xSt1d5m9PC5uuqTA==" saltValue="+HMWv2L4jXDvcCXXxldX2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3"/>
  <pageMargins left="0.61" right="0.2" top="0.55118110236220474" bottom="0.19685039370078741" header="0.31496062992125984" footer="0.19685039370078741"/>
  <pageSetup paperSize="9" scale="85" orientation="portrait"/>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BAB46-3894-453B-AD2A-BD3DE0664095}">
  <sheetPr>
    <tabColor rgb="FF92D050"/>
  </sheetPr>
  <dimension ref="A1:L137"/>
  <sheetViews>
    <sheetView view="pageBreakPreview" zoomScale="80" zoomScaleNormal="80" zoomScaleSheetLayoutView="80" workbookViewId="0"/>
  </sheetViews>
  <sheetFormatPr defaultColWidth="9" defaultRowHeight="18.75"/>
  <cols>
    <col min="1" max="1" width="2.875" style="83" customWidth="1"/>
    <col min="2" max="2" width="3" style="80" customWidth="1"/>
    <col min="3" max="3" width="14.75" style="80" customWidth="1"/>
    <col min="4" max="4" width="28.25" style="80" customWidth="1"/>
    <col min="5" max="5" width="10" style="82" customWidth="1"/>
    <col min="6" max="6" width="13.125" style="82" customWidth="1"/>
    <col min="7" max="7" width="6.5" style="82" hidden="1" customWidth="1"/>
    <col min="8" max="8" width="13.125" style="82" customWidth="1"/>
    <col min="9" max="9" width="8.125" style="337" customWidth="1"/>
    <col min="10" max="10" width="5.25" style="83" bestFit="1" customWidth="1"/>
    <col min="11" max="11" width="6.5" style="83" hidden="1" customWidth="1"/>
    <col min="12" max="12" width="13.125" style="83" customWidth="1"/>
    <col min="13" max="16384" width="9" style="83"/>
  </cols>
  <sheetData>
    <row r="1" spans="1:12" s="78" customFormat="1" ht="31.5" customHeight="1" thickBot="1">
      <c r="A1" s="213" t="s">
        <v>95</v>
      </c>
      <c r="B1" s="214"/>
      <c r="C1" s="214"/>
      <c r="D1" s="214"/>
      <c r="E1" s="215"/>
      <c r="F1" s="215"/>
      <c r="G1" s="215"/>
      <c r="H1" s="215"/>
      <c r="I1" s="216"/>
      <c r="J1" s="217"/>
      <c r="K1" s="217"/>
      <c r="L1" s="217"/>
    </row>
    <row r="2" spans="1:12" ht="19.5" customHeight="1" thickBot="1">
      <c r="A2" s="218"/>
      <c r="B2" s="563" t="s">
        <v>1</v>
      </c>
      <c r="C2" s="564"/>
      <c r="D2" s="565"/>
      <c r="E2" s="566"/>
      <c r="F2" s="566"/>
      <c r="G2" s="566"/>
      <c r="H2" s="567"/>
      <c r="I2" s="216"/>
      <c r="J2" s="219"/>
      <c r="K2" s="219"/>
      <c r="L2" s="219"/>
    </row>
    <row r="3" spans="1:12" ht="19.5" customHeight="1">
      <c r="A3" s="218"/>
      <c r="B3" s="218"/>
      <c r="C3" s="96"/>
      <c r="D3" s="96"/>
      <c r="E3" s="96"/>
      <c r="F3" s="96"/>
      <c r="G3" s="96"/>
      <c r="H3" s="220"/>
      <c r="I3" s="216"/>
      <c r="J3" s="219"/>
      <c r="K3" s="219"/>
      <c r="L3" s="219"/>
    </row>
    <row r="4" spans="1:12" ht="19.5" customHeight="1" thickBot="1">
      <c r="A4" s="221" t="s">
        <v>31</v>
      </c>
      <c r="B4" s="218"/>
      <c r="C4" s="218"/>
      <c r="D4" s="218"/>
      <c r="E4" s="96"/>
      <c r="F4" s="96"/>
      <c r="G4" s="96"/>
      <c r="H4" s="220"/>
      <c r="I4" s="216"/>
      <c r="J4" s="219"/>
      <c r="K4" s="219"/>
      <c r="L4" s="219"/>
    </row>
    <row r="5" spans="1:12" ht="33" customHeight="1" thickBot="1">
      <c r="A5" s="221"/>
      <c r="B5" s="568"/>
      <c r="C5" s="569"/>
      <c r="D5" s="569"/>
      <c r="E5" s="222" t="s">
        <v>44</v>
      </c>
      <c r="F5" s="223" t="s">
        <v>96</v>
      </c>
      <c r="G5" s="96"/>
      <c r="H5" s="223" t="s">
        <v>96</v>
      </c>
      <c r="I5" s="216"/>
      <c r="J5" s="219"/>
      <c r="K5" s="219"/>
      <c r="L5" s="219"/>
    </row>
    <row r="6" spans="1:12" ht="37.5" customHeight="1" thickBot="1">
      <c r="A6" s="221"/>
      <c r="B6" s="570" t="s">
        <v>34</v>
      </c>
      <c r="C6" s="562"/>
      <c r="D6" s="562"/>
      <c r="E6" s="224"/>
      <c r="F6" s="223" t="s">
        <v>35</v>
      </c>
      <c r="G6" s="96"/>
      <c r="H6" s="90" t="str">
        <f>IF(E6="あり","分園分を記入","入力不要")</f>
        <v>入力不要</v>
      </c>
      <c r="I6" s="216"/>
      <c r="J6" s="219"/>
      <c r="K6" s="219"/>
      <c r="L6" s="219"/>
    </row>
    <row r="7" spans="1:12" ht="19.5" customHeight="1" thickBot="1">
      <c r="A7" s="221"/>
      <c r="B7" s="570" t="s">
        <v>36</v>
      </c>
      <c r="C7" s="562"/>
      <c r="D7" s="562"/>
      <c r="E7" s="562"/>
      <c r="F7" s="225">
        <f>F8+F9</f>
        <v>0</v>
      </c>
      <c r="G7" s="96"/>
      <c r="H7" s="225">
        <f>H8+H9</f>
        <v>0</v>
      </c>
      <c r="I7" s="216"/>
      <c r="J7" s="219"/>
      <c r="K7" s="219"/>
      <c r="L7" s="219"/>
    </row>
    <row r="8" spans="1:12" ht="19.5" customHeight="1" thickBot="1">
      <c r="A8" s="221"/>
      <c r="B8" s="226"/>
      <c r="C8" s="562" t="s">
        <v>97</v>
      </c>
      <c r="D8" s="562"/>
      <c r="E8" s="562"/>
      <c r="F8" s="91"/>
      <c r="G8" s="81"/>
      <c r="H8" s="91"/>
      <c r="I8" s="216"/>
      <c r="J8" s="219"/>
      <c r="K8" s="219"/>
      <c r="L8" s="219"/>
    </row>
    <row r="9" spans="1:12" ht="19.5" customHeight="1" thickBot="1">
      <c r="A9" s="221"/>
      <c r="B9" s="226"/>
      <c r="C9" s="562" t="s">
        <v>98</v>
      </c>
      <c r="D9" s="562"/>
      <c r="E9" s="562"/>
      <c r="F9" s="91"/>
      <c r="G9" s="81"/>
      <c r="H9" s="91"/>
      <c r="I9" s="216"/>
      <c r="J9" s="219"/>
      <c r="K9" s="219"/>
      <c r="L9" s="219"/>
    </row>
    <row r="10" spans="1:12" ht="19.5" customHeight="1">
      <c r="A10" s="221"/>
      <c r="B10" s="572" t="s">
        <v>37</v>
      </c>
      <c r="C10" s="573"/>
      <c r="D10" s="573"/>
      <c r="E10" s="573"/>
      <c r="F10" s="227">
        <f>F11+F15</f>
        <v>0</v>
      </c>
      <c r="G10" s="96"/>
      <c r="H10" s="227">
        <f>H11+H15</f>
        <v>0</v>
      </c>
      <c r="I10" s="216"/>
      <c r="J10" s="219"/>
      <c r="K10" s="219"/>
      <c r="L10" s="219"/>
    </row>
    <row r="11" spans="1:12" ht="19.5" customHeight="1" thickBot="1">
      <c r="A11" s="221"/>
      <c r="B11" s="228"/>
      <c r="C11" s="229" t="s">
        <v>97</v>
      </c>
      <c r="D11" s="229"/>
      <c r="E11" s="229"/>
      <c r="F11" s="230">
        <f>F12+F13</f>
        <v>0</v>
      </c>
      <c r="G11" s="96"/>
      <c r="H11" s="230">
        <f>H12+H13</f>
        <v>0</v>
      </c>
      <c r="I11" s="216"/>
      <c r="J11" s="219"/>
      <c r="K11" s="219"/>
      <c r="L11" s="219"/>
    </row>
    <row r="12" spans="1:12" ht="19.5" customHeight="1">
      <c r="A12" s="221"/>
      <c r="B12" s="228"/>
      <c r="C12" s="574" t="s">
        <v>99</v>
      </c>
      <c r="D12" s="575"/>
      <c r="E12" s="231"/>
      <c r="F12" s="95">
        <f>'【認こ】（1号）児童数'!Q28</f>
        <v>0</v>
      </c>
      <c r="G12" s="459"/>
      <c r="H12" s="232">
        <v>0</v>
      </c>
      <c r="I12" s="216"/>
      <c r="J12" s="219"/>
      <c r="K12" s="219"/>
      <c r="L12" s="219"/>
    </row>
    <row r="13" spans="1:12" ht="19.5" customHeight="1">
      <c r="A13" s="221"/>
      <c r="B13" s="228"/>
      <c r="C13" s="574" t="s">
        <v>100</v>
      </c>
      <c r="D13" s="575"/>
      <c r="E13" s="231"/>
      <c r="F13" s="97">
        <f>'【認こ】（1号）児童数'!Q29</f>
        <v>0</v>
      </c>
      <c r="G13" s="459"/>
      <c r="H13" s="233">
        <v>0</v>
      </c>
      <c r="I13" s="216"/>
      <c r="J13" s="219"/>
      <c r="K13" s="219"/>
      <c r="L13" s="219"/>
    </row>
    <row r="14" spans="1:12" ht="19.5" customHeight="1" thickBot="1">
      <c r="A14" s="221"/>
      <c r="B14" s="228"/>
      <c r="C14" s="234" t="s">
        <v>101</v>
      </c>
      <c r="D14" s="235"/>
      <c r="E14" s="231"/>
      <c r="F14" s="97">
        <f>'【認こ】（1号）児童数'!Q30</f>
        <v>0</v>
      </c>
      <c r="G14" s="459"/>
      <c r="H14" s="233">
        <v>0</v>
      </c>
      <c r="I14" s="216"/>
      <c r="J14" s="219"/>
      <c r="K14" s="219"/>
      <c r="L14" s="219"/>
    </row>
    <row r="15" spans="1:12" ht="19.5" customHeight="1" thickBot="1">
      <c r="A15" s="221"/>
      <c r="B15" s="228"/>
      <c r="C15" s="229" t="s">
        <v>98</v>
      </c>
      <c r="D15" s="229"/>
      <c r="E15" s="229"/>
      <c r="F15" s="236">
        <f>F16+F17+F19+F20</f>
        <v>0</v>
      </c>
      <c r="G15" s="96"/>
      <c r="H15" s="236">
        <f>H16+H17+H19+H20</f>
        <v>0</v>
      </c>
      <c r="I15" s="216"/>
      <c r="J15" s="219"/>
      <c r="K15" s="219"/>
      <c r="L15" s="219"/>
    </row>
    <row r="16" spans="1:12" ht="19.5" customHeight="1">
      <c r="A16" s="221"/>
      <c r="B16" s="228"/>
      <c r="C16" s="576" t="s">
        <v>99</v>
      </c>
      <c r="D16" s="574"/>
      <c r="E16" s="231"/>
      <c r="F16" s="95">
        <f>'【認こ】（2・3号）児童数'!Q28</f>
        <v>0</v>
      </c>
      <c r="G16" s="96"/>
      <c r="H16" s="95">
        <f>'【認こ】（2・3号）児童数 (分園) '!Q28</f>
        <v>0</v>
      </c>
      <c r="I16" s="216"/>
      <c r="J16" s="219"/>
      <c r="K16" s="219"/>
      <c r="L16" s="219"/>
    </row>
    <row r="17" spans="1:12" ht="19.5" customHeight="1">
      <c r="A17" s="221"/>
      <c r="B17" s="228"/>
      <c r="C17" s="576" t="s">
        <v>100</v>
      </c>
      <c r="D17" s="574"/>
      <c r="E17" s="231"/>
      <c r="F17" s="97">
        <f>'【認こ】（2・3号）児童数'!Q29</f>
        <v>0</v>
      </c>
      <c r="G17" s="96"/>
      <c r="H17" s="97">
        <f>'【認こ】（2・3号）児童数 (分園) '!Q29</f>
        <v>0</v>
      </c>
      <c r="I17" s="216"/>
      <c r="J17" s="219"/>
      <c r="K17" s="219"/>
      <c r="L17" s="219"/>
    </row>
    <row r="18" spans="1:12" ht="19.5" customHeight="1">
      <c r="A18" s="221"/>
      <c r="B18" s="228"/>
      <c r="C18" s="234" t="s">
        <v>101</v>
      </c>
      <c r="D18" s="235"/>
      <c r="E18" s="231"/>
      <c r="F18" s="97">
        <f>'【認こ】（2・3号）児童数'!Q30</f>
        <v>0</v>
      </c>
      <c r="G18" s="96"/>
      <c r="H18" s="97">
        <f>'【認こ】（2・3号）児童数 (分園) '!Q30</f>
        <v>0</v>
      </c>
      <c r="I18" s="216"/>
      <c r="J18" s="219"/>
      <c r="K18" s="219"/>
      <c r="L18" s="219"/>
    </row>
    <row r="19" spans="1:12" ht="19.5" customHeight="1">
      <c r="A19" s="221"/>
      <c r="B19" s="228"/>
      <c r="C19" s="574" t="s">
        <v>102</v>
      </c>
      <c r="D19" s="575"/>
      <c r="E19" s="231"/>
      <c r="F19" s="97">
        <f>'【認こ】（2・3号）児童数'!Q31</f>
        <v>0</v>
      </c>
      <c r="G19" s="96"/>
      <c r="H19" s="97">
        <f>'【認こ】（2・3号）児童数 (分園) '!Q31</f>
        <v>0</v>
      </c>
      <c r="I19" s="216"/>
      <c r="J19" s="219"/>
      <c r="K19" s="219"/>
      <c r="L19" s="219"/>
    </row>
    <row r="20" spans="1:12" ht="19.5" customHeight="1" thickBot="1">
      <c r="A20" s="218"/>
      <c r="B20" s="237"/>
      <c r="C20" s="577" t="s">
        <v>103</v>
      </c>
      <c r="D20" s="578"/>
      <c r="E20" s="238"/>
      <c r="F20" s="100">
        <f>'【認こ】（2・3号）児童数'!Q32</f>
        <v>0</v>
      </c>
      <c r="G20" s="96"/>
      <c r="H20" s="100">
        <f>'【認こ】（2・3号）児童数 (分園) '!Q32</f>
        <v>0</v>
      </c>
      <c r="I20" s="216"/>
      <c r="J20" s="219"/>
      <c r="K20" s="219"/>
      <c r="L20" s="219"/>
    </row>
    <row r="21" spans="1:12" ht="42" customHeight="1">
      <c r="A21" s="218"/>
      <c r="B21" s="239" t="s">
        <v>40</v>
      </c>
      <c r="C21" s="579" t="s">
        <v>104</v>
      </c>
      <c r="D21" s="579"/>
      <c r="E21" s="579"/>
      <c r="F21" s="579"/>
      <c r="G21" s="579"/>
      <c r="H21" s="579"/>
      <c r="I21" s="579"/>
      <c r="J21" s="579"/>
      <c r="K21" s="579"/>
      <c r="L21" s="579"/>
    </row>
    <row r="22" spans="1:12" ht="19.5" customHeight="1">
      <c r="A22" s="218"/>
      <c r="B22" s="240"/>
      <c r="C22" s="241"/>
      <c r="D22" s="241"/>
      <c r="E22" s="241"/>
      <c r="F22" s="241"/>
      <c r="G22" s="241"/>
      <c r="H22" s="241"/>
      <c r="I22" s="216"/>
      <c r="J22" s="219"/>
      <c r="K22" s="219"/>
      <c r="L22" s="219"/>
    </row>
    <row r="23" spans="1:12" ht="19.5" customHeight="1" thickBot="1">
      <c r="A23" s="221" t="s">
        <v>42</v>
      </c>
      <c r="B23" s="218"/>
      <c r="C23" s="218"/>
      <c r="D23" s="218"/>
      <c r="E23" s="218"/>
      <c r="F23" s="220"/>
      <c r="G23" s="220"/>
      <c r="H23" s="220"/>
      <c r="I23" s="220"/>
      <c r="J23" s="219"/>
      <c r="K23" s="219"/>
      <c r="L23" s="219"/>
    </row>
    <row r="24" spans="1:12" ht="19.5" customHeight="1" thickBot="1">
      <c r="A24" s="221"/>
      <c r="B24" s="218"/>
      <c r="C24" s="218"/>
      <c r="D24" s="218"/>
      <c r="E24" s="580" t="s">
        <v>43</v>
      </c>
      <c r="F24" s="581"/>
      <c r="G24" s="581"/>
      <c r="H24" s="582"/>
      <c r="I24" s="580" t="str">
        <f>IF(E7="あり","分園分","選択不要")</f>
        <v>選択不要</v>
      </c>
      <c r="J24" s="581"/>
      <c r="K24" s="581"/>
      <c r="L24" s="582"/>
    </row>
    <row r="25" spans="1:12" ht="31.5" customHeight="1">
      <c r="A25" s="219"/>
      <c r="B25" s="242"/>
      <c r="C25" s="243"/>
      <c r="D25" s="243"/>
      <c r="E25" s="244" t="s">
        <v>44</v>
      </c>
      <c r="F25" s="245" t="s">
        <v>96</v>
      </c>
      <c r="G25" s="553" t="s">
        <v>45</v>
      </c>
      <c r="H25" s="571"/>
      <c r="I25" s="246" t="s">
        <v>44</v>
      </c>
      <c r="J25" s="245" t="s">
        <v>96</v>
      </c>
      <c r="K25" s="553" t="s">
        <v>45</v>
      </c>
      <c r="L25" s="571"/>
    </row>
    <row r="26" spans="1:12" ht="17.25" customHeight="1">
      <c r="A26" s="219"/>
      <c r="B26" s="247" t="s">
        <v>46</v>
      </c>
      <c r="C26" s="248" t="s">
        <v>47</v>
      </c>
      <c r="D26" s="248"/>
      <c r="E26" s="249"/>
      <c r="F26" s="250"/>
      <c r="G26" s="251"/>
      <c r="H26" s="252">
        <f>H33*1.1+H40*1.3</f>
        <v>0</v>
      </c>
      <c r="I26" s="253"/>
      <c r="J26" s="250"/>
      <c r="K26" s="251"/>
      <c r="L26" s="252">
        <f>L40*1.3</f>
        <v>0</v>
      </c>
    </row>
    <row r="27" spans="1:12" ht="17.25" customHeight="1">
      <c r="A27" s="219"/>
      <c r="B27" s="585" t="s">
        <v>97</v>
      </c>
      <c r="C27" s="254" t="s">
        <v>48</v>
      </c>
      <c r="D27" s="255"/>
      <c r="E27" s="256"/>
      <c r="F27" s="257">
        <f>F12</f>
        <v>0</v>
      </c>
      <c r="G27" s="258">
        <f>IF(E28="なし",F27*1/30,0)</f>
        <v>0</v>
      </c>
      <c r="H27" s="478">
        <f>ROUNDDOWN(G27,1)</f>
        <v>0</v>
      </c>
      <c r="I27" s="588" t="str">
        <f>IF($E$6="あり","本園と合算","－")</f>
        <v>－</v>
      </c>
      <c r="J27" s="589"/>
      <c r="K27" s="258"/>
      <c r="L27" s="259"/>
    </row>
    <row r="28" spans="1:12" ht="17.25" customHeight="1">
      <c r="A28" s="219"/>
      <c r="B28" s="586"/>
      <c r="C28" s="260" t="s">
        <v>105</v>
      </c>
      <c r="D28" s="261"/>
      <c r="E28" s="262"/>
      <c r="F28" s="121"/>
      <c r="G28" s="122">
        <f>IF(E28="あり",F27*1/25,0)</f>
        <v>0</v>
      </c>
      <c r="H28" s="132">
        <f t="shared" ref="H28:H32" si="0">ROUNDDOWN(G28,1)</f>
        <v>0</v>
      </c>
      <c r="I28" s="590" t="str">
        <f>IF($E$6="あり","本園と合算","－")</f>
        <v>－</v>
      </c>
      <c r="J28" s="591"/>
      <c r="K28" s="122"/>
      <c r="L28" s="123"/>
    </row>
    <row r="29" spans="1:12" ht="17.25" customHeight="1">
      <c r="A29" s="219"/>
      <c r="B29" s="586"/>
      <c r="C29" s="471" t="s">
        <v>106</v>
      </c>
      <c r="D29" s="466"/>
      <c r="E29" s="476"/>
      <c r="F29" s="468">
        <f>F13-F14</f>
        <v>0</v>
      </c>
      <c r="G29" s="469">
        <f>IF(E30="なし",F29*1/20,0)</f>
        <v>0</v>
      </c>
      <c r="H29" s="470">
        <f t="shared" si="0"/>
        <v>0</v>
      </c>
      <c r="I29" s="592" t="str">
        <f>IF($E$6="あり","本園と合算","－")</f>
        <v>－</v>
      </c>
      <c r="J29" s="593"/>
      <c r="K29" s="469"/>
      <c r="L29" s="470"/>
    </row>
    <row r="30" spans="1:12" ht="17.25" customHeight="1">
      <c r="A30" s="219"/>
      <c r="B30" s="586"/>
      <c r="C30" s="477" t="s">
        <v>107</v>
      </c>
      <c r="D30" s="264"/>
      <c r="E30" s="124"/>
      <c r="F30" s="130"/>
      <c r="G30" s="131">
        <f>IF(E30="あり",F29*1/15,0)</f>
        <v>0</v>
      </c>
      <c r="H30" s="132">
        <f t="shared" si="0"/>
        <v>0</v>
      </c>
      <c r="I30" s="592" t="str">
        <f>IF($E$6="あり","本園と合算","－")</f>
        <v>－</v>
      </c>
      <c r="J30" s="593"/>
      <c r="K30" s="131"/>
      <c r="L30" s="132"/>
    </row>
    <row r="31" spans="1:12" ht="17.25" customHeight="1">
      <c r="A31" s="219"/>
      <c r="B31" s="586"/>
      <c r="C31" s="465" t="s">
        <v>108</v>
      </c>
      <c r="D31" s="466"/>
      <c r="E31" s="467"/>
      <c r="F31" s="468">
        <f>F14</f>
        <v>0</v>
      </c>
      <c r="G31" s="469">
        <f>IF(E31="なし",IF(E30="あり",F31*1/15,F31*1/20),0)</f>
        <v>0</v>
      </c>
      <c r="H31" s="470">
        <f t="shared" si="0"/>
        <v>0</v>
      </c>
      <c r="I31" s="592" t="str">
        <f>IF($E$6="あり","本園と合算","－")</f>
        <v>－</v>
      </c>
      <c r="J31" s="593"/>
      <c r="K31" s="469"/>
      <c r="L31" s="470"/>
    </row>
    <row r="32" spans="1:12" ht="17.25" customHeight="1" thickBot="1">
      <c r="A32" s="219"/>
      <c r="B32" s="586"/>
      <c r="C32" s="472"/>
      <c r="D32" s="266"/>
      <c r="E32" s="479"/>
      <c r="F32" s="138"/>
      <c r="G32" s="139">
        <f>IF(E31="あり",F31*1/6,0)</f>
        <v>0</v>
      </c>
      <c r="H32" s="140">
        <f t="shared" si="0"/>
        <v>0</v>
      </c>
      <c r="I32" s="473"/>
      <c r="J32" s="460"/>
      <c r="K32" s="139"/>
      <c r="L32" s="140"/>
    </row>
    <row r="33" spans="1:12" ht="17.25" customHeight="1" thickTop="1">
      <c r="A33" s="219"/>
      <c r="B33" s="587"/>
      <c r="C33" s="464" t="s">
        <v>52</v>
      </c>
      <c r="D33" s="268"/>
      <c r="E33" s="269"/>
      <c r="F33" s="270"/>
      <c r="G33" s="145"/>
      <c r="H33" s="146">
        <f>ROUND(SUM(H27:H32),0)</f>
        <v>0</v>
      </c>
      <c r="I33" s="271"/>
      <c r="J33" s="270"/>
      <c r="K33" s="145"/>
      <c r="L33" s="146"/>
    </row>
    <row r="34" spans="1:12" ht="17.25" customHeight="1">
      <c r="A34" s="219"/>
      <c r="B34" s="585" t="s">
        <v>98</v>
      </c>
      <c r="C34" s="254" t="s">
        <v>48</v>
      </c>
      <c r="D34" s="272"/>
      <c r="E34" s="256"/>
      <c r="F34" s="257">
        <f>F16</f>
        <v>0</v>
      </c>
      <c r="G34" s="258">
        <f>IF(E35="なし",F34*1/30,0)</f>
        <v>0</v>
      </c>
      <c r="H34" s="259">
        <f>ROUNDDOWN(G34,1)</f>
        <v>0</v>
      </c>
      <c r="I34" s="273"/>
      <c r="J34" s="274">
        <f>IF(E6="あり",H16,0)</f>
        <v>0</v>
      </c>
      <c r="K34" s="463">
        <f>IF(I35="なし",J34*1/30,0)</f>
        <v>0</v>
      </c>
      <c r="L34" s="259">
        <f>ROUNDDOWN(K34,1)</f>
        <v>0</v>
      </c>
    </row>
    <row r="35" spans="1:12" ht="17.25" customHeight="1">
      <c r="A35" s="219"/>
      <c r="B35" s="586"/>
      <c r="C35" s="574" t="s">
        <v>178</v>
      </c>
      <c r="D35" s="594"/>
      <c r="E35" s="279"/>
      <c r="F35" s="121"/>
      <c r="G35" s="122">
        <f>IF(E35="あり",F34*1/25,0)</f>
        <v>0</v>
      </c>
      <c r="H35" s="123">
        <f t="shared" ref="H35:H39" si="1">ROUNDDOWN(G35,1)</f>
        <v>0</v>
      </c>
      <c r="I35" s="276">
        <f>E35</f>
        <v>0</v>
      </c>
      <c r="J35" s="461"/>
      <c r="K35" s="131">
        <f>IF(I35="あり",J34*1/25,0)</f>
        <v>0</v>
      </c>
      <c r="L35" s="123">
        <f t="shared" ref="L35:L39" si="2">ROUNDDOWN(K35,1)</f>
        <v>0</v>
      </c>
    </row>
    <row r="36" spans="1:12" ht="17.25" customHeight="1">
      <c r="A36" s="219"/>
      <c r="B36" s="586"/>
      <c r="C36" s="263" t="s">
        <v>50</v>
      </c>
      <c r="D36" s="231"/>
      <c r="E36" s="265"/>
      <c r="F36" s="130">
        <f>F17-F18</f>
        <v>0</v>
      </c>
      <c r="G36" s="131">
        <f>IF(E37="なし",F36*1/20,0)</f>
        <v>0</v>
      </c>
      <c r="H36" s="132">
        <f t="shared" si="1"/>
        <v>0</v>
      </c>
      <c r="I36" s="275"/>
      <c r="J36" s="130">
        <f>IF(E$6="あり",H17-H18,0)</f>
        <v>0</v>
      </c>
      <c r="K36" s="122">
        <f>IF(I37="なし",J36*1/20,0)</f>
        <v>0</v>
      </c>
      <c r="L36" s="132">
        <f t="shared" si="2"/>
        <v>0</v>
      </c>
    </row>
    <row r="37" spans="1:12" ht="17.25" customHeight="1">
      <c r="A37" s="219"/>
      <c r="B37" s="586"/>
      <c r="C37" s="574" t="s">
        <v>179</v>
      </c>
      <c r="D37" s="594"/>
      <c r="E37" s="279"/>
      <c r="F37" s="121"/>
      <c r="G37" s="131">
        <f>IF(E37="あり",F36*1/15,0)</f>
        <v>0</v>
      </c>
      <c r="H37" s="123">
        <f t="shared" si="1"/>
        <v>0</v>
      </c>
      <c r="I37" s="462">
        <f>E37</f>
        <v>0</v>
      </c>
      <c r="J37" s="130"/>
      <c r="K37" s="122">
        <f>IF(I37="あり",J36*1/15,0)</f>
        <v>0</v>
      </c>
      <c r="L37" s="123">
        <f t="shared" si="2"/>
        <v>0</v>
      </c>
    </row>
    <row r="38" spans="1:12" ht="17.25" customHeight="1">
      <c r="A38" s="219"/>
      <c r="B38" s="586"/>
      <c r="C38" s="260" t="s">
        <v>15</v>
      </c>
      <c r="D38" s="276"/>
      <c r="E38" s="277"/>
      <c r="F38" s="121">
        <f>F19</f>
        <v>0</v>
      </c>
      <c r="G38" s="122">
        <f>F38*1/6</f>
        <v>0</v>
      </c>
      <c r="H38" s="123">
        <f t="shared" si="1"/>
        <v>0</v>
      </c>
      <c r="I38" s="277"/>
      <c r="J38" s="130">
        <f>IF(E$6="あり",H19,0)</f>
        <v>0</v>
      </c>
      <c r="K38" s="122">
        <f>J38*1/6</f>
        <v>0</v>
      </c>
      <c r="L38" s="123">
        <f>ROUNDDOWN(K38,1)</f>
        <v>0</v>
      </c>
    </row>
    <row r="39" spans="1:12" ht="17.25" customHeight="1" thickBot="1">
      <c r="A39" s="219"/>
      <c r="B39" s="586"/>
      <c r="C39" s="278" t="s">
        <v>16</v>
      </c>
      <c r="D39" s="474"/>
      <c r="E39" s="475"/>
      <c r="F39" s="138">
        <f>F20</f>
        <v>0</v>
      </c>
      <c r="G39" s="139">
        <f>F39*1/3</f>
        <v>0</v>
      </c>
      <c r="H39" s="140">
        <f t="shared" si="1"/>
        <v>0</v>
      </c>
      <c r="I39" s="475"/>
      <c r="J39" s="138">
        <f>IF(E$6="あり",H20,0)</f>
        <v>0</v>
      </c>
      <c r="K39" s="139">
        <f>J39*1/3</f>
        <v>0</v>
      </c>
      <c r="L39" s="140">
        <f t="shared" si="2"/>
        <v>0</v>
      </c>
    </row>
    <row r="40" spans="1:12" ht="17.25" customHeight="1" thickTop="1">
      <c r="A40" s="219"/>
      <c r="B40" s="587"/>
      <c r="C40" s="267" t="s">
        <v>52</v>
      </c>
      <c r="D40" s="281"/>
      <c r="E40" s="269"/>
      <c r="F40" s="270"/>
      <c r="G40" s="145"/>
      <c r="H40" s="146">
        <f>ROUND(SUM(H34:H39),0)</f>
        <v>0</v>
      </c>
      <c r="I40" s="271"/>
      <c r="J40" s="270"/>
      <c r="K40" s="145"/>
      <c r="L40" s="146">
        <f>ROUND(SUM(L34:L39),0)</f>
        <v>0</v>
      </c>
    </row>
    <row r="41" spans="1:12" ht="17.25" customHeight="1">
      <c r="A41" s="219"/>
      <c r="B41" s="282" t="s">
        <v>109</v>
      </c>
      <c r="C41" s="283" t="s">
        <v>110</v>
      </c>
      <c r="D41" s="283"/>
      <c r="E41" s="284"/>
      <c r="F41" s="285"/>
      <c r="G41" s="152"/>
      <c r="H41" s="153">
        <f>IF(F9&lt;=90,1.3,0.9)</f>
        <v>1.3</v>
      </c>
      <c r="I41" s="286"/>
      <c r="J41" s="285"/>
      <c r="K41" s="152"/>
      <c r="L41" s="153">
        <f>IF(E6="あり",IF(H9&lt;=90,1.3,0.9),0)</f>
        <v>0</v>
      </c>
    </row>
    <row r="42" spans="1:12" ht="17.25" customHeight="1">
      <c r="A42" s="219"/>
      <c r="B42" s="282" t="s">
        <v>55</v>
      </c>
      <c r="C42" s="283" t="s">
        <v>111</v>
      </c>
      <c r="D42" s="283"/>
      <c r="E42" s="284"/>
      <c r="F42" s="285"/>
      <c r="G42" s="152"/>
      <c r="H42" s="153">
        <f>IF(F9&lt;=40,1.3,(IF(F9&lt;=150,2.6,3.8)))</f>
        <v>1.3</v>
      </c>
      <c r="I42" s="286"/>
      <c r="J42" s="285"/>
      <c r="K42" s="152"/>
      <c r="L42" s="153">
        <f>IF(E6="あり",IF(H9&lt;=40,1.3,(IF(H9&lt;=150,2.6,3.8))),0)</f>
        <v>0</v>
      </c>
    </row>
    <row r="43" spans="1:12" ht="17.25" customHeight="1">
      <c r="A43" s="219"/>
      <c r="B43" s="282" t="s">
        <v>112</v>
      </c>
      <c r="C43" s="283" t="s">
        <v>54</v>
      </c>
      <c r="D43" s="283"/>
      <c r="E43" s="167"/>
      <c r="F43" s="285"/>
      <c r="G43" s="152"/>
      <c r="H43" s="153">
        <f>IF(E43="あり",1.7,0)</f>
        <v>0</v>
      </c>
      <c r="I43" s="163"/>
      <c r="J43" s="287"/>
      <c r="K43" s="152"/>
      <c r="L43" s="153">
        <f>IF(E6="あり",IF(I43="あり",1.7,0),0)</f>
        <v>0</v>
      </c>
    </row>
    <row r="44" spans="1:12" ht="17.25" customHeight="1">
      <c r="A44" s="219"/>
      <c r="B44" s="282" t="s">
        <v>113</v>
      </c>
      <c r="C44" s="283" t="s">
        <v>114</v>
      </c>
      <c r="D44" s="283"/>
      <c r="E44" s="288"/>
      <c r="F44" s="289"/>
      <c r="G44" s="152"/>
      <c r="H44" s="153">
        <f>IF(E44="あり",1.1,0)</f>
        <v>0</v>
      </c>
      <c r="I44" s="583" t="str">
        <f>IF($E$6="あり","本園分で選択","－")</f>
        <v>－</v>
      </c>
      <c r="J44" s="584"/>
      <c r="K44" s="152"/>
      <c r="L44" s="153"/>
    </row>
    <row r="45" spans="1:12" ht="17.25" customHeight="1" thickBot="1">
      <c r="A45" s="219"/>
      <c r="B45" s="282" t="s">
        <v>115</v>
      </c>
      <c r="C45" s="283" t="s">
        <v>116</v>
      </c>
      <c r="D45" s="283"/>
      <c r="E45" s="167"/>
      <c r="F45" s="290"/>
      <c r="G45" s="152"/>
      <c r="H45" s="153">
        <f>IF(E45="あり",0.7,0)</f>
        <v>0</v>
      </c>
      <c r="I45" s="583" t="str">
        <f>IF($E$6="あり","本園分で選択","－")</f>
        <v>－</v>
      </c>
      <c r="J45" s="584"/>
      <c r="K45" s="152"/>
      <c r="L45" s="153"/>
    </row>
    <row r="46" spans="1:12" ht="17.25" customHeight="1" thickBot="1">
      <c r="A46" s="219"/>
      <c r="B46" s="282" t="s">
        <v>63</v>
      </c>
      <c r="C46" s="283" t="s">
        <v>117</v>
      </c>
      <c r="D46" s="283"/>
      <c r="E46" s="291"/>
      <c r="F46" s="91"/>
      <c r="G46" s="152"/>
      <c r="H46" s="153">
        <f>IF(E46="あり",F46*1.1,0)</f>
        <v>0</v>
      </c>
      <c r="I46" s="583" t="str">
        <f t="shared" ref="I46:I57" si="3">IF($E$6="あり","本園分で選択","－")</f>
        <v>－</v>
      </c>
      <c r="J46" s="584"/>
      <c r="K46" s="152"/>
      <c r="L46" s="153"/>
    </row>
    <row r="47" spans="1:12" ht="17.25" customHeight="1" thickBot="1">
      <c r="A47" s="219"/>
      <c r="B47" s="282" t="s">
        <v>65</v>
      </c>
      <c r="C47" s="283" t="s">
        <v>118</v>
      </c>
      <c r="D47" s="283"/>
      <c r="E47" s="167"/>
      <c r="F47" s="290"/>
      <c r="G47" s="152"/>
      <c r="H47" s="113">
        <f>IF(E47="あり",IF(IF(E6="あり",F8+H8,F8)&lt;=150,0.7,1.3),0)</f>
        <v>0</v>
      </c>
      <c r="I47" s="583" t="str">
        <f t="shared" si="3"/>
        <v>－</v>
      </c>
      <c r="J47" s="584"/>
      <c r="K47" s="152"/>
      <c r="L47" s="153"/>
    </row>
    <row r="48" spans="1:12" ht="17.25" customHeight="1" thickBot="1">
      <c r="A48" s="219"/>
      <c r="B48" s="247" t="s">
        <v>67</v>
      </c>
      <c r="C48" s="292" t="s">
        <v>119</v>
      </c>
      <c r="D48" s="293"/>
      <c r="E48" s="294"/>
      <c r="F48" s="91"/>
      <c r="G48" s="295"/>
      <c r="H48" s="252">
        <f>IF(E48="あり",IF(F48="自園調理",IF(IF(E6="あり",F8+H8,F8)&gt;=151,2.7,1.8),IF(F48="外部搬入",IF(IF(E6="あり",F8+H8,F8)&gt;=151,0.5,0.3),0)),0)</f>
        <v>0</v>
      </c>
      <c r="I48" s="588" t="str">
        <f t="shared" si="3"/>
        <v>－</v>
      </c>
      <c r="J48" s="589"/>
      <c r="K48" s="295"/>
      <c r="L48" s="296"/>
    </row>
    <row r="49" spans="1:12" ht="37.5" customHeight="1" thickBot="1">
      <c r="A49" s="219"/>
      <c r="B49" s="282" t="s">
        <v>120</v>
      </c>
      <c r="C49" s="562" t="s">
        <v>62</v>
      </c>
      <c r="D49" s="595"/>
      <c r="E49" s="167"/>
      <c r="F49" s="164"/>
      <c r="G49" s="297" t="e">
        <f>VLOOKUP(F49,$C$69:$D$82,2,FALSE)</f>
        <v>#N/A</v>
      </c>
      <c r="H49" s="153">
        <f>IF(E49="あり",G49,0)</f>
        <v>0</v>
      </c>
      <c r="I49" s="560" t="str">
        <f t="shared" si="3"/>
        <v>－</v>
      </c>
      <c r="J49" s="561"/>
      <c r="K49" s="152"/>
      <c r="L49" s="153"/>
    </row>
    <row r="50" spans="1:12" ht="17.25" customHeight="1" thickBot="1">
      <c r="A50" s="219"/>
      <c r="B50" s="282" t="s">
        <v>71</v>
      </c>
      <c r="C50" s="562" t="s">
        <v>121</v>
      </c>
      <c r="D50" s="595"/>
      <c r="E50" s="167"/>
      <c r="F50" s="298"/>
      <c r="G50" s="165"/>
      <c r="H50" s="153">
        <f>IF(E50="あり",2.7,0)</f>
        <v>0</v>
      </c>
      <c r="I50" s="560" t="str">
        <f t="shared" si="3"/>
        <v>－</v>
      </c>
      <c r="J50" s="561"/>
      <c r="K50" s="152"/>
      <c r="L50" s="153"/>
    </row>
    <row r="51" spans="1:12" ht="19.5" customHeight="1" thickBot="1">
      <c r="A51" s="219"/>
      <c r="B51" s="299" t="s">
        <v>122</v>
      </c>
      <c r="C51" s="562" t="s">
        <v>58</v>
      </c>
      <c r="D51" s="595"/>
      <c r="E51" s="157"/>
      <c r="F51" s="158"/>
      <c r="G51" s="152"/>
      <c r="H51" s="153">
        <f>IF(E51="あり",IF(F51="A",0.4,IF(F51="B",0.3,0)),0)</f>
        <v>0</v>
      </c>
      <c r="I51" s="560" t="str">
        <f t="shared" si="3"/>
        <v>－</v>
      </c>
      <c r="J51" s="561"/>
      <c r="K51" s="300"/>
      <c r="L51" s="301"/>
    </row>
    <row r="52" spans="1:12" ht="17.25" customHeight="1">
      <c r="A52" s="219"/>
      <c r="B52" s="282" t="s">
        <v>123</v>
      </c>
      <c r="C52" s="283" t="s">
        <v>124</v>
      </c>
      <c r="D52" s="283"/>
      <c r="E52" s="167"/>
      <c r="F52" s="302"/>
      <c r="G52" s="152"/>
      <c r="H52" s="153">
        <f>IF(E52="あり",0.7,0)</f>
        <v>0</v>
      </c>
      <c r="I52" s="583" t="str">
        <f t="shared" si="3"/>
        <v>－</v>
      </c>
      <c r="J52" s="584"/>
      <c r="K52" s="152"/>
      <c r="L52" s="153"/>
    </row>
    <row r="53" spans="1:12" ht="17.25" customHeight="1">
      <c r="A53" s="219"/>
      <c r="B53" s="282" t="s">
        <v>125</v>
      </c>
      <c r="C53" s="283" t="s">
        <v>126</v>
      </c>
      <c r="D53" s="283"/>
      <c r="E53" s="167"/>
      <c r="F53" s="285"/>
      <c r="G53" s="152"/>
      <c r="H53" s="153">
        <f>IF(E53="あり",0.6,0)</f>
        <v>0</v>
      </c>
      <c r="I53" s="583" t="str">
        <f t="shared" si="3"/>
        <v>－</v>
      </c>
      <c r="J53" s="584"/>
      <c r="K53" s="152"/>
      <c r="L53" s="153"/>
    </row>
    <row r="54" spans="1:12" ht="17.25" customHeight="1">
      <c r="A54" s="219"/>
      <c r="B54" s="282" t="s">
        <v>127</v>
      </c>
      <c r="C54" s="283" t="s">
        <v>128</v>
      </c>
      <c r="D54" s="283"/>
      <c r="E54" s="167"/>
      <c r="F54" s="285"/>
      <c r="G54" s="152"/>
      <c r="H54" s="153">
        <f>IF(E54="あり",0.6,0)</f>
        <v>0</v>
      </c>
      <c r="I54" s="583" t="str">
        <f t="shared" si="3"/>
        <v>－</v>
      </c>
      <c r="J54" s="584"/>
      <c r="K54" s="152"/>
      <c r="L54" s="153"/>
    </row>
    <row r="55" spans="1:12" ht="17.25" customHeight="1" thickBot="1">
      <c r="A55" s="219"/>
      <c r="B55" s="282" t="s">
        <v>129</v>
      </c>
      <c r="C55" s="562" t="s">
        <v>68</v>
      </c>
      <c r="D55" s="595"/>
      <c r="E55" s="167"/>
      <c r="F55" s="289"/>
      <c r="G55" s="152"/>
      <c r="H55" s="153">
        <f>IF(E55="あり",0.6,0)</f>
        <v>0</v>
      </c>
      <c r="I55" s="303"/>
      <c r="J55" s="304"/>
      <c r="K55" s="152"/>
      <c r="L55" s="153"/>
    </row>
    <row r="56" spans="1:12" ht="44.25" customHeight="1" thickBot="1">
      <c r="A56" s="219"/>
      <c r="B56" s="282" t="s">
        <v>130</v>
      </c>
      <c r="C56" s="596" t="s">
        <v>131</v>
      </c>
      <c r="D56" s="596"/>
      <c r="E56" s="163"/>
      <c r="F56" s="305"/>
      <c r="G56" s="112"/>
      <c r="H56" s="178">
        <f>IF(E56="該当",IF(F56="１号",-0.8,IF(F56="２・３号",-0.6,-1.4)),0)</f>
        <v>0</v>
      </c>
      <c r="I56" s="583" t="str">
        <f t="shared" si="3"/>
        <v>－</v>
      </c>
      <c r="J56" s="584"/>
      <c r="K56" s="112"/>
      <c r="L56" s="178"/>
    </row>
    <row r="57" spans="1:12" ht="24" customHeight="1" thickBot="1">
      <c r="A57" s="219"/>
      <c r="B57" s="306" t="s">
        <v>132</v>
      </c>
      <c r="C57" s="248" t="s">
        <v>133</v>
      </c>
      <c r="D57" s="307"/>
      <c r="E57" s="308"/>
      <c r="F57" s="309"/>
      <c r="G57" s="112"/>
      <c r="H57" s="178">
        <f>IF(E57="該当",-F57*1.2,0)</f>
        <v>0</v>
      </c>
      <c r="I57" s="597" t="str">
        <f t="shared" si="3"/>
        <v>－</v>
      </c>
      <c r="J57" s="598"/>
      <c r="K57" s="112"/>
      <c r="L57" s="178"/>
    </row>
    <row r="58" spans="1:12" ht="24" customHeight="1">
      <c r="A58" s="219"/>
      <c r="B58" s="247" t="s">
        <v>134</v>
      </c>
      <c r="C58" s="562" t="s">
        <v>135</v>
      </c>
      <c r="D58" s="595"/>
      <c r="E58" s="163"/>
      <c r="F58" s="310"/>
      <c r="G58" s="251"/>
      <c r="H58" s="311">
        <f>IF(E58="該当",-1.2,0)</f>
        <v>0</v>
      </c>
      <c r="I58" s="312"/>
      <c r="J58" s="313"/>
      <c r="K58" s="314"/>
      <c r="L58" s="173"/>
    </row>
    <row r="59" spans="1:12" ht="24" customHeight="1">
      <c r="A59" s="219"/>
      <c r="B59" s="247" t="s">
        <v>136</v>
      </c>
      <c r="C59" s="562" t="s">
        <v>70</v>
      </c>
      <c r="D59" s="595"/>
      <c r="E59" s="583" t="str">
        <f>IF($E$6="あり","分園がある場合に適用","－")</f>
        <v>－</v>
      </c>
      <c r="F59" s="584"/>
      <c r="G59" s="172"/>
      <c r="H59" s="311"/>
      <c r="I59" s="312"/>
      <c r="J59" s="313"/>
      <c r="K59" s="311"/>
      <c r="L59" s="173">
        <f>IF(E6="あり",IF(H9&lt;=40,-1.3,IF(H9&gt;=151,-3.8,-2.6)),0)</f>
        <v>0</v>
      </c>
    </row>
    <row r="60" spans="1:12" ht="24" customHeight="1">
      <c r="A60" s="219"/>
      <c r="B60" s="315" t="s">
        <v>137</v>
      </c>
      <c r="C60" s="283"/>
      <c r="D60" s="283"/>
      <c r="E60" s="316"/>
      <c r="F60" s="285"/>
      <c r="G60" s="317">
        <f>IF(E6="あり",F8+H8,F8)</f>
        <v>0</v>
      </c>
      <c r="H60" s="153">
        <f>IF(G60&lt;=90,2,2.7)</f>
        <v>2</v>
      </c>
      <c r="I60" s="560" t="str">
        <f>IF($E$6="あり","本園と合算","－")</f>
        <v>－</v>
      </c>
      <c r="J60" s="561"/>
      <c r="K60" s="318"/>
      <c r="L60" s="153"/>
    </row>
    <row r="61" spans="1:12" ht="24" customHeight="1" thickBot="1">
      <c r="A61" s="219"/>
      <c r="B61" s="319" t="s">
        <v>138</v>
      </c>
      <c r="C61" s="320"/>
      <c r="D61" s="320"/>
      <c r="E61" s="321"/>
      <c r="F61" s="322"/>
      <c r="G61" s="323">
        <f>F9</f>
        <v>0</v>
      </c>
      <c r="H61" s="184">
        <f>IF(G61&lt;=30,2.8,2.4)</f>
        <v>2.8</v>
      </c>
      <c r="I61" s="324"/>
      <c r="J61" s="322"/>
      <c r="K61" s="323">
        <f>IF(E6="あり",H9,0)</f>
        <v>0</v>
      </c>
      <c r="L61" s="184">
        <f>IF(E6="あり",IF(K61&lt;=30,2.8,2.4),0)</f>
        <v>0</v>
      </c>
    </row>
    <row r="62" spans="1:12" ht="24" customHeight="1" thickTop="1" thickBot="1">
      <c r="A62" s="219"/>
      <c r="B62" s="325" t="s">
        <v>17</v>
      </c>
      <c r="C62" s="218"/>
      <c r="D62" s="218"/>
      <c r="E62" s="326"/>
      <c r="F62" s="327"/>
      <c r="G62" s="192"/>
      <c r="H62" s="193">
        <f>SUM(H41:H61,H26)</f>
        <v>7.3999999999999995</v>
      </c>
      <c r="I62" s="218"/>
      <c r="J62" s="327"/>
      <c r="K62" s="192"/>
      <c r="L62" s="193">
        <f>SUM(L41:L61,L26)</f>
        <v>0</v>
      </c>
    </row>
    <row r="63" spans="1:12" ht="24" customHeight="1" thickBot="1">
      <c r="A63" s="219"/>
      <c r="B63" s="328" t="s">
        <v>74</v>
      </c>
      <c r="C63" s="329"/>
      <c r="D63" s="329"/>
      <c r="E63" s="330"/>
      <c r="F63" s="331"/>
      <c r="G63" s="200"/>
      <c r="H63" s="201">
        <f>ROUND(H62,0)</f>
        <v>7</v>
      </c>
      <c r="I63" s="329"/>
      <c r="J63" s="331"/>
      <c r="K63" s="200"/>
      <c r="L63" s="201">
        <f>IF($E$6="あり",ROUND(L62,0),0)</f>
        <v>0</v>
      </c>
    </row>
    <row r="64" spans="1:12" ht="21.75" customHeight="1">
      <c r="A64" s="219"/>
      <c r="B64" s="218"/>
      <c r="C64" s="218"/>
      <c r="D64" s="218"/>
      <c r="E64" s="218"/>
      <c r="F64" s="220"/>
      <c r="G64" s="220"/>
      <c r="H64" s="332"/>
      <c r="I64" s="216"/>
      <c r="J64" s="219"/>
      <c r="K64" s="219"/>
      <c r="L64" s="219"/>
    </row>
    <row r="65" spans="1:12" ht="21.75" customHeight="1" thickBot="1">
      <c r="A65" s="221" t="s">
        <v>139</v>
      </c>
      <c r="B65" s="218"/>
      <c r="C65" s="218"/>
      <c r="D65" s="218"/>
      <c r="E65" s="218"/>
      <c r="F65" s="220"/>
      <c r="G65" s="220"/>
      <c r="H65" s="220"/>
      <c r="I65" s="216"/>
      <c r="J65" s="219"/>
      <c r="K65" s="219"/>
      <c r="L65" s="219"/>
    </row>
    <row r="66" spans="1:12" ht="21.75" customHeight="1" thickBot="1">
      <c r="A66" s="219"/>
      <c r="B66" s="333"/>
      <c r="C66" s="334">
        <v>11320</v>
      </c>
      <c r="D66" s="334" t="s">
        <v>76</v>
      </c>
      <c r="E66" s="334"/>
      <c r="F66" s="335"/>
      <c r="G66" s="336"/>
      <c r="H66" s="212">
        <f>C66*(H63+L63)</f>
        <v>79240</v>
      </c>
      <c r="I66" s="216"/>
      <c r="J66" s="219"/>
      <c r="K66" s="219"/>
      <c r="L66" s="219"/>
    </row>
    <row r="67" spans="1:12" ht="33.75" customHeight="1"/>
    <row r="68" spans="1:12">
      <c r="C68" s="80" t="s">
        <v>77</v>
      </c>
    </row>
    <row r="69" spans="1:12">
      <c r="C69" s="80" t="s">
        <v>78</v>
      </c>
      <c r="D69" s="80">
        <v>0.5</v>
      </c>
    </row>
    <row r="70" spans="1:12">
      <c r="C70" s="80" t="s">
        <v>79</v>
      </c>
      <c r="D70" s="80">
        <v>0.5</v>
      </c>
    </row>
    <row r="71" spans="1:12">
      <c r="C71" s="80" t="s">
        <v>80</v>
      </c>
      <c r="D71" s="80">
        <v>0.6</v>
      </c>
    </row>
    <row r="72" spans="1:12">
      <c r="C72" s="80" t="s">
        <v>81</v>
      </c>
      <c r="D72" s="80">
        <v>0.7</v>
      </c>
    </row>
    <row r="73" spans="1:12">
      <c r="C73" s="80" t="s">
        <v>82</v>
      </c>
      <c r="D73" s="80">
        <v>0.8</v>
      </c>
    </row>
    <row r="74" spans="1:12">
      <c r="C74" s="80" t="s">
        <v>83</v>
      </c>
      <c r="D74" s="80">
        <v>0.8</v>
      </c>
    </row>
    <row r="75" spans="1:12">
      <c r="C75" s="80" t="s">
        <v>84</v>
      </c>
      <c r="D75" s="80">
        <v>0.9</v>
      </c>
    </row>
    <row r="76" spans="1:12">
      <c r="C76" s="80" t="s">
        <v>85</v>
      </c>
      <c r="D76" s="80">
        <v>1</v>
      </c>
    </row>
    <row r="77" spans="1:12">
      <c r="C77" s="80" t="s">
        <v>86</v>
      </c>
      <c r="D77" s="80">
        <v>1.1000000000000001</v>
      </c>
    </row>
    <row r="78" spans="1:12" s="82" customFormat="1">
      <c r="A78" s="83"/>
      <c r="B78" s="80"/>
      <c r="C78" s="80" t="s">
        <v>87</v>
      </c>
      <c r="D78" s="80">
        <v>1.1000000000000001</v>
      </c>
      <c r="I78" s="337"/>
      <c r="J78" s="83"/>
      <c r="K78" s="83"/>
      <c r="L78" s="83"/>
    </row>
    <row r="79" spans="1:12" s="82" customFormat="1">
      <c r="A79" s="83"/>
      <c r="B79" s="80"/>
      <c r="C79" s="80" t="s">
        <v>88</v>
      </c>
      <c r="D79" s="80">
        <v>1.2</v>
      </c>
      <c r="I79" s="337"/>
      <c r="J79" s="83"/>
      <c r="K79" s="83"/>
      <c r="L79" s="83"/>
    </row>
    <row r="80" spans="1:12" s="82" customFormat="1">
      <c r="A80" s="83"/>
      <c r="B80" s="80"/>
      <c r="C80" s="80" t="s">
        <v>89</v>
      </c>
      <c r="D80" s="80">
        <v>1.3</v>
      </c>
      <c r="I80" s="337"/>
      <c r="J80" s="83"/>
      <c r="K80" s="83"/>
      <c r="L80" s="83"/>
    </row>
    <row r="81" spans="1:12" s="82" customFormat="1">
      <c r="A81" s="83"/>
      <c r="B81" s="80"/>
      <c r="C81" s="80" t="s">
        <v>90</v>
      </c>
      <c r="D81" s="80">
        <v>1.4</v>
      </c>
      <c r="I81" s="337"/>
      <c r="J81" s="83"/>
      <c r="K81" s="83"/>
      <c r="L81" s="83"/>
    </row>
    <row r="82" spans="1:12" s="82" customFormat="1">
      <c r="A82" s="83"/>
      <c r="B82" s="80"/>
      <c r="C82" s="80" t="s">
        <v>91</v>
      </c>
      <c r="D82" s="80">
        <v>1.5</v>
      </c>
      <c r="I82" s="337"/>
      <c r="J82" s="83"/>
      <c r="K82" s="83"/>
      <c r="L82" s="83"/>
    </row>
    <row r="83" spans="1:12" s="82" customFormat="1" ht="20.25" customHeight="1">
      <c r="A83" s="83"/>
      <c r="B83" s="80"/>
      <c r="C83" s="80"/>
      <c r="D83" s="80"/>
      <c r="I83" s="337"/>
      <c r="J83" s="83"/>
      <c r="K83" s="83"/>
      <c r="L83" s="83"/>
    </row>
    <row r="84" spans="1:12" s="82" customFormat="1" ht="20.25" customHeight="1">
      <c r="A84" s="83"/>
      <c r="B84" s="80"/>
      <c r="C84" s="80"/>
      <c r="D84" s="80"/>
      <c r="I84" s="337"/>
      <c r="J84" s="83"/>
      <c r="K84" s="83"/>
      <c r="L84" s="83"/>
    </row>
    <row r="85" spans="1:12" s="82" customFormat="1" ht="20.25" customHeight="1">
      <c r="A85" s="83"/>
      <c r="B85" s="80"/>
      <c r="C85" s="80"/>
      <c r="D85" s="80"/>
      <c r="I85" s="337"/>
      <c r="J85" s="83"/>
      <c r="K85" s="83"/>
      <c r="L85" s="83"/>
    </row>
    <row r="86" spans="1:12" s="82" customFormat="1" ht="20.25" customHeight="1">
      <c r="A86" s="83"/>
      <c r="B86" s="80"/>
      <c r="C86" s="80"/>
      <c r="D86" s="80"/>
      <c r="I86" s="337"/>
      <c r="J86" s="83"/>
      <c r="K86" s="83"/>
      <c r="L86" s="83"/>
    </row>
    <row r="87" spans="1:12" s="82" customFormat="1" ht="20.25" customHeight="1">
      <c r="A87" s="83"/>
      <c r="B87" s="80"/>
      <c r="C87" s="80"/>
      <c r="D87" s="80"/>
      <c r="I87" s="337"/>
      <c r="J87" s="83"/>
      <c r="K87" s="83"/>
      <c r="L87" s="83"/>
    </row>
    <row r="88" spans="1:12" s="82" customFormat="1" ht="20.25" customHeight="1">
      <c r="A88" s="83"/>
      <c r="B88" s="80"/>
      <c r="C88" s="80"/>
      <c r="D88" s="80"/>
      <c r="I88" s="337"/>
      <c r="J88" s="83"/>
      <c r="K88" s="83"/>
      <c r="L88" s="83"/>
    </row>
    <row r="89" spans="1:12" s="82" customFormat="1" ht="20.25" customHeight="1">
      <c r="A89" s="83"/>
      <c r="B89" s="80"/>
      <c r="C89" s="80"/>
      <c r="D89" s="80"/>
      <c r="I89" s="337"/>
      <c r="J89" s="83"/>
      <c r="K89" s="83"/>
      <c r="L89" s="83"/>
    </row>
    <row r="90" spans="1:12" s="82" customFormat="1" ht="20.25" customHeight="1">
      <c r="A90" s="83"/>
      <c r="B90" s="80"/>
      <c r="C90" s="80"/>
      <c r="D90" s="80"/>
      <c r="I90" s="337"/>
      <c r="J90" s="83"/>
      <c r="K90" s="83"/>
      <c r="L90" s="83"/>
    </row>
    <row r="91" spans="1:12" s="82" customFormat="1" ht="20.25" customHeight="1">
      <c r="A91" s="83"/>
      <c r="B91" s="80"/>
      <c r="C91" s="80"/>
      <c r="D91" s="80"/>
      <c r="I91" s="337"/>
      <c r="J91" s="83"/>
      <c r="K91" s="83"/>
      <c r="L91" s="83"/>
    </row>
    <row r="92" spans="1:12" s="82" customFormat="1" ht="20.25" customHeight="1">
      <c r="A92" s="83"/>
      <c r="B92" s="80"/>
      <c r="C92" s="80"/>
      <c r="D92" s="80"/>
      <c r="I92" s="337"/>
      <c r="J92" s="83"/>
      <c r="K92" s="83"/>
      <c r="L92" s="83"/>
    </row>
    <row r="93" spans="1:12" s="82" customFormat="1" ht="20.25" customHeight="1">
      <c r="A93" s="83"/>
      <c r="B93" s="80"/>
      <c r="C93" s="80"/>
      <c r="D93" s="80"/>
      <c r="I93" s="337"/>
      <c r="J93" s="83"/>
      <c r="K93" s="83"/>
      <c r="L93" s="83"/>
    </row>
    <row r="94" spans="1:12" ht="20.25" customHeight="1"/>
    <row r="95" spans="1:12" ht="20.25" customHeight="1"/>
    <row r="96" spans="1:1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sheetData>
  <sheetProtection algorithmName="SHA-512" hashValue="lgmt/kmVF2W7iwFhG2aHpwapDbouWev5R7hVJWQKPUKVomA1CvAy37LbXtP5J1P77PILHaDJO8mdPmkwsVFK1A==" saltValue="kM0Rj562uWHkMnd/9qtQcA==" spinCount="100000" sheet="1" objects="1" scenarios="1"/>
  <mergeCells count="50">
    <mergeCell ref="I60:J60"/>
    <mergeCell ref="C56:D56"/>
    <mergeCell ref="I56:J56"/>
    <mergeCell ref="I57:J57"/>
    <mergeCell ref="C58:D58"/>
    <mergeCell ref="C59:D59"/>
    <mergeCell ref="E59:F59"/>
    <mergeCell ref="C55:D55"/>
    <mergeCell ref="I47:J47"/>
    <mergeCell ref="I48:J48"/>
    <mergeCell ref="C49:D49"/>
    <mergeCell ref="I49:J49"/>
    <mergeCell ref="C50:D50"/>
    <mergeCell ref="I50:J50"/>
    <mergeCell ref="C51:D51"/>
    <mergeCell ref="I51:J51"/>
    <mergeCell ref="I52:J52"/>
    <mergeCell ref="I53:J53"/>
    <mergeCell ref="I54:J54"/>
    <mergeCell ref="I46:J46"/>
    <mergeCell ref="B27:B33"/>
    <mergeCell ref="I27:J27"/>
    <mergeCell ref="I28:J28"/>
    <mergeCell ref="I29:J29"/>
    <mergeCell ref="I30:J30"/>
    <mergeCell ref="I31:J31"/>
    <mergeCell ref="B34:B40"/>
    <mergeCell ref="I44:J44"/>
    <mergeCell ref="I45:J45"/>
    <mergeCell ref="C35:D35"/>
    <mergeCell ref="C37:D37"/>
    <mergeCell ref="G25:H25"/>
    <mergeCell ref="K25:L25"/>
    <mergeCell ref="C9:E9"/>
    <mergeCell ref="B10:E10"/>
    <mergeCell ref="C12:D12"/>
    <mergeCell ref="C13:D13"/>
    <mergeCell ref="C16:D16"/>
    <mergeCell ref="C17:D17"/>
    <mergeCell ref="C19:D19"/>
    <mergeCell ref="C20:D20"/>
    <mergeCell ref="C21:L21"/>
    <mergeCell ref="E24:H24"/>
    <mergeCell ref="I24:L24"/>
    <mergeCell ref="C8:E8"/>
    <mergeCell ref="B2:C2"/>
    <mergeCell ref="D2:H2"/>
    <mergeCell ref="B5:D5"/>
    <mergeCell ref="B6:D6"/>
    <mergeCell ref="B7:E7"/>
  </mergeCells>
  <phoneticPr fontId="3"/>
  <dataValidations count="7">
    <dataValidation type="list" allowBlank="1" showInputMessage="1" showErrorMessage="1" sqref="F50" xr:uid="{6AE87254-884E-4C11-9E1D-B0524465725D}">
      <formula1>#REF!</formula1>
    </dataValidation>
    <dataValidation type="list" allowBlank="1" showInputMessage="1" showErrorMessage="1" sqref="F51" xr:uid="{A268CB45-0A29-4A82-B743-C8C37F2AEDC1}">
      <formula1>"　,A,B"</formula1>
    </dataValidation>
    <dataValidation type="list" allowBlank="1" showInputMessage="1" showErrorMessage="1" sqref="F48" xr:uid="{80CD934F-F0AE-4D89-BFFE-600561A8FD64}">
      <formula1>",自園調理,外部搬入"</formula1>
    </dataValidation>
    <dataValidation type="list" allowBlank="1" showInputMessage="1" showErrorMessage="1" sqref="E56:E58" xr:uid="{B96606F4-1D4C-47E1-AA03-79A6D9D4AEFF}">
      <formula1>"　,該当,非該当"</formula1>
    </dataValidation>
    <dataValidation type="list" allowBlank="1" showInputMessage="1" showErrorMessage="1" sqref="E28 E60:E61 I43 E6 I61 E43:E55 E35 E37 E30:E31" xr:uid="{49F06DC6-7799-49AD-A0D9-7FC3001EB0DB}">
      <formula1>"　,あり,なし"</formula1>
    </dataValidation>
    <dataValidation type="list" showInputMessage="1" showErrorMessage="1" sqref="F56" xr:uid="{77EDEF91-6384-46AC-9806-4CC66A005D02}">
      <formula1>",１号,２・３号,１号及び２・３号"</formula1>
    </dataValidation>
    <dataValidation type="list" allowBlank="1" showInputMessage="1" showErrorMessage="1" sqref="F49" xr:uid="{48D056F7-ADF1-47BD-B8B6-3D36AB0CDEAE}">
      <formula1>$C$69:$C$82</formula1>
    </dataValidation>
  </dataValidations>
  <pageMargins left="0.9055118110236221" right="0.55118110236220474" top="0.53" bottom="0.19685039370078741" header="0.31496062992125984" footer="0.19685039370078741"/>
  <pageSetup paperSize="9" scale="57"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473E7-F979-4D47-BD6F-10F72A05FDD6}">
  <sheetPr>
    <tabColor rgb="FF00B0F0"/>
    <pageSetUpPr fitToPage="1"/>
  </sheetPr>
  <dimension ref="A1:Q81"/>
  <sheetViews>
    <sheetView zoomScale="80" zoomScaleNormal="80" workbookViewId="0">
      <selection activeCell="M3" sqref="M3:Q3"/>
    </sheetView>
  </sheetViews>
  <sheetFormatPr defaultColWidth="9" defaultRowHeight="18.75"/>
  <cols>
    <col min="1" max="1" width="2.25" style="1" customWidth="1"/>
    <col min="2" max="2" width="4.25" style="1" customWidth="1"/>
    <col min="3" max="3" width="12.25" style="1" customWidth="1"/>
    <col min="4" max="4" width="8.625" style="1" customWidth="1"/>
    <col min="5" max="16" width="6.625" style="1" customWidth="1"/>
    <col min="17" max="17" width="8.625" style="1" customWidth="1"/>
    <col min="18" max="16384" width="9" style="1"/>
  </cols>
  <sheetData>
    <row r="1" spans="1:17" ht="40.5" customHeight="1">
      <c r="A1" s="492" t="s">
        <v>140</v>
      </c>
      <c r="B1" s="492"/>
      <c r="C1" s="492"/>
      <c r="D1" s="492"/>
      <c r="E1" s="492"/>
      <c r="F1" s="492"/>
      <c r="G1" s="492"/>
      <c r="H1" s="492"/>
      <c r="I1" s="492"/>
      <c r="J1" s="492"/>
      <c r="K1" s="492"/>
      <c r="L1" s="492"/>
      <c r="M1" s="492"/>
      <c r="N1" s="492"/>
      <c r="O1" s="492"/>
      <c r="P1" s="492"/>
      <c r="Q1" s="492"/>
    </row>
    <row r="2" spans="1:17" ht="18" customHeight="1" thickBot="1">
      <c r="C2" s="2"/>
    </row>
    <row r="3" spans="1:17" ht="18" customHeight="1" thickBot="1">
      <c r="C3" s="2"/>
      <c r="H3" s="493" t="s">
        <v>1</v>
      </c>
      <c r="I3" s="494"/>
      <c r="J3" s="494"/>
      <c r="K3" s="494"/>
      <c r="L3" s="495"/>
      <c r="M3" s="493"/>
      <c r="N3" s="494"/>
      <c r="O3" s="494"/>
      <c r="P3" s="494"/>
      <c r="Q3" s="495"/>
    </row>
    <row r="4" spans="1:17" ht="18" customHeight="1">
      <c r="C4" s="2"/>
      <c r="H4" s="3"/>
      <c r="I4" s="3"/>
      <c r="J4" s="3"/>
      <c r="K4" s="3"/>
      <c r="L4" s="3"/>
      <c r="M4" s="3"/>
      <c r="N4" s="3"/>
      <c r="O4" s="3"/>
      <c r="P4" s="3"/>
      <c r="Q4" s="3"/>
    </row>
    <row r="5" spans="1:17" ht="18" customHeight="1">
      <c r="C5" s="1" t="s">
        <v>141</v>
      </c>
      <c r="H5" s="3"/>
      <c r="I5" s="3"/>
      <c r="J5" s="3"/>
      <c r="K5" s="3"/>
      <c r="L5" s="3"/>
      <c r="M5" s="3"/>
      <c r="N5" s="3"/>
      <c r="O5" s="3"/>
      <c r="P5" s="3"/>
      <c r="Q5" s="3"/>
    </row>
    <row r="6" spans="1:17" ht="18" customHeight="1">
      <c r="C6" s="1" t="s">
        <v>3</v>
      </c>
      <c r="H6" s="3"/>
      <c r="I6" s="3"/>
      <c r="J6" s="3"/>
      <c r="K6" s="3"/>
      <c r="L6" s="3"/>
      <c r="M6" s="3"/>
      <c r="N6" s="3"/>
      <c r="O6" s="3"/>
      <c r="P6" s="3"/>
      <c r="Q6" s="3"/>
    </row>
    <row r="7" spans="1:17" ht="18" customHeight="1">
      <c r="C7" s="4"/>
      <c r="H7" s="3"/>
      <c r="I7" s="3"/>
      <c r="J7" s="3"/>
      <c r="K7" s="3"/>
      <c r="L7" s="3"/>
      <c r="M7" s="3"/>
      <c r="N7" s="3"/>
      <c r="O7" s="3"/>
      <c r="P7" s="3"/>
      <c r="Q7" s="3"/>
    </row>
    <row r="8" spans="1:17" ht="18" customHeight="1" thickBot="1">
      <c r="A8" s="57" t="s">
        <v>142</v>
      </c>
      <c r="B8" s="57"/>
    </row>
    <row r="9" spans="1:17" ht="17.25" customHeight="1">
      <c r="B9" s="601" t="s">
        <v>143</v>
      </c>
      <c r="C9" s="602"/>
      <c r="D9" s="603"/>
      <c r="E9" s="6">
        <v>4</v>
      </c>
      <c r="F9" s="7">
        <v>5</v>
      </c>
      <c r="G9" s="7">
        <v>6</v>
      </c>
      <c r="H9" s="7">
        <v>7</v>
      </c>
      <c r="I9" s="7">
        <v>8</v>
      </c>
      <c r="J9" s="7">
        <v>9</v>
      </c>
      <c r="K9" s="7">
        <v>10</v>
      </c>
      <c r="L9" s="7">
        <v>11</v>
      </c>
      <c r="M9" s="7">
        <v>12</v>
      </c>
      <c r="N9" s="7">
        <v>1</v>
      </c>
      <c r="O9" s="7">
        <v>2</v>
      </c>
      <c r="P9" s="8">
        <v>3</v>
      </c>
      <c r="Q9" s="500" t="s">
        <v>7</v>
      </c>
    </row>
    <row r="10" spans="1:17" ht="17.25" customHeight="1">
      <c r="B10" s="604"/>
      <c r="C10" s="605"/>
      <c r="D10" s="606"/>
      <c r="E10" s="502" t="s">
        <v>8</v>
      </c>
      <c r="F10" s="503"/>
      <c r="G10" s="503"/>
      <c r="H10" s="503"/>
      <c r="I10" s="503"/>
      <c r="J10" s="503"/>
      <c r="K10" s="503"/>
      <c r="L10" s="503"/>
      <c r="M10" s="503"/>
      <c r="N10" s="503"/>
      <c r="O10" s="503"/>
      <c r="P10" s="504"/>
      <c r="Q10" s="501"/>
    </row>
    <row r="11" spans="1:17" ht="17.25" customHeight="1">
      <c r="B11" s="607" t="s">
        <v>9</v>
      </c>
      <c r="C11" s="608"/>
      <c r="D11" s="338" t="s">
        <v>10</v>
      </c>
      <c r="E11" s="10"/>
      <c r="F11" s="11"/>
      <c r="G11" s="11"/>
      <c r="H11" s="11"/>
      <c r="I11" s="11"/>
      <c r="J11" s="11"/>
      <c r="K11" s="11"/>
      <c r="L11" s="11"/>
      <c r="M11" s="11"/>
      <c r="N11" s="11"/>
      <c r="O11" s="11"/>
      <c r="P11" s="12"/>
      <c r="Q11" s="13">
        <f>ROUND(SUM(E11:P11)/12,0)</f>
        <v>0</v>
      </c>
    </row>
    <row r="12" spans="1:17" ht="17.25" customHeight="1">
      <c r="B12" s="607"/>
      <c r="C12" s="608"/>
      <c r="D12" s="339" t="s">
        <v>11</v>
      </c>
      <c r="E12" s="15"/>
      <c r="F12" s="16" t="str">
        <f t="shared" ref="F12:P12" si="0">IFERROR(F11/$E$11,"")</f>
        <v/>
      </c>
      <c r="G12" s="16" t="str">
        <f t="shared" si="0"/>
        <v/>
      </c>
      <c r="H12" s="16" t="str">
        <f t="shared" si="0"/>
        <v/>
      </c>
      <c r="I12" s="16" t="str">
        <f t="shared" si="0"/>
        <v/>
      </c>
      <c r="J12" s="16" t="str">
        <f t="shared" si="0"/>
        <v/>
      </c>
      <c r="K12" s="16" t="str">
        <f t="shared" si="0"/>
        <v/>
      </c>
      <c r="L12" s="16" t="str">
        <f t="shared" si="0"/>
        <v/>
      </c>
      <c r="M12" s="16" t="str">
        <f t="shared" si="0"/>
        <v/>
      </c>
      <c r="N12" s="16" t="str">
        <f>IFERROR(N11/$E$11,"")</f>
        <v/>
      </c>
      <c r="O12" s="16" t="str">
        <f t="shared" si="0"/>
        <v/>
      </c>
      <c r="P12" s="17" t="str">
        <f t="shared" si="0"/>
        <v/>
      </c>
      <c r="Q12" s="340" t="s">
        <v>12</v>
      </c>
    </row>
    <row r="13" spans="1:17" ht="17.25" customHeight="1">
      <c r="B13" s="609" t="s">
        <v>13</v>
      </c>
      <c r="C13" s="610"/>
      <c r="D13" s="35" t="s">
        <v>10</v>
      </c>
      <c r="E13" s="10"/>
      <c r="F13" s="11"/>
      <c r="G13" s="11"/>
      <c r="H13" s="11"/>
      <c r="I13" s="11"/>
      <c r="J13" s="11"/>
      <c r="K13" s="11"/>
      <c r="L13" s="11"/>
      <c r="M13" s="11"/>
      <c r="N13" s="11"/>
      <c r="O13" s="11"/>
      <c r="P13" s="12"/>
      <c r="Q13" s="13">
        <f>ROUND(SUM(E13:P13)/12,0)</f>
        <v>0</v>
      </c>
    </row>
    <row r="14" spans="1:17" ht="17.25" customHeight="1">
      <c r="B14" s="611"/>
      <c r="C14" s="612"/>
      <c r="D14" s="339" t="s">
        <v>11</v>
      </c>
      <c r="E14" s="15"/>
      <c r="F14" s="16" t="str">
        <f>IFERROR(F13/$E$13,"")</f>
        <v/>
      </c>
      <c r="G14" s="16" t="str">
        <f t="shared" ref="G14:P14" si="1">IFERROR(G13/$E$13,"")</f>
        <v/>
      </c>
      <c r="H14" s="16" t="str">
        <f t="shared" si="1"/>
        <v/>
      </c>
      <c r="I14" s="16" t="str">
        <f t="shared" si="1"/>
        <v/>
      </c>
      <c r="J14" s="16" t="str">
        <f t="shared" si="1"/>
        <v/>
      </c>
      <c r="K14" s="16" t="str">
        <f t="shared" si="1"/>
        <v/>
      </c>
      <c r="L14" s="16" t="str">
        <f t="shared" si="1"/>
        <v/>
      </c>
      <c r="M14" s="16" t="str">
        <f t="shared" si="1"/>
        <v/>
      </c>
      <c r="N14" s="16" t="str">
        <f t="shared" si="1"/>
        <v/>
      </c>
      <c r="O14" s="16" t="str">
        <f t="shared" si="1"/>
        <v/>
      </c>
      <c r="P14" s="17" t="str">
        <f t="shared" si="1"/>
        <v/>
      </c>
      <c r="Q14" s="340"/>
    </row>
    <row r="15" spans="1:17" ht="17.25" customHeight="1">
      <c r="B15" s="341"/>
      <c r="C15" s="613" t="s">
        <v>144</v>
      </c>
      <c r="D15" s="35" t="s">
        <v>10</v>
      </c>
      <c r="E15" s="10"/>
      <c r="F15" s="11"/>
      <c r="G15" s="11"/>
      <c r="H15" s="11"/>
      <c r="I15" s="11"/>
      <c r="J15" s="11"/>
      <c r="K15" s="11"/>
      <c r="L15" s="11"/>
      <c r="M15" s="11"/>
      <c r="N15" s="11"/>
      <c r="O15" s="11"/>
      <c r="P15" s="12"/>
      <c r="Q15" s="13">
        <f>ROUND(SUM(E15:P15)/12,0)</f>
        <v>0</v>
      </c>
    </row>
    <row r="16" spans="1:17" ht="17.25" customHeight="1" thickBot="1">
      <c r="B16" s="342"/>
      <c r="C16" s="614"/>
      <c r="D16" s="343" t="s">
        <v>11</v>
      </c>
      <c r="E16" s="20"/>
      <c r="F16" s="21" t="str">
        <f>IFERROR(F15/$E$15,"")</f>
        <v/>
      </c>
      <c r="G16" s="21" t="str">
        <f t="shared" ref="G16:P16" si="2">IFERROR(G15/$E$15,"")</f>
        <v/>
      </c>
      <c r="H16" s="21" t="str">
        <f t="shared" si="2"/>
        <v/>
      </c>
      <c r="I16" s="21" t="str">
        <f t="shared" si="2"/>
        <v/>
      </c>
      <c r="J16" s="21" t="str">
        <f t="shared" si="2"/>
        <v/>
      </c>
      <c r="K16" s="21" t="str">
        <f t="shared" si="2"/>
        <v/>
      </c>
      <c r="L16" s="21" t="str">
        <f t="shared" si="2"/>
        <v/>
      </c>
      <c r="M16" s="21" t="str">
        <f t="shared" si="2"/>
        <v/>
      </c>
      <c r="N16" s="21" t="str">
        <f t="shared" si="2"/>
        <v/>
      </c>
      <c r="O16" s="21" t="str">
        <f t="shared" si="2"/>
        <v/>
      </c>
      <c r="P16" s="22" t="str">
        <f t="shared" si="2"/>
        <v/>
      </c>
      <c r="Q16" s="344"/>
    </row>
    <row r="17" spans="1:17" ht="17.25" customHeight="1" thickTop="1" thickBot="1">
      <c r="B17" s="484" t="s">
        <v>17</v>
      </c>
      <c r="C17" s="485"/>
      <c r="D17" s="24"/>
      <c r="E17" s="345">
        <f>SUM(E11,E13)</f>
        <v>0</v>
      </c>
      <c r="F17" s="26"/>
      <c r="G17" s="26"/>
      <c r="H17" s="26"/>
      <c r="I17" s="26"/>
      <c r="J17" s="26"/>
      <c r="K17" s="26"/>
      <c r="L17" s="26"/>
      <c r="M17" s="26"/>
      <c r="N17" s="26"/>
      <c r="O17" s="26"/>
      <c r="P17" s="27"/>
      <c r="Q17" s="28">
        <f>SUM(Q11,Q13)</f>
        <v>0</v>
      </c>
    </row>
    <row r="18" spans="1:17" ht="17.25" customHeight="1">
      <c r="C18" s="3"/>
      <c r="D18" s="3"/>
      <c r="F18" s="29"/>
      <c r="G18" s="29"/>
      <c r="H18" s="29"/>
      <c r="I18" s="29"/>
      <c r="J18" s="29"/>
      <c r="K18" s="29"/>
      <c r="L18" s="29"/>
      <c r="M18" s="29"/>
      <c r="N18" s="29"/>
      <c r="O18" s="29"/>
      <c r="P18" s="29"/>
      <c r="Q18" s="346"/>
    </row>
    <row r="19" spans="1:17" ht="17.25" customHeight="1">
      <c r="C19" s="3"/>
      <c r="D19" s="3"/>
      <c r="F19" s="29"/>
      <c r="G19" s="29"/>
      <c r="H19" s="29"/>
      <c r="I19" s="29"/>
      <c r="J19" s="29"/>
      <c r="K19" s="29"/>
      <c r="L19" s="29"/>
      <c r="M19" s="29"/>
      <c r="N19" s="29"/>
      <c r="O19" s="29"/>
      <c r="P19" s="29"/>
      <c r="Q19" s="346"/>
    </row>
    <row r="20" spans="1:17" ht="17.25" customHeight="1" thickBot="1">
      <c r="A20" s="57" t="s">
        <v>29</v>
      </c>
      <c r="B20" s="57"/>
      <c r="E20" s="30"/>
      <c r="Q20" s="346"/>
    </row>
    <row r="21" spans="1:17" ht="17.25" customHeight="1">
      <c r="B21" s="615" t="s">
        <v>19</v>
      </c>
      <c r="C21" s="616"/>
      <c r="D21" s="617"/>
      <c r="E21" s="347">
        <v>4</v>
      </c>
      <c r="F21" s="6">
        <v>5</v>
      </c>
      <c r="G21" s="7">
        <v>6</v>
      </c>
      <c r="H21" s="33">
        <v>7</v>
      </c>
      <c r="I21" s="7">
        <v>8</v>
      </c>
      <c r="J21" s="7">
        <v>9</v>
      </c>
      <c r="K21" s="33">
        <v>10</v>
      </c>
      <c r="L21" s="7">
        <v>11</v>
      </c>
      <c r="M21" s="7">
        <v>12</v>
      </c>
      <c r="N21" s="7">
        <v>1</v>
      </c>
      <c r="O21" s="7">
        <v>2</v>
      </c>
      <c r="P21" s="8">
        <v>3</v>
      </c>
      <c r="Q21" s="599" t="s">
        <v>7</v>
      </c>
    </row>
    <row r="22" spans="1:17" ht="17.25" customHeight="1">
      <c r="B22" s="618"/>
      <c r="C22" s="619"/>
      <c r="D22" s="620"/>
      <c r="E22" s="59" t="s">
        <v>8</v>
      </c>
      <c r="F22" s="534" t="s">
        <v>20</v>
      </c>
      <c r="G22" s="517"/>
      <c r="H22" s="517"/>
      <c r="I22" s="517"/>
      <c r="J22" s="517"/>
      <c r="K22" s="517"/>
      <c r="L22" s="517"/>
      <c r="M22" s="517"/>
      <c r="N22" s="517"/>
      <c r="O22" s="517"/>
      <c r="P22" s="518"/>
      <c r="Q22" s="600"/>
    </row>
    <row r="23" spans="1:17" ht="17.25" customHeight="1">
      <c r="B23" s="607" t="s">
        <v>9</v>
      </c>
      <c r="C23" s="608"/>
      <c r="D23" s="41" t="s">
        <v>10</v>
      </c>
      <c r="E23" s="348"/>
      <c r="F23" s="349" t="str">
        <f>IFERROR($E$23*F12,"")</f>
        <v/>
      </c>
      <c r="G23" s="37" t="str">
        <f>IFERROR($E$23*G12,"")</f>
        <v/>
      </c>
      <c r="H23" s="37" t="str">
        <f>IFERROR($E$23*H12,"")</f>
        <v/>
      </c>
      <c r="I23" s="37" t="str">
        <f t="shared" ref="I23:K23" si="3">IFERROR($E$23*I12,"")</f>
        <v/>
      </c>
      <c r="J23" s="350" t="str">
        <f t="shared" si="3"/>
        <v/>
      </c>
      <c r="K23" s="38" t="str">
        <f t="shared" si="3"/>
        <v/>
      </c>
      <c r="L23" s="37" t="str">
        <f>IFERROR($E$23*L12,"")</f>
        <v/>
      </c>
      <c r="M23" s="37" t="str">
        <f t="shared" ref="M23:P23" si="4">IFERROR($E$23*M12,"")</f>
        <v/>
      </c>
      <c r="N23" s="37" t="str">
        <f>IFERROR($E$23*N12,"")</f>
        <v/>
      </c>
      <c r="O23" s="37" t="str">
        <f t="shared" si="4"/>
        <v/>
      </c>
      <c r="P23" s="351" t="str">
        <f t="shared" si="4"/>
        <v/>
      </c>
      <c r="Q23" s="40">
        <f>ROUND(SUM(E23:P23)/12,0)</f>
        <v>0</v>
      </c>
    </row>
    <row r="24" spans="1:17" ht="17.25" customHeight="1">
      <c r="B24" s="621" t="s">
        <v>13</v>
      </c>
      <c r="C24" s="608"/>
      <c r="D24" s="41" t="s">
        <v>10</v>
      </c>
      <c r="E24" s="348"/>
      <c r="F24" s="349" t="str">
        <f>IFERROR($E$24*F14,"")</f>
        <v/>
      </c>
      <c r="G24" s="37" t="str">
        <f>IFERROR($E$24*G14,"")</f>
        <v/>
      </c>
      <c r="H24" s="37" t="str">
        <f t="shared" ref="H24:K24" si="5">IFERROR($E$24*H14,"")</f>
        <v/>
      </c>
      <c r="I24" s="37" t="str">
        <f t="shared" si="5"/>
        <v/>
      </c>
      <c r="J24" s="350" t="str">
        <f t="shared" si="5"/>
        <v/>
      </c>
      <c r="K24" s="38" t="str">
        <f t="shared" si="5"/>
        <v/>
      </c>
      <c r="L24" s="37" t="str">
        <f>IFERROR($E$24*L14,"")</f>
        <v/>
      </c>
      <c r="M24" s="37" t="str">
        <f>IFERROR($E$24*M14,"")</f>
        <v/>
      </c>
      <c r="N24" s="37" t="str">
        <f t="shared" ref="N24:P24" si="6">IFERROR($E$24*N14,"")</f>
        <v/>
      </c>
      <c r="O24" s="37" t="str">
        <f t="shared" si="6"/>
        <v/>
      </c>
      <c r="P24" s="351" t="str">
        <f t="shared" si="6"/>
        <v/>
      </c>
      <c r="Q24" s="40">
        <f>ROUND(SUM(E24:P24)/12,0)</f>
        <v>0</v>
      </c>
    </row>
    <row r="25" spans="1:17" ht="17.25" customHeight="1" thickBot="1">
      <c r="B25" s="352"/>
      <c r="C25" s="353" t="s">
        <v>145</v>
      </c>
      <c r="D25" s="44" t="s">
        <v>10</v>
      </c>
      <c r="E25" s="354"/>
      <c r="F25" s="355" t="str">
        <f>IFERROR($E$25*F16,"")</f>
        <v/>
      </c>
      <c r="G25" s="46" t="str">
        <f t="shared" ref="G25:P25" si="7">IFERROR($E$25*G16,"")</f>
        <v/>
      </c>
      <c r="H25" s="46" t="str">
        <f t="shared" si="7"/>
        <v/>
      </c>
      <c r="I25" s="46" t="str">
        <f t="shared" si="7"/>
        <v/>
      </c>
      <c r="J25" s="356" t="str">
        <f t="shared" si="7"/>
        <v/>
      </c>
      <c r="K25" s="47" t="str">
        <f t="shared" si="7"/>
        <v/>
      </c>
      <c r="L25" s="46" t="str">
        <f t="shared" si="7"/>
        <v/>
      </c>
      <c r="M25" s="46" t="str">
        <f t="shared" si="7"/>
        <v/>
      </c>
      <c r="N25" s="46" t="str">
        <f t="shared" si="7"/>
        <v/>
      </c>
      <c r="O25" s="46" t="str">
        <f t="shared" si="7"/>
        <v/>
      </c>
      <c r="P25" s="357" t="str">
        <f t="shared" si="7"/>
        <v/>
      </c>
      <c r="Q25" s="49">
        <f>ROUND(SUM(E25:P25)/12,0)</f>
        <v>0</v>
      </c>
    </row>
    <row r="26" spans="1:17" ht="17.25" customHeight="1" thickTop="1" thickBot="1">
      <c r="B26" s="526" t="s">
        <v>17</v>
      </c>
      <c r="C26" s="527"/>
      <c r="D26" s="50"/>
      <c r="E26" s="71">
        <f>SUM(E23,E24)</f>
        <v>0</v>
      </c>
      <c r="F26" s="358"/>
      <c r="G26" s="359"/>
      <c r="H26" s="360"/>
      <c r="I26" s="359"/>
      <c r="J26" s="360"/>
      <c r="K26" s="359"/>
      <c r="L26" s="52"/>
      <c r="M26" s="53"/>
      <c r="N26" s="53"/>
      <c r="O26" s="53"/>
      <c r="P26" s="54"/>
      <c r="Q26" s="55">
        <f>SUM(Q23,Q24)</f>
        <v>0</v>
      </c>
    </row>
    <row r="27" spans="1:17" ht="17.25" customHeight="1">
      <c r="C27" s="56" t="s">
        <v>22</v>
      </c>
    </row>
    <row r="28" spans="1:17" ht="17.25" customHeight="1"/>
    <row r="29" spans="1:17" ht="17.25" customHeight="1"/>
    <row r="30" spans="1:17" ht="17.25" customHeight="1"/>
    <row r="31" spans="1:17" ht="17.25" customHeight="1"/>
    <row r="32" spans="1:17" ht="17.25" customHeight="1" thickBot="1">
      <c r="A32" s="57" t="s">
        <v>23</v>
      </c>
      <c r="B32" s="57"/>
      <c r="E32" s="30"/>
    </row>
    <row r="33" spans="2:17" ht="17.25" customHeight="1">
      <c r="B33" s="622" t="str">
        <f>B21</f>
        <v>６年度</v>
      </c>
      <c r="C33" s="623"/>
      <c r="D33" s="624"/>
      <c r="E33" s="31">
        <v>4</v>
      </c>
      <c r="F33" s="32">
        <v>5</v>
      </c>
      <c r="G33" s="7">
        <v>6</v>
      </c>
      <c r="H33" s="33">
        <v>7</v>
      </c>
      <c r="I33" s="7">
        <v>8</v>
      </c>
      <c r="J33" s="7">
        <v>9</v>
      </c>
      <c r="K33" s="33">
        <v>10</v>
      </c>
      <c r="L33" s="7">
        <v>11</v>
      </c>
      <c r="M33" s="7">
        <v>12</v>
      </c>
      <c r="N33" s="7">
        <v>1</v>
      </c>
      <c r="O33" s="7">
        <v>2</v>
      </c>
      <c r="P33" s="8">
        <v>3</v>
      </c>
      <c r="Q33" s="515" t="s">
        <v>7</v>
      </c>
    </row>
    <row r="34" spans="2:17" ht="17.25" customHeight="1">
      <c r="B34" s="625"/>
      <c r="C34" s="626"/>
      <c r="D34" s="627"/>
      <c r="E34" s="34" t="s">
        <v>8</v>
      </c>
      <c r="F34" s="517" t="s">
        <v>24</v>
      </c>
      <c r="G34" s="517"/>
      <c r="H34" s="517"/>
      <c r="I34" s="517"/>
      <c r="J34" s="517"/>
      <c r="K34" s="517"/>
      <c r="L34" s="517"/>
      <c r="M34" s="517"/>
      <c r="N34" s="517"/>
      <c r="O34" s="517"/>
      <c r="P34" s="518"/>
      <c r="Q34" s="516"/>
    </row>
    <row r="35" spans="2:17" ht="17.25" customHeight="1">
      <c r="B35" s="607" t="s">
        <v>9</v>
      </c>
      <c r="C35" s="608"/>
      <c r="D35" s="41" t="s">
        <v>10</v>
      </c>
      <c r="E35" s="361">
        <f>E23</f>
        <v>0</v>
      </c>
      <c r="F35" s="362"/>
      <c r="G35" s="63"/>
      <c r="H35" s="63"/>
      <c r="I35" s="63"/>
      <c r="J35" s="363"/>
      <c r="K35" s="63"/>
      <c r="L35" s="362"/>
      <c r="M35" s="63"/>
      <c r="N35" s="63"/>
      <c r="O35" s="63"/>
      <c r="P35" s="64"/>
      <c r="Q35" s="40">
        <f>ROUND(SUM(E35:P35)/12,0)</f>
        <v>0</v>
      </c>
    </row>
    <row r="36" spans="2:17" ht="17.25" customHeight="1">
      <c r="B36" s="621" t="s">
        <v>13</v>
      </c>
      <c r="C36" s="608"/>
      <c r="D36" s="41" t="s">
        <v>10</v>
      </c>
      <c r="E36" s="361">
        <f>E24</f>
        <v>0</v>
      </c>
      <c r="F36" s="362"/>
      <c r="G36" s="63"/>
      <c r="H36" s="63"/>
      <c r="I36" s="63"/>
      <c r="J36" s="363"/>
      <c r="K36" s="63"/>
      <c r="L36" s="362"/>
      <c r="M36" s="63"/>
      <c r="N36" s="63"/>
      <c r="O36" s="63"/>
      <c r="P36" s="64"/>
      <c r="Q36" s="40">
        <f>ROUND(SUM(E36:P36)/12,0)</f>
        <v>0</v>
      </c>
    </row>
    <row r="37" spans="2:17" ht="17.25" customHeight="1" thickBot="1">
      <c r="B37" s="364"/>
      <c r="C37" s="365" t="s">
        <v>145</v>
      </c>
      <c r="D37" s="44" t="s">
        <v>10</v>
      </c>
      <c r="E37" s="366">
        <f>E25</f>
        <v>0</v>
      </c>
      <c r="F37" s="367"/>
      <c r="G37" s="68"/>
      <c r="H37" s="68"/>
      <c r="I37" s="68"/>
      <c r="J37" s="368"/>
      <c r="K37" s="68"/>
      <c r="L37" s="367"/>
      <c r="M37" s="68"/>
      <c r="N37" s="68"/>
      <c r="O37" s="68"/>
      <c r="P37" s="69"/>
      <c r="Q37" s="49">
        <f>ROUND(SUM(E37:P37)/12,0)</f>
        <v>0</v>
      </c>
    </row>
    <row r="38" spans="2:17" ht="17.25" customHeight="1" thickTop="1" thickBot="1">
      <c r="B38" s="484" t="s">
        <v>17</v>
      </c>
      <c r="C38" s="485"/>
      <c r="D38" s="70"/>
      <c r="E38" s="55">
        <f>SUM(E35,E36)</f>
        <v>0</v>
      </c>
      <c r="F38" s="369"/>
      <c r="G38" s="26"/>
      <c r="H38" s="26"/>
      <c r="I38" s="26"/>
      <c r="J38" s="370"/>
      <c r="K38" s="26"/>
      <c r="L38" s="369"/>
      <c r="M38" s="26"/>
      <c r="N38" s="26"/>
      <c r="O38" s="26"/>
      <c r="P38" s="27"/>
      <c r="Q38" s="55">
        <f>SUM(Q35,Q36)</f>
        <v>0</v>
      </c>
    </row>
    <row r="39" spans="2:17" ht="17.25" customHeight="1">
      <c r="C39" s="56" t="s">
        <v>22</v>
      </c>
      <c r="E39" s="73"/>
      <c r="F39" s="73"/>
      <c r="G39" s="73"/>
      <c r="H39" s="73"/>
      <c r="I39" s="73"/>
      <c r="J39" s="73"/>
      <c r="K39" s="73"/>
      <c r="L39" s="73"/>
      <c r="M39" s="73"/>
      <c r="N39" s="73"/>
      <c r="O39" s="73"/>
      <c r="P39" s="73"/>
      <c r="Q39" s="73"/>
    </row>
    <row r="40" spans="2:17" ht="17.25" customHeight="1">
      <c r="E40" s="73"/>
      <c r="F40" s="73"/>
      <c r="G40" s="73"/>
      <c r="H40" s="73"/>
      <c r="I40" s="73"/>
      <c r="J40" s="73"/>
      <c r="K40" s="73"/>
      <c r="L40" s="73"/>
      <c r="M40" s="73"/>
      <c r="N40" s="73"/>
      <c r="O40" s="73"/>
      <c r="P40" s="73"/>
      <c r="Q40" s="73"/>
    </row>
    <row r="41" spans="2:17" ht="17.25" customHeight="1" thickBot="1">
      <c r="C41" s="74" t="s">
        <v>25</v>
      </c>
    </row>
    <row r="42" spans="2:17" ht="94.5" customHeight="1" thickBot="1">
      <c r="C42" s="521" t="s">
        <v>146</v>
      </c>
      <c r="D42" s="522"/>
      <c r="E42" s="522"/>
      <c r="F42" s="522"/>
      <c r="G42" s="522"/>
      <c r="H42" s="522"/>
      <c r="I42" s="522"/>
      <c r="J42" s="522"/>
      <c r="K42" s="522"/>
      <c r="L42" s="522"/>
      <c r="M42" s="522"/>
      <c r="N42" s="522"/>
      <c r="O42" s="522"/>
      <c r="P42" s="522"/>
      <c r="Q42" s="523"/>
    </row>
    <row r="43" spans="2:17" ht="17.25" customHeight="1"/>
    <row r="44" spans="2:17" ht="17.25" customHeight="1"/>
    <row r="45" spans="2:17" ht="17.25" customHeight="1"/>
    <row r="46" spans="2:17" ht="17.25" customHeight="1"/>
    <row r="47" spans="2:17" ht="17.25" customHeight="1"/>
    <row r="48" spans="2: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sheetData>
  <sheetProtection algorithmName="SHA-512" hashValue="JN51pThiNk0IV9TbmmM9sEy4/77LWEBgJl4NUVTR9lJQrUg/kSmCgKUewaWnFHrqEf/WpHFH32gQE0MCp7IZJA==" saltValue="f3VTAKj/3PmPfT3Kcsg+Aw==" spinCount="100000" sheet="1" objects="1" scenarios="1"/>
  <mergeCells count="23">
    <mergeCell ref="B35:C35"/>
    <mergeCell ref="B36:C36"/>
    <mergeCell ref="B38:C38"/>
    <mergeCell ref="C42:Q42"/>
    <mergeCell ref="B23:C23"/>
    <mergeCell ref="B24:C24"/>
    <mergeCell ref="B26:C26"/>
    <mergeCell ref="B33:D34"/>
    <mergeCell ref="Q33:Q34"/>
    <mergeCell ref="F34:P34"/>
    <mergeCell ref="Q21:Q22"/>
    <mergeCell ref="F22:P22"/>
    <mergeCell ref="A1:Q1"/>
    <mergeCell ref="H3:L3"/>
    <mergeCell ref="M3:Q3"/>
    <mergeCell ref="B9:D10"/>
    <mergeCell ref="Q9:Q10"/>
    <mergeCell ref="E10:P10"/>
    <mergeCell ref="B11:C12"/>
    <mergeCell ref="B13:C14"/>
    <mergeCell ref="C15:C16"/>
    <mergeCell ref="B17:C17"/>
    <mergeCell ref="B21:D22"/>
  </mergeCells>
  <phoneticPr fontId="3"/>
  <pageMargins left="0.61" right="0.27559055118110237" top="0.55118110236220474" bottom="0.19685039370078741" header="0.31496062992125984" footer="0.19685039370078741"/>
  <pageSetup paperSize="9" scale="83" fitToHeight="0" orientation="portrait"/>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3D5C-B729-40FF-BA19-57181D7812E0}">
  <sheetPr>
    <tabColor rgb="FF00B0F0"/>
    <pageSetUpPr fitToPage="1"/>
  </sheetPr>
  <dimension ref="A1:J113"/>
  <sheetViews>
    <sheetView view="pageBreakPreview" zoomScale="80" zoomScaleNormal="70" zoomScaleSheetLayoutView="80" workbookViewId="0">
      <selection activeCell="G18" sqref="G18"/>
    </sheetView>
  </sheetViews>
  <sheetFormatPr defaultColWidth="9" defaultRowHeight="18.75"/>
  <cols>
    <col min="1" max="1" width="2.875" style="83" customWidth="1"/>
    <col min="2" max="2" width="3" style="80" customWidth="1"/>
    <col min="3" max="3" width="14.625" style="80" customWidth="1"/>
    <col min="4" max="4" width="32.625" style="80" customWidth="1"/>
    <col min="5" max="5" width="12" style="80" customWidth="1"/>
    <col min="6" max="6" width="10.25" style="80" customWidth="1"/>
    <col min="7" max="7" width="15.5" style="82" customWidth="1"/>
    <col min="8" max="8" width="14.25" style="82" customWidth="1"/>
    <col min="9" max="9" width="12.125" style="82" customWidth="1"/>
    <col min="10" max="10" width="29" style="82" customWidth="1"/>
    <col min="11" max="16384" width="9" style="83"/>
  </cols>
  <sheetData>
    <row r="1" spans="1:10" s="78" customFormat="1" ht="31.5" customHeight="1">
      <c r="A1" s="628" t="s">
        <v>147</v>
      </c>
      <c r="B1" s="628"/>
      <c r="C1" s="628"/>
      <c r="D1" s="628"/>
      <c r="E1" s="628"/>
      <c r="F1" s="628"/>
      <c r="G1" s="628"/>
      <c r="H1" s="628"/>
      <c r="I1" s="77"/>
      <c r="J1" s="77"/>
    </row>
    <row r="2" spans="1:10" ht="19.5" customHeight="1" thickBot="1">
      <c r="A2" s="218"/>
      <c r="B2" s="218"/>
      <c r="C2" s="218"/>
      <c r="D2" s="218"/>
      <c r="E2" s="218"/>
      <c r="F2" s="218"/>
      <c r="G2" s="220"/>
      <c r="H2" s="220"/>
    </row>
    <row r="3" spans="1:10" ht="19.5" customHeight="1" thickBot="1">
      <c r="A3" s="218"/>
      <c r="B3" s="218"/>
      <c r="C3" s="96" t="s">
        <v>1</v>
      </c>
      <c r="D3" s="96"/>
      <c r="E3" s="565"/>
      <c r="F3" s="566"/>
      <c r="G3" s="567"/>
      <c r="H3" s="218"/>
      <c r="J3" s="83"/>
    </row>
    <row r="4" spans="1:10" ht="19.5" customHeight="1">
      <c r="A4" s="218"/>
      <c r="B4" s="218"/>
      <c r="C4" s="96"/>
      <c r="D4" s="96"/>
      <c r="E4" s="96"/>
      <c r="F4" s="96"/>
      <c r="G4" s="96"/>
      <c r="H4" s="96"/>
      <c r="J4" s="83"/>
    </row>
    <row r="5" spans="1:10" ht="19.5" customHeight="1" thickBot="1">
      <c r="A5" s="221" t="s">
        <v>31</v>
      </c>
      <c r="B5" s="218"/>
      <c r="C5" s="96"/>
      <c r="D5" s="96"/>
      <c r="E5" s="96"/>
      <c r="F5" s="96"/>
      <c r="G5" s="96"/>
      <c r="H5" s="96"/>
      <c r="J5" s="83"/>
    </row>
    <row r="6" spans="1:10" ht="19.5" customHeight="1">
      <c r="A6" s="221"/>
      <c r="B6" s="568"/>
      <c r="C6" s="569"/>
      <c r="D6" s="569"/>
      <c r="E6" s="569"/>
      <c r="F6" s="371" t="s">
        <v>33</v>
      </c>
      <c r="G6" s="96"/>
      <c r="H6" s="96"/>
      <c r="I6" s="81"/>
    </row>
    <row r="7" spans="1:10" ht="19.5" customHeight="1">
      <c r="A7" s="221"/>
      <c r="B7" s="570" t="s">
        <v>36</v>
      </c>
      <c r="C7" s="562"/>
      <c r="D7" s="562"/>
      <c r="E7" s="562"/>
      <c r="F7" s="372"/>
      <c r="G7" s="96"/>
      <c r="H7" s="96"/>
      <c r="I7" s="81"/>
    </row>
    <row r="8" spans="1:10" ht="19.5" customHeight="1">
      <c r="A8" s="221"/>
      <c r="B8" s="572" t="s">
        <v>148</v>
      </c>
      <c r="C8" s="573"/>
      <c r="D8" s="573"/>
      <c r="E8" s="573"/>
      <c r="F8" s="373">
        <f>F9+F10</f>
        <v>0</v>
      </c>
      <c r="G8" s="96"/>
      <c r="H8" s="96"/>
      <c r="I8" s="81"/>
    </row>
    <row r="9" spans="1:10" ht="19.5" customHeight="1">
      <c r="A9" s="221"/>
      <c r="B9" s="228"/>
      <c r="C9" s="576" t="s">
        <v>38</v>
      </c>
      <c r="D9" s="574"/>
      <c r="E9" s="574"/>
      <c r="F9" s="97">
        <f>【幼稚園】児童数!Q23</f>
        <v>0</v>
      </c>
      <c r="G9" s="96"/>
      <c r="H9" s="96"/>
      <c r="I9" s="81"/>
    </row>
    <row r="10" spans="1:10" ht="19.5" customHeight="1">
      <c r="A10" s="221"/>
      <c r="B10" s="228"/>
      <c r="C10" s="576" t="s">
        <v>149</v>
      </c>
      <c r="D10" s="574"/>
      <c r="E10" s="574"/>
      <c r="F10" s="97">
        <f>【幼稚園】児童数!Q24</f>
        <v>0</v>
      </c>
      <c r="G10" s="96"/>
      <c r="H10" s="96"/>
      <c r="I10" s="81"/>
    </row>
    <row r="11" spans="1:10" ht="19.5" customHeight="1" thickBot="1">
      <c r="A11" s="221"/>
      <c r="B11" s="374"/>
      <c r="C11" s="577" t="s">
        <v>144</v>
      </c>
      <c r="D11" s="578"/>
      <c r="E11" s="578"/>
      <c r="F11" s="100">
        <f>【幼稚園】児童数!Q25</f>
        <v>0</v>
      </c>
      <c r="G11" s="96"/>
      <c r="H11" s="96"/>
      <c r="I11" s="81"/>
    </row>
    <row r="12" spans="1:10" ht="22.5" customHeight="1">
      <c r="A12" s="221"/>
      <c r="B12" s="240" t="s">
        <v>40</v>
      </c>
      <c r="C12" s="579" t="s">
        <v>104</v>
      </c>
      <c r="D12" s="579"/>
      <c r="E12" s="579"/>
      <c r="F12" s="579"/>
      <c r="G12" s="579"/>
      <c r="H12" s="96"/>
      <c r="I12" s="81"/>
    </row>
    <row r="13" spans="1:10" ht="22.5" customHeight="1">
      <c r="A13" s="218"/>
      <c r="B13" s="240"/>
      <c r="C13" s="579"/>
      <c r="D13" s="579"/>
      <c r="E13" s="579"/>
      <c r="F13" s="579"/>
      <c r="G13" s="579"/>
      <c r="H13" s="96"/>
      <c r="J13" s="83"/>
    </row>
    <row r="14" spans="1:10" ht="24" customHeight="1">
      <c r="A14" s="219"/>
      <c r="B14" s="375"/>
      <c r="C14" s="218"/>
      <c r="D14" s="218"/>
      <c r="E14" s="218"/>
      <c r="F14" s="220"/>
      <c r="G14" s="376"/>
      <c r="H14" s="332"/>
      <c r="J14" s="83"/>
    </row>
    <row r="15" spans="1:10" ht="19.5" customHeight="1" thickBot="1">
      <c r="A15" s="221" t="s">
        <v>42</v>
      </c>
      <c r="B15" s="218"/>
      <c r="C15" s="218"/>
      <c r="D15" s="218"/>
      <c r="E15" s="218"/>
      <c r="F15" s="220"/>
      <c r="G15" s="220"/>
      <c r="H15" s="220"/>
      <c r="J15" s="83"/>
    </row>
    <row r="16" spans="1:10" ht="33.75" customHeight="1">
      <c r="A16" s="219"/>
      <c r="B16" s="377"/>
      <c r="C16" s="631"/>
      <c r="D16" s="632"/>
      <c r="E16" s="378" t="s">
        <v>44</v>
      </c>
      <c r="F16" s="379" t="s">
        <v>96</v>
      </c>
      <c r="G16" s="380" t="s">
        <v>45</v>
      </c>
      <c r="H16" s="219"/>
      <c r="I16" s="83"/>
      <c r="J16" s="83"/>
    </row>
    <row r="17" spans="1:10" ht="24" customHeight="1">
      <c r="A17" s="219"/>
      <c r="B17" s="381" t="s">
        <v>46</v>
      </c>
      <c r="C17" s="562" t="s">
        <v>47</v>
      </c>
      <c r="D17" s="633"/>
      <c r="E17" s="382"/>
      <c r="F17" s="383"/>
      <c r="G17" s="384">
        <f>G21*1.1</f>
        <v>0</v>
      </c>
      <c r="H17" s="219"/>
      <c r="I17" s="83"/>
      <c r="J17" s="83"/>
    </row>
    <row r="18" spans="1:10" ht="24" customHeight="1">
      <c r="A18" s="219"/>
      <c r="B18" s="385"/>
      <c r="C18" s="634" t="s">
        <v>150</v>
      </c>
      <c r="D18" s="635"/>
      <c r="E18" s="386" t="s">
        <v>180</v>
      </c>
      <c r="F18" s="387"/>
      <c r="G18" s="388">
        <f>IF($E$18="あり",ROUNDDOWN($F$9*1/25,1),ROUNDDOWN($F$9*1/30,1))</f>
        <v>0</v>
      </c>
      <c r="H18" s="219"/>
      <c r="I18" s="83"/>
      <c r="J18" s="83"/>
    </row>
    <row r="19" spans="1:10" ht="24" customHeight="1">
      <c r="A19" s="219"/>
      <c r="B19" s="385"/>
      <c r="C19" s="636" t="s">
        <v>151</v>
      </c>
      <c r="D19" s="637"/>
      <c r="E19" s="386"/>
      <c r="F19" s="389"/>
      <c r="G19" s="638">
        <f>IF($E$19="あり",IF($E$20="あり",ROUNDDOWN(($F$10-$F$11)*1/15,1)+ROUNDDOWN($F$11*1/6,1),ROUNDDOWN($F$10*1/15,1)),IF($E$20="あり",ROUNDDOWN(($F$10-$F$11)*1/20,1)+ROUNDDOWN($F$11*1/6,1),ROUNDDOWN($F$10*1/20,1)))</f>
        <v>0</v>
      </c>
      <c r="H19" s="390"/>
      <c r="I19" s="83"/>
      <c r="J19" s="83"/>
    </row>
    <row r="20" spans="1:10" ht="24" customHeight="1" thickBot="1">
      <c r="A20" s="219"/>
      <c r="B20" s="391"/>
      <c r="C20" s="640" t="s">
        <v>152</v>
      </c>
      <c r="D20" s="641"/>
      <c r="E20" s="392"/>
      <c r="F20" s="393"/>
      <c r="G20" s="639"/>
      <c r="H20" s="390"/>
      <c r="I20" s="83"/>
      <c r="J20" s="83"/>
    </row>
    <row r="21" spans="1:10" ht="24" customHeight="1" thickTop="1">
      <c r="A21" s="219"/>
      <c r="B21" s="394"/>
      <c r="C21" s="642" t="s">
        <v>153</v>
      </c>
      <c r="D21" s="643"/>
      <c r="E21" s="395"/>
      <c r="F21" s="396"/>
      <c r="G21" s="397">
        <f>ROUND(SUM($G$18:$G$20),0)</f>
        <v>0</v>
      </c>
      <c r="H21" s="390"/>
      <c r="I21" s="83"/>
      <c r="J21" s="83"/>
    </row>
    <row r="22" spans="1:10" ht="24" customHeight="1" thickBot="1">
      <c r="A22" s="219"/>
      <c r="B22" s="398" t="s">
        <v>53</v>
      </c>
      <c r="C22" s="629" t="s">
        <v>116</v>
      </c>
      <c r="D22" s="630"/>
      <c r="E22" s="399"/>
      <c r="F22" s="400"/>
      <c r="G22" s="401">
        <f>IF(E22="あり",0.7,0)</f>
        <v>0</v>
      </c>
      <c r="H22" s="390"/>
      <c r="I22" s="83"/>
      <c r="J22" s="83"/>
    </row>
    <row r="23" spans="1:10" ht="24" customHeight="1" thickBot="1">
      <c r="A23" s="219"/>
      <c r="B23" s="398" t="s">
        <v>55</v>
      </c>
      <c r="C23" s="629" t="s">
        <v>117</v>
      </c>
      <c r="D23" s="630"/>
      <c r="E23" s="154"/>
      <c r="F23" s="91"/>
      <c r="G23" s="401">
        <f>IF(E23="あり",F23*1.1,0)</f>
        <v>0</v>
      </c>
      <c r="H23" s="219"/>
      <c r="I23" s="83"/>
      <c r="J23" s="83"/>
    </row>
    <row r="24" spans="1:10" ht="24" customHeight="1" thickBot="1">
      <c r="A24" s="219"/>
      <c r="B24" s="381" t="s">
        <v>57</v>
      </c>
      <c r="C24" s="629" t="s">
        <v>118</v>
      </c>
      <c r="D24" s="630"/>
      <c r="E24" s="402"/>
      <c r="F24" s="403"/>
      <c r="G24" s="404">
        <f>IF(E24="あり",IF(F7&gt;=151,1.3,0.7),0)</f>
        <v>0</v>
      </c>
      <c r="H24" s="219"/>
      <c r="I24" s="83"/>
      <c r="J24" s="83"/>
    </row>
    <row r="25" spans="1:10" ht="24" customHeight="1" thickBot="1">
      <c r="A25" s="219"/>
      <c r="B25" s="381" t="s">
        <v>59</v>
      </c>
      <c r="C25" s="649" t="s">
        <v>119</v>
      </c>
      <c r="D25" s="635"/>
      <c r="E25" s="224"/>
      <c r="F25" s="405"/>
      <c r="G25" s="401">
        <f>IF(E25="あり",IF(F25="自園調理",IF(F7&gt;=151,2.7,1.8),IF(F25="外部搬入",IF(F7&gt;=151,0.5,0.3),0)),0)</f>
        <v>0</v>
      </c>
      <c r="H25" s="219"/>
      <c r="I25" s="83"/>
      <c r="J25" s="83"/>
    </row>
    <row r="26" spans="1:10" ht="24" customHeight="1" thickBot="1">
      <c r="A26" s="219"/>
      <c r="B26" s="398" t="s">
        <v>61</v>
      </c>
      <c r="C26" s="629" t="s">
        <v>154</v>
      </c>
      <c r="D26" s="630"/>
      <c r="E26" s="399"/>
      <c r="F26" s="403"/>
      <c r="G26" s="401">
        <f>IF(E26="あり",0.8,0)</f>
        <v>0</v>
      </c>
      <c r="H26" s="219"/>
      <c r="I26" s="83"/>
      <c r="J26" s="83"/>
    </row>
    <row r="27" spans="1:10" ht="24" customHeight="1" thickBot="1">
      <c r="A27" s="219"/>
      <c r="B27" s="398" t="s">
        <v>63</v>
      </c>
      <c r="C27" s="562" t="s">
        <v>58</v>
      </c>
      <c r="D27" s="633"/>
      <c r="E27" s="157"/>
      <c r="F27" s="158"/>
      <c r="G27" s="401">
        <f>IF(E27="あり",IF(F27="A",0.3,IF(F27="B",0.2,0)),0)</f>
        <v>0</v>
      </c>
      <c r="H27" s="219"/>
      <c r="I27" s="83"/>
      <c r="J27" s="83"/>
    </row>
    <row r="28" spans="1:10" ht="24" customHeight="1">
      <c r="A28" s="219"/>
      <c r="B28" s="398" t="s">
        <v>65</v>
      </c>
      <c r="C28" s="629" t="s">
        <v>124</v>
      </c>
      <c r="D28" s="630"/>
      <c r="E28" s="399"/>
      <c r="F28" s="406"/>
      <c r="G28" s="401">
        <f>IF(E28="あり",0.7,0)</f>
        <v>0</v>
      </c>
      <c r="H28" s="219"/>
      <c r="I28" s="83"/>
      <c r="J28" s="83"/>
    </row>
    <row r="29" spans="1:10" ht="24" customHeight="1">
      <c r="A29" s="219"/>
      <c r="B29" s="398" t="s">
        <v>67</v>
      </c>
      <c r="C29" s="629" t="s">
        <v>126</v>
      </c>
      <c r="D29" s="630"/>
      <c r="E29" s="399"/>
      <c r="F29" s="407"/>
      <c r="G29" s="401">
        <f>IF(E29="あり",0.6,0)</f>
        <v>0</v>
      </c>
      <c r="H29" s="219"/>
      <c r="I29" s="83"/>
      <c r="J29" s="83"/>
    </row>
    <row r="30" spans="1:10" ht="24" customHeight="1">
      <c r="A30" s="219"/>
      <c r="B30" s="316" t="s">
        <v>69</v>
      </c>
      <c r="C30" s="629" t="s">
        <v>128</v>
      </c>
      <c r="D30" s="630"/>
      <c r="E30" s="399"/>
      <c r="F30" s="407"/>
      <c r="G30" s="401">
        <f>IF(E30="あり",0.6,0)</f>
        <v>0</v>
      </c>
      <c r="H30" s="219"/>
      <c r="I30" s="83"/>
      <c r="J30" s="83"/>
    </row>
    <row r="31" spans="1:10" ht="24" customHeight="1" thickBot="1">
      <c r="A31" s="219"/>
      <c r="B31" s="316" t="s">
        <v>71</v>
      </c>
      <c r="C31" s="629" t="s">
        <v>68</v>
      </c>
      <c r="D31" s="630"/>
      <c r="E31" s="399"/>
      <c r="F31" s="408"/>
      <c r="G31" s="401">
        <f>IF(E31="あり",0.5,0)</f>
        <v>0</v>
      </c>
      <c r="H31" s="219"/>
      <c r="I31" s="83"/>
      <c r="J31" s="83"/>
    </row>
    <row r="32" spans="1:10" ht="24" customHeight="1" thickBot="1">
      <c r="A32" s="219"/>
      <c r="B32" s="409" t="s">
        <v>123</v>
      </c>
      <c r="C32" s="644" t="s">
        <v>155</v>
      </c>
      <c r="D32" s="645"/>
      <c r="E32" s="410"/>
      <c r="F32" s="309"/>
      <c r="G32" s="411">
        <f>IF(E32="満たさない",-F32*1.1,0)</f>
        <v>0</v>
      </c>
      <c r="H32" s="219"/>
      <c r="I32" s="83"/>
      <c r="J32" s="83"/>
    </row>
    <row r="33" spans="1:10" ht="24" customHeight="1" thickBot="1">
      <c r="A33" s="219"/>
      <c r="B33" s="646" t="s">
        <v>156</v>
      </c>
      <c r="C33" s="647"/>
      <c r="D33" s="648"/>
      <c r="E33" s="412"/>
      <c r="F33" s="412"/>
      <c r="G33" s="413">
        <f>IF(F7&lt;=35,2.4,IF(F7&lt;=300,3.5,2.4))</f>
        <v>2.4</v>
      </c>
      <c r="H33" s="219"/>
      <c r="I33" s="83"/>
      <c r="J33" s="83"/>
    </row>
    <row r="34" spans="1:10" ht="24" customHeight="1" thickTop="1" thickBot="1">
      <c r="A34" s="219"/>
      <c r="B34" s="414" t="s">
        <v>17</v>
      </c>
      <c r="C34" s="415"/>
      <c r="D34" s="415"/>
      <c r="E34" s="415"/>
      <c r="F34" s="416"/>
      <c r="G34" s="417">
        <f>SUM(G17,G22:G33)</f>
        <v>2.4</v>
      </c>
      <c r="H34" s="219"/>
      <c r="I34" s="83"/>
      <c r="J34" s="83"/>
    </row>
    <row r="35" spans="1:10" ht="24" customHeight="1" thickBot="1">
      <c r="A35" s="219"/>
      <c r="B35" s="328" t="s">
        <v>74</v>
      </c>
      <c r="C35" s="329"/>
      <c r="D35" s="329"/>
      <c r="E35" s="329"/>
      <c r="F35" s="418"/>
      <c r="G35" s="419">
        <f>ROUND(G34,0)</f>
        <v>2</v>
      </c>
      <c r="H35" s="220"/>
      <c r="I35" s="83"/>
      <c r="J35" s="83"/>
    </row>
    <row r="36" spans="1:10" ht="24" customHeight="1">
      <c r="A36" s="219"/>
      <c r="B36" s="221"/>
      <c r="C36" s="221"/>
      <c r="D36" s="221"/>
      <c r="E36" s="221"/>
      <c r="F36" s="221"/>
      <c r="G36" s="220"/>
      <c r="H36" s="220"/>
      <c r="I36" s="83"/>
      <c r="J36" s="83"/>
    </row>
    <row r="37" spans="1:10" ht="27" customHeight="1" thickBot="1">
      <c r="A37" s="221" t="s">
        <v>139</v>
      </c>
      <c r="B37" s="218"/>
      <c r="C37" s="218"/>
      <c r="D37" s="218"/>
      <c r="E37" s="218"/>
      <c r="F37" s="220"/>
      <c r="G37" s="220"/>
      <c r="H37" s="220"/>
      <c r="J37" s="83"/>
    </row>
    <row r="38" spans="1:10" ht="21" customHeight="1" thickBot="1">
      <c r="A38" s="219"/>
      <c r="B38" s="420"/>
      <c r="C38" s="421">
        <v>11610</v>
      </c>
      <c r="D38" s="422" t="s">
        <v>157</v>
      </c>
      <c r="E38" s="422"/>
      <c r="F38" s="423"/>
      <c r="G38" s="212">
        <f>C38*G35</f>
        <v>23220</v>
      </c>
      <c r="H38" s="220"/>
      <c r="I38" s="83"/>
      <c r="J38" s="83"/>
    </row>
    <row r="39" spans="1:10" ht="33.75" customHeight="1"/>
    <row r="40" spans="1:10" ht="33.75" customHeight="1"/>
    <row r="41" spans="1:10" ht="33.75" customHeight="1"/>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sheetData>
  <sheetProtection algorithmName="SHA-512" hashValue="+wET8jkrqPPJn0TWioilQzUjnffuJ0xCgwTNMM051ZXsj6DEVSHAiJuq/1lx27rr7c9oUhM5eLkMpryO1IOXMg==" saltValue="SQTo44QFPK4uvSHskfl4xw==" spinCount="100000" sheet="1" objects="1" scenarios="1"/>
  <mergeCells count="28">
    <mergeCell ref="C30:D30"/>
    <mergeCell ref="C31:D31"/>
    <mergeCell ref="C32:D32"/>
    <mergeCell ref="B33:D33"/>
    <mergeCell ref="C24:D24"/>
    <mergeCell ref="C25:D25"/>
    <mergeCell ref="C26:D26"/>
    <mergeCell ref="C27:D27"/>
    <mergeCell ref="C28:D28"/>
    <mergeCell ref="C29:D29"/>
    <mergeCell ref="C23:D23"/>
    <mergeCell ref="C10:E10"/>
    <mergeCell ref="C11:E11"/>
    <mergeCell ref="C12:G13"/>
    <mergeCell ref="C16:D16"/>
    <mergeCell ref="C17:D17"/>
    <mergeCell ref="C18:D18"/>
    <mergeCell ref="C19:D19"/>
    <mergeCell ref="G19:G20"/>
    <mergeCell ref="C20:D20"/>
    <mergeCell ref="C21:D21"/>
    <mergeCell ref="C22:D22"/>
    <mergeCell ref="C9:E9"/>
    <mergeCell ref="A1:H1"/>
    <mergeCell ref="E3:G3"/>
    <mergeCell ref="B6:E6"/>
    <mergeCell ref="B7:E7"/>
    <mergeCell ref="B8:E8"/>
  </mergeCells>
  <phoneticPr fontId="3"/>
  <dataValidations count="4">
    <dataValidation type="list" allowBlank="1" showInputMessage="1" showErrorMessage="1" sqref="E32" xr:uid="{EE6ED97E-3D46-48BD-9719-7B36BE1485CD}">
      <formula1>"　,満たす,満たさない"</formula1>
    </dataValidation>
    <dataValidation type="list" allowBlank="1" showInputMessage="1" showErrorMessage="1" sqref="E18:E20 E22:E31" xr:uid="{3AD63474-7DE8-4D44-AE1F-5C9FCB0590E7}">
      <formula1>"　,あり,なし"</formula1>
    </dataValidation>
    <dataValidation type="list" allowBlank="1" showInputMessage="1" showErrorMessage="1" sqref="F25" xr:uid="{6D53A12D-0F4D-4757-9A86-5115E9AD23A9}">
      <formula1>"自園調理,外部搬入"</formula1>
    </dataValidation>
    <dataValidation type="list" allowBlank="1" showInputMessage="1" showErrorMessage="1" sqref="F27" xr:uid="{BD2A6D1A-7DE8-46DA-9814-59137218858D}">
      <formula1>"A,B"</formula1>
    </dataValidation>
  </dataValidations>
  <pageMargins left="0.92" right="0.56000000000000005" top="0.75" bottom="0.75" header="0.3" footer="0.3"/>
  <pageSetup paperSize="9" scale="84"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【保育所】児童数</vt:lpstr>
      <vt:lpstr>【保育所】児童数 (分園)</vt:lpstr>
      <vt:lpstr>【保育所】対象人数</vt:lpstr>
      <vt:lpstr>【認こ】（1号）児童数</vt:lpstr>
      <vt:lpstr>【認こ】（2・3号）児童数</vt:lpstr>
      <vt:lpstr>【認こ】（2・3号）児童数 (分園) </vt:lpstr>
      <vt:lpstr>【認こ】対象人数</vt:lpstr>
      <vt:lpstr>【幼稚園】児童数</vt:lpstr>
      <vt:lpstr>【幼稚園】対象人数</vt:lpstr>
      <vt:lpstr>【小規模・事業所内AB】児童数 </vt:lpstr>
      <vt:lpstr>【小規模・事業所内AB】対象人数 </vt:lpstr>
      <vt:lpstr>【事業所内20人以上】児童数</vt:lpstr>
      <vt:lpstr>【事業所内20人以上】対象人数</vt:lpstr>
      <vt:lpstr>【家庭的】児童数</vt:lpstr>
      <vt:lpstr>【家庭的】対象人数</vt:lpstr>
      <vt:lpstr>【家庭的】対象人数!Print_Area</vt:lpstr>
      <vt:lpstr>【事業所内20人以上】対象人数!Print_Area</vt:lpstr>
      <vt:lpstr>'【小規模・事業所内AB】対象人数 '!Print_Area</vt:lpstr>
      <vt:lpstr>【認こ】対象人数!Print_Area</vt:lpstr>
      <vt:lpstr>【保育所】対象人数!Print_Area</vt:lpstr>
      <vt:lpstr>【幼稚園】対象人数!Print_Area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nakajo</dc:creator>
  <cp:lastModifiedBy>nakajo</cp:lastModifiedBy>
  <dcterms:created xsi:type="dcterms:W3CDTF">2024-07-29T05:55:28Z</dcterms:created>
  <dcterms:modified xsi:type="dcterms:W3CDTF">2024-08-20T05:11:22Z</dcterms:modified>
</cp:coreProperties>
</file>