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58_職員配置確認\R06\00_配置状況確認書【様式】\★旧Excel対応\"/>
    </mc:Choice>
  </mc:AlternateContent>
  <xr:revisionPtr revIDLastSave="0" documentId="13_ncr:1_{540A1F78-970C-4023-BE8E-437EB0A429A5}" xr6:coauthVersionLast="47" xr6:coauthVersionMax="47" xr10:uidLastSave="{00000000-0000-0000-0000-000000000000}"/>
  <bookViews>
    <workbookView xWindow="-120" yWindow="-120" windowWidth="29040" windowHeight="15990" tabRatio="924" firstSheet="1" activeTab="2" xr2:uid="{00000000-000D-0000-FFFF-FFFF00000000}"/>
  </bookViews>
  <sheets>
    <sheet name="【補助金算定に係る確認表】" sheetId="73" r:id="rId1"/>
    <sheet name="【京都市集計用】" sheetId="70" r:id="rId2"/>
    <sheet name="様式１" sheetId="64" r:id="rId3"/>
    <sheet name="(R6)年齢別配置基準" sheetId="74" r:id="rId4"/>
    <sheet name="様式１－１（【本園分】標準時間対応）" sheetId="71" r:id="rId5"/>
    <sheet name="様式１－２（【分園分】標準時間対応）" sheetId="72" r:id="rId6"/>
    <sheet name="様式２（専従の常勤）" sheetId="69" r:id="rId7"/>
    <sheet name="様式３（非専従の常勤＋非常勤）" sheetId="68" r:id="rId8"/>
    <sheet name="Sheet2" sheetId="67" state="hidden" r:id="rId9"/>
  </sheets>
  <definedNames>
    <definedName name="_0歳児③4" localSheetId="2">様式１!$E$9</definedName>
    <definedName name="_0歳児③4分園" localSheetId="2">様式１!$N$9</definedName>
    <definedName name="_1歳児③4" localSheetId="2">様式１!$F$9</definedName>
    <definedName name="_1歳児③4分園" localSheetId="2">様式１!$O$9</definedName>
    <definedName name="_2歳児③4" localSheetId="2">様式１!$H$9</definedName>
    <definedName name="_2歳児③4分園" localSheetId="2">様式１!$Q$9</definedName>
    <definedName name="_3歳児①4" localSheetId="2">様式１!$J$7</definedName>
    <definedName name="_3歳児①4分園" localSheetId="2">様式１!$S$7</definedName>
    <definedName name="_3歳児②4" localSheetId="2">様式１!$J$8</definedName>
    <definedName name="_3歳児②4分園" localSheetId="2">様式１!$S$8</definedName>
    <definedName name="_4歳児①4" localSheetId="2">様式１!$K$7</definedName>
    <definedName name="_4歳児①4分園" localSheetId="2">様式１!$T$7</definedName>
    <definedName name="_4歳児②4" localSheetId="2">様式１!$K$8</definedName>
    <definedName name="_4歳児②4分園" localSheetId="2">様式１!$T$8</definedName>
    <definedName name="_5歳児①4" localSheetId="2">様式１!$L$7</definedName>
    <definedName name="_5歳児①4分園" localSheetId="2">様式１!$U$7</definedName>
    <definedName name="_5歳児②4" localSheetId="2">様式１!$L$8</definedName>
    <definedName name="_5歳児②4分園" localSheetId="2">様式１!$U$8</definedName>
    <definedName name="_xlnm.Print_Area" localSheetId="3">'(R6)年齢別配置基準'!$A$1:$L$25</definedName>
    <definedName name="_xlnm.Print_Area" localSheetId="1">【京都市集計用】!$A$1:$V$2</definedName>
    <definedName name="_xlnm.Print_Area" localSheetId="0">【補助金算定に係る確認表】!$B$1:$AF$25</definedName>
    <definedName name="_xlnm.Print_Area" localSheetId="8">Sheet2!$A$1:$AM$35</definedName>
    <definedName name="_xlnm.Print_Area" localSheetId="2">様式１!$A$1:$BO$54</definedName>
    <definedName name="_xlnm.Print_Area" localSheetId="4">'様式１－１（【本園分】標準時間対応）'!$A$1:$AZ$30</definedName>
    <definedName name="_xlnm.Print_Area" localSheetId="5">'様式１－２（【分園分】標準時間対応）'!$A$1:$AZ$30</definedName>
    <definedName name="_xlnm.Print_Area" localSheetId="6">'様式２（専従の常勤）'!$A$1:$R$75</definedName>
    <definedName name="_xlnm.Print_Area" localSheetId="7">'様式３（非専従の常勤＋非常勤）'!$A$1:$AK$58</definedName>
    <definedName name="_xlnm.Print_Titles" localSheetId="2">様式１!$3:$6</definedName>
    <definedName name="満3歳児①4" localSheetId="2">様式１!$I$7</definedName>
    <definedName name="満3歳児①4分園" localSheetId="2">様式１!$R$7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74" l="1"/>
  <c r="D16" i="74"/>
  <c r="D17" i="74"/>
  <c r="D18" i="74"/>
  <c r="D19" i="74"/>
  <c r="D20" i="74"/>
  <c r="D21" i="74"/>
  <c r="D22" i="74"/>
  <c r="D23" i="74"/>
  <c r="D24" i="74"/>
  <c r="D25" i="74"/>
  <c r="D14" i="74"/>
  <c r="AN43" i="64"/>
  <c r="AM43" i="64"/>
  <c r="BO10" i="64" l="1"/>
  <c r="BO13" i="64"/>
  <c r="BO16" i="64"/>
  <c r="BO19" i="64"/>
  <c r="BO22" i="64"/>
  <c r="BO25" i="64"/>
  <c r="BO28" i="64"/>
  <c r="BO31" i="64"/>
  <c r="BO34" i="64"/>
  <c r="BO37" i="64"/>
  <c r="BO40" i="64"/>
  <c r="BO7" i="64"/>
  <c r="AE41" i="64" l="1"/>
  <c r="AE38" i="64"/>
  <c r="AE35" i="64"/>
  <c r="AE32" i="64"/>
  <c r="AE29" i="64"/>
  <c r="AE26" i="64"/>
  <c r="AE23" i="64"/>
  <c r="AE20" i="64"/>
  <c r="AE17" i="64"/>
  <c r="AE14" i="64"/>
  <c r="AE11" i="64"/>
  <c r="AE40" i="64"/>
  <c r="AE37" i="64"/>
  <c r="AE34" i="64"/>
  <c r="AE31" i="64"/>
  <c r="AE28" i="64"/>
  <c r="AE25" i="64"/>
  <c r="AE22" i="64"/>
  <c r="AE19" i="64"/>
  <c r="AE16" i="64"/>
  <c r="AE13" i="64"/>
  <c r="AE10" i="64"/>
  <c r="AF43" i="64" l="1"/>
  <c r="W8" i="64"/>
  <c r="W9" i="64"/>
  <c r="Y8" i="64"/>
  <c r="Y7" i="64"/>
  <c r="W7" i="64"/>
  <c r="AE7" i="64" s="1"/>
  <c r="AA8" i="64"/>
  <c r="Y9" i="64"/>
  <c r="AE8" i="64" l="1"/>
  <c r="AM40" i="64" l="1"/>
  <c r="AM37" i="64"/>
  <c r="AM34" i="64"/>
  <c r="AM31" i="64"/>
  <c r="AM28" i="64"/>
  <c r="AM25" i="64"/>
  <c r="AM22" i="64"/>
  <c r="AM19" i="64"/>
  <c r="AM16" i="64"/>
  <c r="AM13" i="64"/>
  <c r="AM10" i="64"/>
  <c r="AM7" i="64"/>
  <c r="B14" i="74"/>
  <c r="H25" i="74"/>
  <c r="I25" i="74" s="1"/>
  <c r="H24" i="74"/>
  <c r="I24" i="74" s="1"/>
  <c r="H23" i="74"/>
  <c r="I23" i="74" s="1"/>
  <c r="H22" i="74"/>
  <c r="I22" i="74" s="1"/>
  <c r="H21" i="74"/>
  <c r="I21" i="74" s="1"/>
  <c r="H20" i="74"/>
  <c r="I20" i="74" s="1"/>
  <c r="H19" i="74"/>
  <c r="I19" i="74" s="1"/>
  <c r="H18" i="74"/>
  <c r="I18" i="74" s="1"/>
  <c r="H17" i="74"/>
  <c r="I17" i="74" s="1"/>
  <c r="H16" i="74"/>
  <c r="I16" i="74" s="1"/>
  <c r="H15" i="74"/>
  <c r="I15" i="74" s="1"/>
  <c r="H14" i="74"/>
  <c r="I14" i="74" s="1"/>
  <c r="N57" i="68"/>
  <c r="P57" i="68"/>
  <c r="R57" i="68"/>
  <c r="T57" i="68"/>
  <c r="V57" i="68"/>
  <c r="X57" i="68"/>
  <c r="Z57" i="68"/>
  <c r="AB57" i="68"/>
  <c r="AD57" i="68"/>
  <c r="AF57" i="68"/>
  <c r="AH57" i="68"/>
  <c r="AJ57" i="68"/>
  <c r="L57" i="68"/>
  <c r="L40" i="68"/>
  <c r="H58" i="69"/>
  <c r="I58" i="69"/>
  <c r="J58" i="69"/>
  <c r="K58" i="69"/>
  <c r="L58" i="69"/>
  <c r="M58" i="69"/>
  <c r="N58" i="69"/>
  <c r="O58" i="69"/>
  <c r="P58" i="69"/>
  <c r="Q58" i="69"/>
  <c r="R58" i="69"/>
  <c r="G58" i="69"/>
  <c r="H70" i="69"/>
  <c r="I70" i="69"/>
  <c r="J70" i="69"/>
  <c r="K70" i="69"/>
  <c r="L70" i="69"/>
  <c r="M70" i="69"/>
  <c r="N70" i="69"/>
  <c r="O70" i="69"/>
  <c r="P70" i="69"/>
  <c r="Q70" i="69"/>
  <c r="R70" i="69"/>
  <c r="G70" i="69"/>
  <c r="AG25" i="64" l="1"/>
  <c r="AG13" i="64"/>
  <c r="AG31" i="64"/>
  <c r="AG16" i="64"/>
  <c r="AG22" i="64"/>
  <c r="AG34" i="64"/>
  <c r="AG19" i="64"/>
  <c r="AG28" i="64"/>
  <c r="AG37" i="64"/>
  <c r="AG40" i="64"/>
  <c r="AG10" i="64"/>
  <c r="AG7" i="64"/>
  <c r="BG43" i="64"/>
  <c r="AI10" i="64" l="1"/>
  <c r="AH10" i="64"/>
  <c r="AH19" i="64"/>
  <c r="AI19" i="64"/>
  <c r="AI22" i="64"/>
  <c r="AJ22" i="64" s="1"/>
  <c r="AH22" i="64"/>
  <c r="AI16" i="64"/>
  <c r="AH16" i="64"/>
  <c r="AH17" i="64" s="1"/>
  <c r="AI40" i="64"/>
  <c r="AJ40" i="64" s="1"/>
  <c r="AH40" i="64"/>
  <c r="AI37" i="64"/>
  <c r="AJ37" i="64" s="1"/>
  <c r="AH37" i="64"/>
  <c r="AH28" i="64"/>
  <c r="AI28" i="64"/>
  <c r="AI34" i="64"/>
  <c r="AJ34" i="64" s="1"/>
  <c r="AH34" i="64"/>
  <c r="AH31" i="64"/>
  <c r="AI31" i="64"/>
  <c r="AJ31" i="64" s="1"/>
  <c r="AH13" i="64"/>
  <c r="AI13" i="64"/>
  <c r="AI25" i="64"/>
  <c r="AJ25" i="64" s="1"/>
  <c r="AH25" i="64"/>
  <c r="AH7" i="64"/>
  <c r="AI7" i="64"/>
  <c r="AJ7" i="64" s="1"/>
  <c r="AK28" i="64"/>
  <c r="AJ28" i="64"/>
  <c r="AJ16" i="64"/>
  <c r="AK16" i="64"/>
  <c r="AK34" i="64"/>
  <c r="AK13" i="64"/>
  <c r="AK40" i="64"/>
  <c r="AK37" i="64"/>
  <c r="AK19" i="64"/>
  <c r="AJ19" i="64"/>
  <c r="AK22" i="64"/>
  <c r="AK31" i="64"/>
  <c r="AK25" i="64"/>
  <c r="AJ10" i="64"/>
  <c r="AK10" i="64"/>
  <c r="AK7" i="64"/>
  <c r="AH11" i="64"/>
  <c r="L9" i="73"/>
  <c r="AJ13" i="64" l="1"/>
  <c r="AH14" i="64"/>
  <c r="BD40" i="64" l="1"/>
  <c r="BF20" i="73"/>
  <c r="BF19" i="73"/>
  <c r="BF18" i="73"/>
  <c r="BF17" i="73"/>
  <c r="BF16" i="73"/>
  <c r="BF15" i="73"/>
  <c r="BF14" i="73"/>
  <c r="BF13" i="73"/>
  <c r="BF12" i="73"/>
  <c r="BF11" i="73"/>
  <c r="BF10" i="73"/>
  <c r="BF9" i="73"/>
  <c r="BE20" i="73"/>
  <c r="BE19" i="73"/>
  <c r="BE18" i="73"/>
  <c r="BE17" i="73"/>
  <c r="BE16" i="73"/>
  <c r="BE15" i="73"/>
  <c r="BE14" i="73"/>
  <c r="BE13" i="73"/>
  <c r="BE12" i="73"/>
  <c r="BE10" i="73"/>
  <c r="BE11" i="73"/>
  <c r="BE9" i="73"/>
  <c r="BD20" i="73"/>
  <c r="BD19" i="73"/>
  <c r="BD18" i="73"/>
  <c r="BD17" i="73"/>
  <c r="BD16" i="73"/>
  <c r="BD15" i="73"/>
  <c r="BD14" i="73"/>
  <c r="BD13" i="73"/>
  <c r="BD12" i="73"/>
  <c r="BD11" i="73"/>
  <c r="BD10" i="73"/>
  <c r="BD9" i="73"/>
  <c r="BH20" i="73"/>
  <c r="BH19" i="73"/>
  <c r="BH18" i="73"/>
  <c r="BH17" i="73"/>
  <c r="BH16" i="73"/>
  <c r="BH15" i="73"/>
  <c r="BH14" i="73"/>
  <c r="BH13" i="73"/>
  <c r="BH12" i="73"/>
  <c r="BH11" i="73"/>
  <c r="BH10" i="73"/>
  <c r="BH9" i="73"/>
  <c r="BG20" i="73" l="1"/>
  <c r="BG19" i="73"/>
  <c r="BG18" i="73"/>
  <c r="BG17" i="73"/>
  <c r="BG16" i="73"/>
  <c r="BG15" i="73"/>
  <c r="BG14" i="73"/>
  <c r="BG13" i="73"/>
  <c r="BG12" i="73"/>
  <c r="BG11" i="73"/>
  <c r="BG10" i="73"/>
  <c r="BG9" i="73"/>
  <c r="BB21" i="73"/>
  <c r="BB20" i="73"/>
  <c r="BB19" i="73"/>
  <c r="BB18" i="73"/>
  <c r="BB17" i="73"/>
  <c r="BB16" i="73"/>
  <c r="BB15" i="73"/>
  <c r="BB14" i="73"/>
  <c r="BB13" i="73"/>
  <c r="BB12" i="73"/>
  <c r="BB11" i="73"/>
  <c r="BB10" i="73"/>
  <c r="BB9" i="73"/>
  <c r="BA21" i="73"/>
  <c r="BA20" i="73"/>
  <c r="BA19" i="73"/>
  <c r="BA18" i="73"/>
  <c r="BA17" i="73"/>
  <c r="BA16" i="73"/>
  <c r="BA15" i="73"/>
  <c r="BA14" i="73"/>
  <c r="BA13" i="73"/>
  <c r="BA12" i="73"/>
  <c r="BA11" i="73"/>
  <c r="BA10" i="73"/>
  <c r="BA9" i="73"/>
  <c r="AZ21" i="73"/>
  <c r="AZ20" i="73"/>
  <c r="AZ19" i="73"/>
  <c r="AZ18" i="73"/>
  <c r="AZ17" i="73"/>
  <c r="AZ16" i="73"/>
  <c r="AZ15" i="73"/>
  <c r="AZ14" i="73"/>
  <c r="AZ13" i="73"/>
  <c r="AZ12" i="73"/>
  <c r="AZ11" i="73"/>
  <c r="AZ10" i="73"/>
  <c r="AZ9" i="73"/>
  <c r="AY21" i="73"/>
  <c r="AY20" i="73"/>
  <c r="AY19" i="73"/>
  <c r="AY18" i="73"/>
  <c r="AY17" i="73"/>
  <c r="AY16" i="73"/>
  <c r="AY15" i="73"/>
  <c r="AY14" i="73"/>
  <c r="AY13" i="73"/>
  <c r="AY12" i="73"/>
  <c r="AY11" i="73"/>
  <c r="AY10" i="73"/>
  <c r="AY9" i="73"/>
  <c r="AX21" i="73"/>
  <c r="AX20" i="73"/>
  <c r="AX19" i="73"/>
  <c r="AX18" i="73"/>
  <c r="AX17" i="73"/>
  <c r="AX16" i="73"/>
  <c r="AX15" i="73"/>
  <c r="AX14" i="73"/>
  <c r="AX13" i="73"/>
  <c r="AX12" i="73"/>
  <c r="AX11" i="73"/>
  <c r="AX10" i="73"/>
  <c r="AX9" i="73"/>
  <c r="AW9" i="73"/>
  <c r="N20" i="73" l="1"/>
  <c r="N19" i="73"/>
  <c r="N18" i="73"/>
  <c r="N17" i="73"/>
  <c r="N16" i="73"/>
  <c r="N15" i="73"/>
  <c r="N14" i="73"/>
  <c r="N13" i="73"/>
  <c r="N12" i="73"/>
  <c r="N11" i="73"/>
  <c r="N10" i="73"/>
  <c r="N9" i="73"/>
  <c r="L20" i="73"/>
  <c r="L19" i="73"/>
  <c r="L18" i="73"/>
  <c r="L17" i="73"/>
  <c r="L16" i="73"/>
  <c r="L15" i="73"/>
  <c r="L14" i="73"/>
  <c r="L13" i="73"/>
  <c r="L12" i="73"/>
  <c r="L11" i="73"/>
  <c r="L10" i="73"/>
  <c r="AW61" i="64" l="1"/>
  <c r="AT59" i="64"/>
  <c r="AT43" i="64"/>
  <c r="N21" i="73" s="1"/>
  <c r="AS43" i="64"/>
  <c r="L21" i="73" l="1"/>
  <c r="S51" i="64"/>
  <c r="AC4" i="73"/>
  <c r="AC3" i="73"/>
  <c r="A10" i="73" s="1"/>
  <c r="A17" i="73" l="1"/>
  <c r="A16" i="73"/>
  <c r="A15" i="73"/>
  <c r="A9" i="73"/>
  <c r="A14" i="73"/>
  <c r="A21" i="73"/>
  <c r="A13" i="73"/>
  <c r="A20" i="73"/>
  <c r="A12" i="73"/>
  <c r="A19" i="73"/>
  <c r="A11" i="73"/>
  <c r="A18" i="73"/>
  <c r="B2" i="70" l="1"/>
  <c r="AG43" i="64" l="1"/>
  <c r="BN43" i="64"/>
  <c r="BO43" i="64" s="1"/>
  <c r="AO43" i="64"/>
  <c r="AI43" i="64" l="1"/>
  <c r="AH43" i="64"/>
  <c r="AK26" i="68"/>
  <c r="AJ26" i="68"/>
  <c r="AI26" i="68"/>
  <c r="AH26" i="68"/>
  <c r="AG26" i="68"/>
  <c r="AF26" i="68"/>
  <c r="AE26" i="68"/>
  <c r="AD26" i="68"/>
  <c r="AC26" i="68"/>
  <c r="AB26" i="68"/>
  <c r="AA26" i="68"/>
  <c r="Z26" i="68"/>
  <c r="Y26" i="68"/>
  <c r="X26" i="68"/>
  <c r="W26" i="68"/>
  <c r="V26" i="68"/>
  <c r="U26" i="68"/>
  <c r="T26" i="68"/>
  <c r="S26" i="68"/>
  <c r="R26" i="68"/>
  <c r="Q26" i="68"/>
  <c r="P26" i="68"/>
  <c r="O26" i="68"/>
  <c r="N26" i="68"/>
  <c r="AK25" i="68"/>
  <c r="AJ25" i="68"/>
  <c r="AI25" i="68"/>
  <c r="AH25" i="68"/>
  <c r="AG25" i="68"/>
  <c r="AF25" i="68"/>
  <c r="AE25" i="68"/>
  <c r="AD25" i="68"/>
  <c r="AC25" i="68"/>
  <c r="AB25" i="68"/>
  <c r="AA25" i="68"/>
  <c r="Z25" i="68"/>
  <c r="Y25" i="68"/>
  <c r="X25" i="68"/>
  <c r="W25" i="68"/>
  <c r="V25" i="68"/>
  <c r="U25" i="68"/>
  <c r="T25" i="68"/>
  <c r="S25" i="68"/>
  <c r="R25" i="68"/>
  <c r="Q25" i="68"/>
  <c r="P25" i="68"/>
  <c r="O25" i="68"/>
  <c r="N25" i="68"/>
  <c r="AK24" i="68"/>
  <c r="AJ24" i="68"/>
  <c r="AI24" i="68"/>
  <c r="AH24" i="68"/>
  <c r="AG24" i="68"/>
  <c r="AF24" i="68"/>
  <c r="AE24" i="68"/>
  <c r="AD24" i="68"/>
  <c r="AC24" i="68"/>
  <c r="AB24" i="68"/>
  <c r="AA24" i="68"/>
  <c r="Z24" i="68"/>
  <c r="Y24" i="68"/>
  <c r="X24" i="68"/>
  <c r="W24" i="68"/>
  <c r="V24" i="68"/>
  <c r="U24" i="68"/>
  <c r="T24" i="68"/>
  <c r="S24" i="68"/>
  <c r="R24" i="68"/>
  <c r="Q24" i="68"/>
  <c r="P24" i="68"/>
  <c r="O24" i="68"/>
  <c r="N24" i="68"/>
  <c r="AK23" i="68"/>
  <c r="AJ23" i="68"/>
  <c r="AI23" i="68"/>
  <c r="AH23" i="68"/>
  <c r="AG23" i="68"/>
  <c r="AF23" i="68"/>
  <c r="AE23" i="68"/>
  <c r="AD23" i="68"/>
  <c r="AC23" i="68"/>
  <c r="AB23" i="68"/>
  <c r="AA23" i="68"/>
  <c r="Z23" i="68"/>
  <c r="Y23" i="68"/>
  <c r="X23" i="68"/>
  <c r="W23" i="68"/>
  <c r="V23" i="68"/>
  <c r="U23" i="68"/>
  <c r="T23" i="68"/>
  <c r="S23" i="68"/>
  <c r="R23" i="68"/>
  <c r="Q23" i="68"/>
  <c r="P23" i="68"/>
  <c r="O23" i="68"/>
  <c r="N23" i="68"/>
  <c r="AK22" i="68"/>
  <c r="AJ22" i="68"/>
  <c r="AI22" i="68"/>
  <c r="AH22" i="68"/>
  <c r="AG22" i="68"/>
  <c r="AF22" i="68"/>
  <c r="AE22" i="68"/>
  <c r="AD22" i="68"/>
  <c r="AC22" i="68"/>
  <c r="AB22" i="68"/>
  <c r="AA22" i="68"/>
  <c r="Z22" i="68"/>
  <c r="Y22" i="68"/>
  <c r="X22" i="68"/>
  <c r="W22" i="68"/>
  <c r="V22" i="68"/>
  <c r="U22" i="68"/>
  <c r="T22" i="68"/>
  <c r="S22" i="68"/>
  <c r="R22" i="68"/>
  <c r="Q22" i="68"/>
  <c r="P22" i="68"/>
  <c r="O22" i="68"/>
  <c r="N22" i="68"/>
  <c r="AK21" i="68"/>
  <c r="AJ21" i="68"/>
  <c r="AI21" i="68"/>
  <c r="AH21" i="68"/>
  <c r="AG21" i="68"/>
  <c r="AF21" i="68"/>
  <c r="AE21" i="68"/>
  <c r="AD21" i="68"/>
  <c r="AC21" i="68"/>
  <c r="AB21" i="68"/>
  <c r="AA21" i="68"/>
  <c r="Z21" i="68"/>
  <c r="Y21" i="68"/>
  <c r="X21" i="68"/>
  <c r="W21" i="68"/>
  <c r="V21" i="68"/>
  <c r="U21" i="68"/>
  <c r="T21" i="68"/>
  <c r="S21" i="68"/>
  <c r="R21" i="68"/>
  <c r="Q21" i="68"/>
  <c r="P21" i="68"/>
  <c r="O21" i="68"/>
  <c r="N21" i="68"/>
  <c r="AK20" i="68"/>
  <c r="AJ20" i="68"/>
  <c r="AI20" i="68"/>
  <c r="AH20" i="68"/>
  <c r="AG20" i="68"/>
  <c r="AF20" i="68"/>
  <c r="AE20" i="68"/>
  <c r="AD20" i="68"/>
  <c r="AC20" i="68"/>
  <c r="AB20" i="68"/>
  <c r="AA20" i="68"/>
  <c r="Z20" i="68"/>
  <c r="Y20" i="68"/>
  <c r="X20" i="68"/>
  <c r="W20" i="68"/>
  <c r="V20" i="68"/>
  <c r="U20" i="68"/>
  <c r="T20" i="68"/>
  <c r="S20" i="68"/>
  <c r="R20" i="68"/>
  <c r="Q20" i="68"/>
  <c r="P20" i="68"/>
  <c r="O20" i="68"/>
  <c r="N20" i="68"/>
  <c r="AK19" i="68"/>
  <c r="AJ19" i="68"/>
  <c r="AI19" i="68"/>
  <c r="AH19" i="68"/>
  <c r="AG19" i="68"/>
  <c r="AF19" i="68"/>
  <c r="AE19" i="68"/>
  <c r="AD19" i="68"/>
  <c r="AC19" i="68"/>
  <c r="AB19" i="68"/>
  <c r="AA19" i="68"/>
  <c r="Z19" i="68"/>
  <c r="Y19" i="68"/>
  <c r="X19" i="68"/>
  <c r="W19" i="68"/>
  <c r="V19" i="68"/>
  <c r="U19" i="68"/>
  <c r="T19" i="68"/>
  <c r="S19" i="68"/>
  <c r="R19" i="68"/>
  <c r="Q19" i="68"/>
  <c r="P19" i="68"/>
  <c r="O19" i="68"/>
  <c r="N19" i="68"/>
  <c r="AK18" i="68"/>
  <c r="AJ18" i="68"/>
  <c r="AI18" i="68"/>
  <c r="AH18" i="68"/>
  <c r="AG18" i="68"/>
  <c r="AF18" i="68"/>
  <c r="AE18" i="68"/>
  <c r="AD18" i="68"/>
  <c r="AC18" i="68"/>
  <c r="AB18" i="68"/>
  <c r="AA18" i="68"/>
  <c r="Z18" i="68"/>
  <c r="Y18" i="68"/>
  <c r="X18" i="68"/>
  <c r="W18" i="68"/>
  <c r="V18" i="68"/>
  <c r="U18" i="68"/>
  <c r="T18" i="68"/>
  <c r="S18" i="68"/>
  <c r="R18" i="68"/>
  <c r="Q18" i="68"/>
  <c r="P18" i="68"/>
  <c r="O18" i="68"/>
  <c r="N18" i="68"/>
  <c r="AK17" i="68"/>
  <c r="AJ17" i="68"/>
  <c r="AI17" i="68"/>
  <c r="AH17" i="68"/>
  <c r="AG17" i="68"/>
  <c r="AF17" i="68"/>
  <c r="AE17" i="68"/>
  <c r="AD17" i="68"/>
  <c r="AC17" i="68"/>
  <c r="AB17" i="68"/>
  <c r="AA17" i="68"/>
  <c r="Z17" i="68"/>
  <c r="Y17" i="68"/>
  <c r="X17" i="68"/>
  <c r="W17" i="68"/>
  <c r="V17" i="68"/>
  <c r="U17" i="68"/>
  <c r="T17" i="68"/>
  <c r="S17" i="68"/>
  <c r="R17" i="68"/>
  <c r="Q17" i="68"/>
  <c r="P17" i="68"/>
  <c r="O17" i="68"/>
  <c r="N17" i="68"/>
  <c r="BB31" i="72" l="1"/>
  <c r="AL31" i="72"/>
  <c r="AL32" i="72" s="1"/>
  <c r="K31" i="72"/>
  <c r="I31" i="72"/>
  <c r="J31" i="72" s="1"/>
  <c r="D31" i="72"/>
  <c r="D32" i="72" s="1"/>
  <c r="AW31" i="72"/>
  <c r="AW32" i="72" s="1"/>
  <c r="AV31" i="72"/>
  <c r="AV32" i="72" s="1"/>
  <c r="AU31" i="72"/>
  <c r="AU32" i="72" s="1"/>
  <c r="AT31" i="72"/>
  <c r="AT32" i="72" s="1"/>
  <c r="AS31" i="72"/>
  <c r="AS32" i="72" s="1"/>
  <c r="AR31" i="72"/>
  <c r="AR32" i="72" s="1"/>
  <c r="AO31" i="72"/>
  <c r="AO32" i="72" s="1"/>
  <c r="AN31" i="72"/>
  <c r="AN32" i="72" s="1"/>
  <c r="AM31" i="72"/>
  <c r="AM32" i="72" s="1"/>
  <c r="AK31" i="72"/>
  <c r="AK32" i="72" s="1"/>
  <c r="AJ31" i="72"/>
  <c r="AJ32" i="72" s="1"/>
  <c r="AG31" i="72"/>
  <c r="AG32" i="72" s="1"/>
  <c r="AF31" i="72"/>
  <c r="AF32" i="72" s="1"/>
  <c r="AE31" i="72"/>
  <c r="AE32" i="72" s="1"/>
  <c r="AD31" i="72"/>
  <c r="AD32" i="72" s="1"/>
  <c r="AC31" i="72"/>
  <c r="AC32" i="72" s="1"/>
  <c r="AB31" i="72"/>
  <c r="AB32" i="72" s="1"/>
  <c r="Y31" i="72"/>
  <c r="Y32" i="72" s="1"/>
  <c r="X31" i="72"/>
  <c r="X32" i="72" s="1"/>
  <c r="W31" i="72"/>
  <c r="W32" i="72" s="1"/>
  <c r="V31" i="72"/>
  <c r="V32" i="72" s="1"/>
  <c r="U31" i="72"/>
  <c r="U32" i="72" s="1"/>
  <c r="T31" i="72"/>
  <c r="T32" i="72" s="1"/>
  <c r="Q31" i="72"/>
  <c r="Q32" i="72" s="1"/>
  <c r="P31" i="72"/>
  <c r="P32" i="72" s="1"/>
  <c r="O31" i="72"/>
  <c r="O32" i="72" s="1"/>
  <c r="N31" i="72"/>
  <c r="N32" i="72" s="1"/>
  <c r="M31" i="72"/>
  <c r="M32" i="72" s="1"/>
  <c r="L31" i="72"/>
  <c r="L32" i="72" s="1"/>
  <c r="H31" i="72"/>
  <c r="H32" i="72" s="1"/>
  <c r="G31" i="72"/>
  <c r="G32" i="72" s="1"/>
  <c r="F31" i="72"/>
  <c r="F32" i="72" s="1"/>
  <c r="E31" i="72"/>
  <c r="E32" i="72" s="1"/>
  <c r="BB31" i="71"/>
  <c r="P31" i="71"/>
  <c r="P32" i="71" s="1"/>
  <c r="D31" i="71"/>
  <c r="D32" i="71" s="1"/>
  <c r="I32" i="71"/>
  <c r="AG32" i="71"/>
  <c r="X32" i="71"/>
  <c r="O32" i="71"/>
  <c r="AW31" i="71"/>
  <c r="AW32" i="71" s="1"/>
  <c r="AV31" i="71"/>
  <c r="AV32" i="71" s="1"/>
  <c r="AU31" i="71"/>
  <c r="AU32" i="71" s="1"/>
  <c r="AT31" i="71"/>
  <c r="AT32" i="71" s="1"/>
  <c r="AS31" i="71"/>
  <c r="AS32" i="71" s="1"/>
  <c r="AR31" i="71"/>
  <c r="AO31" i="71"/>
  <c r="AO32" i="71" s="1"/>
  <c r="AN31" i="71"/>
  <c r="AN32" i="71" s="1"/>
  <c r="AM31" i="71"/>
  <c r="AM32" i="71" s="1"/>
  <c r="AL31" i="71"/>
  <c r="AL32" i="71" s="1"/>
  <c r="AK31" i="71"/>
  <c r="AK32" i="71" s="1"/>
  <c r="AJ31" i="71"/>
  <c r="AP31" i="71" s="1"/>
  <c r="AG31" i="71"/>
  <c r="AF31" i="71"/>
  <c r="AF32" i="71" s="1"/>
  <c r="AE31" i="71"/>
  <c r="AE32" i="71" s="1"/>
  <c r="AD31" i="71"/>
  <c r="AD32" i="71" s="1"/>
  <c r="AC31" i="71"/>
  <c r="AC32" i="71" s="1"/>
  <c r="AB31" i="71"/>
  <c r="AH31" i="71" s="1"/>
  <c r="Y31" i="71"/>
  <c r="Y32" i="71" s="1"/>
  <c r="X31" i="71"/>
  <c r="W31" i="71"/>
  <c r="W32" i="71" s="1"/>
  <c r="V31" i="71"/>
  <c r="V32" i="71" s="1"/>
  <c r="U31" i="71"/>
  <c r="U32" i="71" s="1"/>
  <c r="T31" i="71"/>
  <c r="T32" i="71" s="1"/>
  <c r="Q31" i="71"/>
  <c r="Q32" i="71" s="1"/>
  <c r="O31" i="71"/>
  <c r="N31" i="71"/>
  <c r="N32" i="71" s="1"/>
  <c r="M31" i="71"/>
  <c r="M32" i="71" s="1"/>
  <c r="L31" i="71"/>
  <c r="L32" i="71" s="1"/>
  <c r="I31" i="71"/>
  <c r="H31" i="71"/>
  <c r="H32" i="71" s="1"/>
  <c r="G31" i="71"/>
  <c r="G32" i="71" s="1"/>
  <c r="F31" i="71"/>
  <c r="F32" i="71" s="1"/>
  <c r="E31" i="71"/>
  <c r="E32" i="71" s="1"/>
  <c r="J29" i="71"/>
  <c r="AX31" i="71" l="1"/>
  <c r="I32" i="72"/>
  <c r="R31" i="72"/>
  <c r="R32" i="72" s="1"/>
  <c r="S31" i="72" s="1"/>
  <c r="Z31" i="72"/>
  <c r="Z32" i="72" s="1"/>
  <c r="AA31" i="72" s="1"/>
  <c r="AH31" i="72"/>
  <c r="AH32" i="72" s="1"/>
  <c r="AI31" i="72" s="1"/>
  <c r="AP31" i="72"/>
  <c r="AP32" i="72" s="1"/>
  <c r="AQ31" i="72" s="1"/>
  <c r="AX31" i="72"/>
  <c r="AR32" i="71"/>
  <c r="AJ32" i="71"/>
  <c r="AP32" i="71" s="1"/>
  <c r="AQ31" i="71" s="1"/>
  <c r="AB32" i="71"/>
  <c r="AH32" i="71" s="1"/>
  <c r="AI31" i="71" s="1"/>
  <c r="R31" i="71"/>
  <c r="R32" i="71" s="1"/>
  <c r="S31" i="71" s="1"/>
  <c r="Z31" i="71"/>
  <c r="Z32" i="71" s="1"/>
  <c r="AA31" i="71" s="1"/>
  <c r="J31" i="71"/>
  <c r="AP43" i="64"/>
  <c r="AX32" i="72" l="1"/>
  <c r="AY31" i="72" s="1"/>
  <c r="BA31" i="72" s="1"/>
  <c r="AW43" i="64" s="1"/>
  <c r="BC31" i="72"/>
  <c r="BC21" i="73"/>
  <c r="BC31" i="71"/>
  <c r="AX32" i="71"/>
  <c r="AY31" i="71" s="1"/>
  <c r="BA31" i="71" s="1"/>
  <c r="AV43" i="64" s="1"/>
  <c r="J32" i="72"/>
  <c r="J32" i="71"/>
  <c r="K31" i="71" s="1"/>
  <c r="AO94" i="64"/>
  <c r="AW94" i="64"/>
  <c r="AT94" i="64"/>
  <c r="AJ94" i="64"/>
  <c r="AT93" i="64"/>
  <c r="AJ93" i="64"/>
  <c r="AT92" i="64"/>
  <c r="AJ92" i="64"/>
  <c r="AU92" i="64" s="1"/>
  <c r="AJ89" i="64"/>
  <c r="AU94" i="64" l="1"/>
  <c r="AX94" i="64"/>
  <c r="AU93" i="64"/>
  <c r="T21" i="73"/>
  <c r="AD43" i="64"/>
  <c r="AC44" i="64" s="1"/>
  <c r="AH41" i="64"/>
  <c r="D11" i="64"/>
  <c r="D14" i="64" s="1"/>
  <c r="D17" i="64" s="1"/>
  <c r="D20" i="64" s="1"/>
  <c r="D23" i="64" s="1"/>
  <c r="D26" i="64" s="1"/>
  <c r="D29" i="64" s="1"/>
  <c r="D32" i="64" s="1"/>
  <c r="D35" i="64" s="1"/>
  <c r="D38" i="64" s="1"/>
  <c r="D41" i="64" s="1"/>
  <c r="D12" i="64"/>
  <c r="D15" i="64" s="1"/>
  <c r="D18" i="64" s="1"/>
  <c r="D21" i="64" s="1"/>
  <c r="D24" i="64" s="1"/>
  <c r="D27" i="64" s="1"/>
  <c r="D30" i="64" s="1"/>
  <c r="D33" i="64" s="1"/>
  <c r="D36" i="64" s="1"/>
  <c r="D39" i="64" s="1"/>
  <c r="D42" i="64" s="1"/>
  <c r="D10" i="64"/>
  <c r="D13" i="64" s="1"/>
  <c r="D16" i="64" s="1"/>
  <c r="D19" i="64" s="1"/>
  <c r="D22" i="64" s="1"/>
  <c r="D25" i="64" s="1"/>
  <c r="D28" i="64" s="1"/>
  <c r="D31" i="64" s="1"/>
  <c r="D34" i="64" s="1"/>
  <c r="D37" i="64" s="1"/>
  <c r="D40" i="64" s="1"/>
  <c r="C10" i="64"/>
  <c r="C12" i="64"/>
  <c r="C15" i="64" s="1"/>
  <c r="C11" i="64"/>
  <c r="AA11" i="64" s="1"/>
  <c r="U44" i="64"/>
  <c r="S44" i="64"/>
  <c r="S43" i="64"/>
  <c r="Q45" i="64"/>
  <c r="O45" i="64"/>
  <c r="N45" i="64"/>
  <c r="L44" i="64"/>
  <c r="F45" i="64"/>
  <c r="E45" i="64"/>
  <c r="T44" i="64"/>
  <c r="U43" i="64"/>
  <c r="T43" i="64"/>
  <c r="R43" i="64"/>
  <c r="H45" i="64"/>
  <c r="K44" i="64"/>
  <c r="J44" i="64"/>
  <c r="L43" i="64"/>
  <c r="K43" i="64"/>
  <c r="J43" i="64"/>
  <c r="I43" i="64"/>
  <c r="Y42" i="64"/>
  <c r="W42" i="64"/>
  <c r="Y41" i="64"/>
  <c r="W41" i="64"/>
  <c r="AP40" i="64"/>
  <c r="Y40" i="64"/>
  <c r="W40" i="64"/>
  <c r="AW64" i="64"/>
  <c r="AT91" i="64"/>
  <c r="AT85" i="64"/>
  <c r="AT79" i="64"/>
  <c r="AT61" i="64"/>
  <c r="AT63" i="64"/>
  <c r="AT60" i="64"/>
  <c r="AT68" i="64"/>
  <c r="AT65" i="64"/>
  <c r="AT62" i="64"/>
  <c r="AJ66" i="64"/>
  <c r="AJ59" i="64"/>
  <c r="AU59" i="64" s="1"/>
  <c r="V8" i="68"/>
  <c r="N8" i="68"/>
  <c r="AW91" i="64"/>
  <c r="AT90" i="64"/>
  <c r="AT89" i="64"/>
  <c r="AW88" i="64"/>
  <c r="AT88" i="64"/>
  <c r="AT87" i="64"/>
  <c r="AT86" i="64"/>
  <c r="AW85" i="64"/>
  <c r="AT84" i="64"/>
  <c r="AT83" i="64"/>
  <c r="AW82" i="64"/>
  <c r="AT82" i="64"/>
  <c r="AT81" i="64"/>
  <c r="AT80" i="64"/>
  <c r="AW79" i="64"/>
  <c r="AT78" i="64"/>
  <c r="AT77" i="64"/>
  <c r="AW76" i="64"/>
  <c r="AT76" i="64"/>
  <c r="AT75" i="64"/>
  <c r="AT74" i="64"/>
  <c r="AW73" i="64"/>
  <c r="AT73" i="64"/>
  <c r="AT72" i="64"/>
  <c r="AT71" i="64"/>
  <c r="AW70" i="64"/>
  <c r="AT70" i="64"/>
  <c r="AT69" i="64"/>
  <c r="AW67" i="64"/>
  <c r="AT67" i="64"/>
  <c r="AT66" i="64"/>
  <c r="AT64" i="64"/>
  <c r="AO61" i="64"/>
  <c r="AX61" i="64" s="1"/>
  <c r="AJ61" i="64"/>
  <c r="AJ60" i="64"/>
  <c r="AK30" i="72"/>
  <c r="AX29" i="72"/>
  <c r="BC29" i="72" s="1"/>
  <c r="AP29" i="72"/>
  <c r="AH29" i="72"/>
  <c r="Z29" i="72"/>
  <c r="R29" i="72"/>
  <c r="J29" i="72"/>
  <c r="AT28" i="72"/>
  <c r="O28" i="72"/>
  <c r="I28" i="72"/>
  <c r="AX27" i="72"/>
  <c r="AP27" i="72"/>
  <c r="AH27" i="72"/>
  <c r="Z27" i="72"/>
  <c r="R27" i="72"/>
  <c r="J27" i="72"/>
  <c r="AR26" i="72"/>
  <c r="AX25" i="72"/>
  <c r="AP25" i="72"/>
  <c r="AH25" i="72"/>
  <c r="Z25" i="72"/>
  <c r="R25" i="72"/>
  <c r="J25" i="72"/>
  <c r="AE24" i="72"/>
  <c r="AD24" i="72"/>
  <c r="H24" i="72"/>
  <c r="AX23" i="72"/>
  <c r="AP23" i="72"/>
  <c r="AH23" i="72"/>
  <c r="Z23" i="72"/>
  <c r="R23" i="72"/>
  <c r="J23" i="72"/>
  <c r="AN22" i="72"/>
  <c r="AF22" i="72"/>
  <c r="AE22" i="72"/>
  <c r="N22" i="72"/>
  <c r="AX21" i="72"/>
  <c r="AP21" i="72"/>
  <c r="AH21" i="72"/>
  <c r="Z21" i="72"/>
  <c r="R21" i="72"/>
  <c r="J21" i="72"/>
  <c r="T20" i="72"/>
  <c r="N20" i="72"/>
  <c r="AX19" i="72"/>
  <c r="AP19" i="72"/>
  <c r="AH19" i="72"/>
  <c r="Z19" i="72"/>
  <c r="R19" i="72"/>
  <c r="J19" i="72"/>
  <c r="O18" i="72"/>
  <c r="L18" i="72"/>
  <c r="AX17" i="72"/>
  <c r="AP17" i="72"/>
  <c r="AH17" i="72"/>
  <c r="Z17" i="72"/>
  <c r="R17" i="72"/>
  <c r="J17" i="72"/>
  <c r="AR16" i="72"/>
  <c r="AO16" i="72"/>
  <c r="H16" i="72"/>
  <c r="D16" i="72"/>
  <c r="AX15" i="72"/>
  <c r="AP15" i="72"/>
  <c r="AH15" i="72"/>
  <c r="Z15" i="72"/>
  <c r="R15" i="72"/>
  <c r="BB15" i="72" s="1"/>
  <c r="J15" i="72"/>
  <c r="AT14" i="72"/>
  <c r="AO14" i="72"/>
  <c r="N14" i="72"/>
  <c r="E14" i="72"/>
  <c r="AX13" i="72"/>
  <c r="BC13" i="72" s="1"/>
  <c r="AP13" i="72"/>
  <c r="AH13" i="72"/>
  <c r="Z13" i="72"/>
  <c r="R13" i="72"/>
  <c r="J13" i="72"/>
  <c r="AT12" i="72"/>
  <c r="AR12" i="72"/>
  <c r="AX11" i="72"/>
  <c r="AP11" i="72"/>
  <c r="AH11" i="72"/>
  <c r="Z11" i="72"/>
  <c r="R11" i="72"/>
  <c r="J11" i="72"/>
  <c r="BB11" i="72" s="1"/>
  <c r="U10" i="72"/>
  <c r="T10" i="72"/>
  <c r="H10" i="72"/>
  <c r="AX9" i="72"/>
  <c r="AP9" i="72"/>
  <c r="AH9" i="72"/>
  <c r="Z9" i="72"/>
  <c r="R9" i="72"/>
  <c r="J9" i="72"/>
  <c r="AN8" i="72"/>
  <c r="AK8" i="72"/>
  <c r="V8" i="72"/>
  <c r="U8" i="72"/>
  <c r="I8" i="72"/>
  <c r="H8" i="72"/>
  <c r="AX7" i="72"/>
  <c r="AP7" i="72"/>
  <c r="AH7" i="72"/>
  <c r="Z7" i="72"/>
  <c r="R7" i="72"/>
  <c r="J7" i="72"/>
  <c r="AW4" i="72"/>
  <c r="AW22" i="72" s="1"/>
  <c r="AV4" i="72"/>
  <c r="AV22" i="72" s="1"/>
  <c r="AU4" i="72"/>
  <c r="AU26" i="72" s="1"/>
  <c r="AU24" i="72"/>
  <c r="AT4" i="72"/>
  <c r="AT22" i="72" s="1"/>
  <c r="AT26" i="72"/>
  <c r="AS4" i="72"/>
  <c r="AS22" i="72" s="1"/>
  <c r="AR4" i="72"/>
  <c r="AR22" i="72" s="1"/>
  <c r="AO4" i="72"/>
  <c r="AO30" i="72" s="1"/>
  <c r="AO18" i="72"/>
  <c r="AN4" i="72"/>
  <c r="AN16" i="72" s="1"/>
  <c r="AN20" i="72"/>
  <c r="AM4" i="72"/>
  <c r="AM8" i="72" s="1"/>
  <c r="AL4" i="72"/>
  <c r="AK4" i="72"/>
  <c r="AK14" i="72" s="1"/>
  <c r="AK26" i="72"/>
  <c r="AJ4" i="72"/>
  <c r="AJ10" i="72" s="1"/>
  <c r="AG4" i="72"/>
  <c r="AF4" i="72"/>
  <c r="AF30" i="72" s="1"/>
  <c r="AE4" i="72"/>
  <c r="AE16" i="72" s="1"/>
  <c r="AD4" i="72"/>
  <c r="AD26" i="72" s="1"/>
  <c r="AD22" i="72"/>
  <c r="AC4" i="72"/>
  <c r="AC10" i="72"/>
  <c r="AB4" i="72"/>
  <c r="AB12" i="72" s="1"/>
  <c r="Y4" i="72"/>
  <c r="Y26" i="72" s="1"/>
  <c r="X4" i="72"/>
  <c r="X20" i="72" s="1"/>
  <c r="X16" i="72"/>
  <c r="W4" i="72"/>
  <c r="W20" i="72"/>
  <c r="V4" i="72"/>
  <c r="V24" i="72" s="1"/>
  <c r="U4" i="72"/>
  <c r="U24" i="72" s="1"/>
  <c r="T4" i="72"/>
  <c r="T8" i="72" s="1"/>
  <c r="T24" i="72"/>
  <c r="Q4" i="72"/>
  <c r="Q8" i="72"/>
  <c r="P4" i="72"/>
  <c r="O4" i="72"/>
  <c r="O20" i="72" s="1"/>
  <c r="O16" i="72"/>
  <c r="N4" i="72"/>
  <c r="N18" i="72"/>
  <c r="M4" i="72"/>
  <c r="M28" i="72" s="1"/>
  <c r="L4" i="72"/>
  <c r="L10" i="72" s="1"/>
  <c r="L22" i="72"/>
  <c r="I4" i="72"/>
  <c r="I10" i="72" s="1"/>
  <c r="I26" i="72"/>
  <c r="H4" i="72"/>
  <c r="H30" i="72" s="1"/>
  <c r="H28" i="72"/>
  <c r="G4" i="72"/>
  <c r="G12" i="72" s="1"/>
  <c r="F4" i="72"/>
  <c r="E4" i="72"/>
  <c r="E20" i="72" s="1"/>
  <c r="D4" i="72"/>
  <c r="D24" i="72" s="1"/>
  <c r="AX29" i="71"/>
  <c r="AP29" i="71"/>
  <c r="AH29" i="71"/>
  <c r="Z29" i="71"/>
  <c r="R29" i="71"/>
  <c r="G28" i="71"/>
  <c r="AX27" i="71"/>
  <c r="AP27" i="71"/>
  <c r="AH27" i="71"/>
  <c r="Z27" i="71"/>
  <c r="R27" i="71"/>
  <c r="J27" i="71"/>
  <c r="AS26" i="71"/>
  <c r="H26" i="71"/>
  <c r="AX25" i="71"/>
  <c r="AP25" i="71"/>
  <c r="AH25" i="71"/>
  <c r="Z25" i="71"/>
  <c r="R25" i="71"/>
  <c r="BB25" i="71" s="1"/>
  <c r="J25" i="71"/>
  <c r="AX23" i="71"/>
  <c r="AP23" i="71"/>
  <c r="AH23" i="71"/>
  <c r="Z23" i="71"/>
  <c r="R23" i="71"/>
  <c r="J23" i="71"/>
  <c r="AU22" i="71"/>
  <c r="AN22" i="71"/>
  <c r="AE22" i="71"/>
  <c r="AX21" i="71"/>
  <c r="AP21" i="71"/>
  <c r="AH21" i="71"/>
  <c r="Z21" i="71"/>
  <c r="R21" i="71"/>
  <c r="J21" i="71"/>
  <c r="AF20" i="71"/>
  <c r="AD20" i="71"/>
  <c r="W20" i="71"/>
  <c r="L20" i="71"/>
  <c r="AX19" i="71"/>
  <c r="AP19" i="71"/>
  <c r="AH19" i="71"/>
  <c r="Z19" i="71"/>
  <c r="R19" i="71"/>
  <c r="J19" i="71"/>
  <c r="W18" i="71"/>
  <c r="M18" i="71"/>
  <c r="AX17" i="71"/>
  <c r="AP17" i="71"/>
  <c r="AH17" i="71"/>
  <c r="Z17" i="71"/>
  <c r="R17" i="71"/>
  <c r="J17" i="71"/>
  <c r="AX15" i="71"/>
  <c r="AP15" i="71"/>
  <c r="AH15" i="71"/>
  <c r="Z15" i="71"/>
  <c r="R15" i="71"/>
  <c r="J15" i="71"/>
  <c r="AJ14" i="71"/>
  <c r="H14" i="71"/>
  <c r="AX13" i="71"/>
  <c r="AP13" i="71"/>
  <c r="AH13" i="71"/>
  <c r="Z13" i="71"/>
  <c r="R13" i="71"/>
  <c r="J13" i="71"/>
  <c r="H12" i="71"/>
  <c r="G12" i="71"/>
  <c r="AX11" i="71"/>
  <c r="AP11" i="71"/>
  <c r="AH11" i="71"/>
  <c r="Z11" i="71"/>
  <c r="R11" i="71"/>
  <c r="J11" i="71"/>
  <c r="AU10" i="71"/>
  <c r="Q10" i="71"/>
  <c r="H10" i="71"/>
  <c r="AX9" i="71"/>
  <c r="AP9" i="71"/>
  <c r="AH9" i="71"/>
  <c r="Z9" i="71"/>
  <c r="R9" i="71"/>
  <c r="J9" i="71"/>
  <c r="AM8" i="71"/>
  <c r="AD8" i="71"/>
  <c r="L8" i="71"/>
  <c r="AX7" i="71"/>
  <c r="AP7" i="71"/>
  <c r="AH7" i="71"/>
  <c r="Z7" i="71"/>
  <c r="R7" i="71"/>
  <c r="J7" i="71"/>
  <c r="AW4" i="71"/>
  <c r="AW18" i="71" s="1"/>
  <c r="AV4" i="71"/>
  <c r="AU4" i="71"/>
  <c r="AU26" i="71" s="1"/>
  <c r="AU24" i="71"/>
  <c r="AT4" i="71"/>
  <c r="AT10" i="71" s="1"/>
  <c r="AS4" i="71"/>
  <c r="AS10" i="71" s="1"/>
  <c r="AR4" i="71"/>
  <c r="AR16" i="71" s="1"/>
  <c r="AO4" i="71"/>
  <c r="AO16" i="71" s="1"/>
  <c r="AN4" i="71"/>
  <c r="AN26" i="71" s="1"/>
  <c r="AN20" i="71"/>
  <c r="AM4" i="71"/>
  <c r="AM22" i="71" s="1"/>
  <c r="AP22" i="71" s="1"/>
  <c r="AQ21" i="71" s="1"/>
  <c r="AL4" i="71"/>
  <c r="AL24" i="71" s="1"/>
  <c r="AK4" i="71"/>
  <c r="AK12" i="71"/>
  <c r="AJ4" i="71"/>
  <c r="AJ10" i="71" s="1"/>
  <c r="AJ30" i="71"/>
  <c r="AG4" i="71"/>
  <c r="AG14" i="71" s="1"/>
  <c r="AF4" i="71"/>
  <c r="AF16" i="71" s="1"/>
  <c r="AF18" i="71"/>
  <c r="AE4" i="71"/>
  <c r="AE18" i="71" s="1"/>
  <c r="AE20" i="71"/>
  <c r="AD4" i="71"/>
  <c r="AD24" i="71" s="1"/>
  <c r="AD22" i="71"/>
  <c r="AC4" i="71"/>
  <c r="AC26" i="71" s="1"/>
  <c r="AB4" i="71"/>
  <c r="Y4" i="71"/>
  <c r="Y16" i="71" s="1"/>
  <c r="X4" i="71"/>
  <c r="X14" i="71" s="1"/>
  <c r="W4" i="71"/>
  <c r="W16" i="71" s="1"/>
  <c r="W30" i="71"/>
  <c r="V4" i="71"/>
  <c r="V18" i="71" s="1"/>
  <c r="U4" i="71"/>
  <c r="U20" i="71" s="1"/>
  <c r="U22" i="71"/>
  <c r="T4" i="71"/>
  <c r="T26" i="71" s="1"/>
  <c r="Z26" i="71" s="1"/>
  <c r="AA25" i="71" s="1"/>
  <c r="T24" i="71"/>
  <c r="Q4" i="71"/>
  <c r="Q26" i="71" s="1"/>
  <c r="Q28" i="71"/>
  <c r="P4" i="71"/>
  <c r="P26" i="71" s="1"/>
  <c r="O4" i="71"/>
  <c r="O14" i="71" s="1"/>
  <c r="N4" i="71"/>
  <c r="M4" i="71"/>
  <c r="M22" i="71" s="1"/>
  <c r="M20" i="71"/>
  <c r="L4" i="71"/>
  <c r="L24" i="71" s="1"/>
  <c r="L22" i="71"/>
  <c r="I4" i="71"/>
  <c r="I24" i="71" s="1"/>
  <c r="H4" i="71"/>
  <c r="H30" i="71" s="1"/>
  <c r="H28" i="71"/>
  <c r="G4" i="71"/>
  <c r="G14" i="71" s="1"/>
  <c r="G30" i="71"/>
  <c r="F4" i="71"/>
  <c r="E4" i="71"/>
  <c r="E10" i="71" s="1"/>
  <c r="E16" i="71"/>
  <c r="D4" i="71"/>
  <c r="D28" i="71" s="1"/>
  <c r="AG16" i="72"/>
  <c r="AG30" i="72"/>
  <c r="AG14" i="72"/>
  <c r="AG12" i="72"/>
  <c r="AG28" i="72"/>
  <c r="AG26" i="72"/>
  <c r="AG10" i="72"/>
  <c r="AG24" i="72"/>
  <c r="AG8" i="72"/>
  <c r="AG22" i="72"/>
  <c r="AL24" i="72"/>
  <c r="AL8" i="72"/>
  <c r="AL20" i="72"/>
  <c r="AL22" i="72"/>
  <c r="AL18" i="72"/>
  <c r="AL16" i="72"/>
  <c r="AL30" i="72"/>
  <c r="AL14" i="72"/>
  <c r="AL28" i="72"/>
  <c r="AV10" i="72"/>
  <c r="AB14" i="72"/>
  <c r="G16" i="72"/>
  <c r="AG18" i="72"/>
  <c r="AM24" i="72"/>
  <c r="W18" i="72"/>
  <c r="W16" i="72"/>
  <c r="W14" i="72"/>
  <c r="W30" i="72"/>
  <c r="W28" i="72"/>
  <c r="W12" i="72"/>
  <c r="W26" i="72"/>
  <c r="W10" i="72"/>
  <c r="W24" i="72"/>
  <c r="W8" i="72"/>
  <c r="P30" i="72"/>
  <c r="P14" i="72"/>
  <c r="P28" i="72"/>
  <c r="P12" i="72"/>
  <c r="P26" i="72"/>
  <c r="P24" i="72"/>
  <c r="P8" i="72"/>
  <c r="P22" i="72"/>
  <c r="P20" i="72"/>
  <c r="Q28" i="72"/>
  <c r="Q12" i="72"/>
  <c r="Q26" i="72"/>
  <c r="Q10" i="72"/>
  <c r="Q24" i="72"/>
  <c r="Q22" i="72"/>
  <c r="Q20" i="72"/>
  <c r="Q18" i="72"/>
  <c r="AC24" i="72"/>
  <c r="AC8" i="72"/>
  <c r="AC22" i="72"/>
  <c r="AC20" i="72"/>
  <c r="AC18" i="72"/>
  <c r="AC16" i="72"/>
  <c r="AC30" i="72"/>
  <c r="AC14" i="72"/>
  <c r="AC28" i="72"/>
  <c r="AW20" i="72"/>
  <c r="AW18" i="72"/>
  <c r="AW16" i="72"/>
  <c r="AW30" i="72"/>
  <c r="AW14" i="72"/>
  <c r="AX14" i="72" s="1"/>
  <c r="AY13" i="72" s="1"/>
  <c r="AW28" i="72"/>
  <c r="AW12" i="72"/>
  <c r="AW26" i="72"/>
  <c r="AW10" i="72"/>
  <c r="AC12" i="72"/>
  <c r="P16" i="72"/>
  <c r="M12" i="72"/>
  <c r="F16" i="72"/>
  <c r="F30" i="72"/>
  <c r="F14" i="72"/>
  <c r="F12" i="72"/>
  <c r="F28" i="72"/>
  <c r="F26" i="72"/>
  <c r="F10" i="72"/>
  <c r="F24" i="72"/>
  <c r="F8" i="72"/>
  <c r="F22" i="72"/>
  <c r="AV20" i="72"/>
  <c r="AV18" i="72"/>
  <c r="AV16" i="72"/>
  <c r="AV30" i="72"/>
  <c r="AV14" i="72"/>
  <c r="AV28" i="72"/>
  <c r="AV12" i="72"/>
  <c r="G26" i="72"/>
  <c r="AM22" i="72"/>
  <c r="AM18" i="72"/>
  <c r="AM20" i="72"/>
  <c r="AM16" i="72"/>
  <c r="AM30" i="72"/>
  <c r="AM14" i="72"/>
  <c r="AM28" i="72"/>
  <c r="AM12" i="72"/>
  <c r="Q16" i="72"/>
  <c r="P18" i="72"/>
  <c r="AV24" i="72"/>
  <c r="AC26" i="72"/>
  <c r="AS30" i="72"/>
  <c r="AL10" i="72"/>
  <c r="AL12" i="72"/>
  <c r="AG20" i="72"/>
  <c r="AS28" i="72"/>
  <c r="AS12" i="72"/>
  <c r="AS26" i="72"/>
  <c r="AS10" i="72"/>
  <c r="AS24" i="72"/>
  <c r="AS20" i="72"/>
  <c r="AS18" i="72"/>
  <c r="AV8" i="72"/>
  <c r="P10" i="72"/>
  <c r="AM10" i="72"/>
  <c r="Q14" i="72"/>
  <c r="AS14" i="72"/>
  <c r="F20" i="72"/>
  <c r="AL26" i="72"/>
  <c r="Q30" i="72"/>
  <c r="AW8" i="72"/>
  <c r="AS16" i="72"/>
  <c r="W22" i="72"/>
  <c r="AM26" i="72"/>
  <c r="AB26" i="72"/>
  <c r="AB10" i="72"/>
  <c r="AB24" i="72"/>
  <c r="AB8" i="72"/>
  <c r="AB22" i="72"/>
  <c r="AB20" i="72"/>
  <c r="AB18" i="72"/>
  <c r="AB16" i="72"/>
  <c r="AB30" i="72"/>
  <c r="F18" i="72"/>
  <c r="AB28" i="72"/>
  <c r="E8" i="72"/>
  <c r="N8" i="72"/>
  <c r="AF8" i="72"/>
  <c r="AO8" i="72"/>
  <c r="D10" i="72"/>
  <c r="V10" i="72"/>
  <c r="AE10" i="72"/>
  <c r="AN10" i="72"/>
  <c r="L12" i="72"/>
  <c r="U12" i="72"/>
  <c r="AD12" i="72"/>
  <c r="T14" i="72"/>
  <c r="AU14" i="72"/>
  <c r="I16" i="72"/>
  <c r="AK16" i="72"/>
  <c r="AT16" i="72"/>
  <c r="H18" i="72"/>
  <c r="Y20" i="72"/>
  <c r="AR20" i="72"/>
  <c r="O22" i="72"/>
  <c r="X22" i="72"/>
  <c r="E24" i="72"/>
  <c r="N24" i="72"/>
  <c r="AF24" i="72"/>
  <c r="AO24" i="72"/>
  <c r="D26" i="72"/>
  <c r="V26" i="72"/>
  <c r="AE26" i="72"/>
  <c r="AN26" i="72"/>
  <c r="L28" i="72"/>
  <c r="U28" i="72"/>
  <c r="AD28" i="72"/>
  <c r="T30" i="72"/>
  <c r="AU30" i="72"/>
  <c r="O8" i="72"/>
  <c r="X8" i="72"/>
  <c r="E10" i="72"/>
  <c r="N10" i="72"/>
  <c r="AF10" i="72"/>
  <c r="AO10" i="72"/>
  <c r="D12" i="72"/>
  <c r="V12" i="72"/>
  <c r="AE12" i="72"/>
  <c r="AN12" i="72"/>
  <c r="L14" i="72"/>
  <c r="U14" i="72"/>
  <c r="AD14" i="72"/>
  <c r="T16" i="72"/>
  <c r="AU16" i="72"/>
  <c r="I18" i="72"/>
  <c r="AK18" i="72"/>
  <c r="AT18" i="72"/>
  <c r="H20" i="72"/>
  <c r="Y22" i="72"/>
  <c r="O24" i="72"/>
  <c r="X24" i="72"/>
  <c r="E26" i="72"/>
  <c r="N26" i="72"/>
  <c r="AF26" i="72"/>
  <c r="AO26" i="72"/>
  <c r="D28" i="72"/>
  <c r="V28" i="72"/>
  <c r="AE28" i="72"/>
  <c r="AN28" i="72"/>
  <c r="L30" i="72"/>
  <c r="U30" i="72"/>
  <c r="AD30" i="72"/>
  <c r="Y8" i="72"/>
  <c r="AR8" i="72"/>
  <c r="O10" i="72"/>
  <c r="X10" i="72"/>
  <c r="E12" i="72"/>
  <c r="N12" i="72"/>
  <c r="AF12" i="72"/>
  <c r="AO12" i="72"/>
  <c r="D14" i="72"/>
  <c r="V14" i="72"/>
  <c r="AE14" i="72"/>
  <c r="AN14" i="72"/>
  <c r="L16" i="72"/>
  <c r="U16" i="72"/>
  <c r="AD16" i="72"/>
  <c r="T18" i="72"/>
  <c r="AU18" i="72"/>
  <c r="I20" i="72"/>
  <c r="AK20" i="72"/>
  <c r="AT20" i="72"/>
  <c r="H22" i="72"/>
  <c r="Y24" i="72"/>
  <c r="AR24" i="72"/>
  <c r="O26" i="72"/>
  <c r="X26" i="72"/>
  <c r="E28" i="72"/>
  <c r="N28" i="72"/>
  <c r="AF28" i="72"/>
  <c r="AO28" i="72"/>
  <c r="D30" i="72"/>
  <c r="V30" i="72"/>
  <c r="AE30" i="72"/>
  <c r="AN30" i="72"/>
  <c r="X28" i="72"/>
  <c r="E30" i="72"/>
  <c r="N30" i="72"/>
  <c r="AT8" i="72"/>
  <c r="Y12" i="72"/>
  <c r="O14" i="72"/>
  <c r="X14" i="72"/>
  <c r="E16" i="72"/>
  <c r="N16" i="72"/>
  <c r="D18" i="72"/>
  <c r="V18" i="72"/>
  <c r="AE18" i="72"/>
  <c r="AN18" i="72"/>
  <c r="L20" i="72"/>
  <c r="U20" i="72"/>
  <c r="AD20" i="72"/>
  <c r="T22" i="72"/>
  <c r="I24" i="72"/>
  <c r="AK24" i="72"/>
  <c r="AT24" i="72"/>
  <c r="H26" i="72"/>
  <c r="Y28" i="72"/>
  <c r="AR28" i="72"/>
  <c r="O30" i="72"/>
  <c r="X30" i="72"/>
  <c r="AK10" i="72"/>
  <c r="AT10" i="72"/>
  <c r="H12" i="72"/>
  <c r="Y14" i="72"/>
  <c r="AR14" i="72"/>
  <c r="P10" i="71"/>
  <c r="AB26" i="71"/>
  <c r="AB10" i="71"/>
  <c r="AB22" i="71"/>
  <c r="AB20" i="71"/>
  <c r="AB18" i="71"/>
  <c r="AB16" i="71"/>
  <c r="AB30" i="71"/>
  <c r="AB14" i="71"/>
  <c r="AL8" i="71"/>
  <c r="AL20" i="71"/>
  <c r="AL18" i="71"/>
  <c r="AL16" i="71"/>
  <c r="AL30" i="71"/>
  <c r="AL14" i="71"/>
  <c r="AL28" i="71"/>
  <c r="AL12" i="71"/>
  <c r="AV22" i="71"/>
  <c r="AV18" i="71"/>
  <c r="AV16" i="71"/>
  <c r="AV30" i="71"/>
  <c r="AV14" i="71"/>
  <c r="AV28" i="71"/>
  <c r="AV12" i="71"/>
  <c r="AV26" i="71"/>
  <c r="AV10" i="71"/>
  <c r="AB8" i="71"/>
  <c r="AB24" i="71"/>
  <c r="AB28" i="71"/>
  <c r="F16" i="71"/>
  <c r="F30" i="71"/>
  <c r="F28" i="71"/>
  <c r="F12" i="71"/>
  <c r="F26" i="71"/>
  <c r="F10" i="71"/>
  <c r="F24" i="71"/>
  <c r="F8" i="71"/>
  <c r="F22" i="71"/>
  <c r="F20" i="71"/>
  <c r="AK8" i="71"/>
  <c r="AL26" i="71"/>
  <c r="F14" i="71"/>
  <c r="O18" i="71"/>
  <c r="E20" i="71"/>
  <c r="AL10" i="71"/>
  <c r="AV20" i="71"/>
  <c r="AV24" i="71"/>
  <c r="Y12" i="71"/>
  <c r="AK28" i="71"/>
  <c r="AB12" i="71"/>
  <c r="F18" i="71"/>
  <c r="AK24" i="71"/>
  <c r="D20" i="71"/>
  <c r="D16" i="71"/>
  <c r="D30" i="71"/>
  <c r="D14" i="71"/>
  <c r="D12" i="71"/>
  <c r="D26" i="71"/>
  <c r="D10" i="71"/>
  <c r="D24" i="71"/>
  <c r="D8" i="71"/>
  <c r="N18" i="71"/>
  <c r="N30" i="71"/>
  <c r="N14" i="71"/>
  <c r="N28" i="71"/>
  <c r="N12" i="71"/>
  <c r="N26" i="71"/>
  <c r="N10" i="71"/>
  <c r="N24" i="71"/>
  <c r="N8" i="71"/>
  <c r="N22" i="71"/>
  <c r="X16" i="71"/>
  <c r="X30" i="71"/>
  <c r="X28" i="71"/>
  <c r="X12" i="71"/>
  <c r="X26" i="71"/>
  <c r="X10" i="71"/>
  <c r="X24" i="71"/>
  <c r="X8" i="71"/>
  <c r="X22" i="71"/>
  <c r="X20" i="71"/>
  <c r="AJ28" i="71"/>
  <c r="AJ12" i="71"/>
  <c r="AJ26" i="71"/>
  <c r="AJ24" i="71"/>
  <c r="AJ8" i="71"/>
  <c r="AJ22" i="71"/>
  <c r="AJ20" i="71"/>
  <c r="AJ18" i="71"/>
  <c r="AJ16" i="71"/>
  <c r="AT26" i="71"/>
  <c r="AV8" i="71"/>
  <c r="P12" i="71"/>
  <c r="N16" i="71"/>
  <c r="N20" i="71"/>
  <c r="E12" i="71"/>
  <c r="E26" i="71"/>
  <c r="O16" i="71"/>
  <c r="O30" i="71"/>
  <c r="O28" i="71"/>
  <c r="O12" i="71"/>
  <c r="O26" i="71"/>
  <c r="O10" i="71"/>
  <c r="O24" i="71"/>
  <c r="O8" i="71"/>
  <c r="O22" i="71"/>
  <c r="O20" i="71"/>
  <c r="Y30" i="71"/>
  <c r="Y14" i="71"/>
  <c r="Y28" i="71"/>
  <c r="Y26" i="71"/>
  <c r="Y10" i="71"/>
  <c r="Y24" i="71"/>
  <c r="Y8" i="71"/>
  <c r="Y22" i="71"/>
  <c r="Y20" i="71"/>
  <c r="Y18" i="71"/>
  <c r="AK26" i="71"/>
  <c r="AK10" i="71"/>
  <c r="AK22" i="71"/>
  <c r="AK20" i="71"/>
  <c r="AK18" i="71"/>
  <c r="AK16" i="71"/>
  <c r="AK30" i="71"/>
  <c r="AK14" i="71"/>
  <c r="AL22" i="71"/>
  <c r="M8" i="71"/>
  <c r="AE8" i="71"/>
  <c r="AW8" i="71"/>
  <c r="L10" i="71"/>
  <c r="U10" i="71"/>
  <c r="AD10" i="71"/>
  <c r="AM10" i="71"/>
  <c r="T12" i="71"/>
  <c r="AU12" i="71"/>
  <c r="H16" i="71"/>
  <c r="Q16" i="71"/>
  <c r="AS16" i="71"/>
  <c r="G18" i="71"/>
  <c r="AR18" i="71"/>
  <c r="W22" i="71"/>
  <c r="AF22" i="71"/>
  <c r="AO22" i="71"/>
  <c r="M24" i="71"/>
  <c r="AE24" i="71"/>
  <c r="AW24" i="71"/>
  <c r="L26" i="71"/>
  <c r="U26" i="71"/>
  <c r="AD26" i="71"/>
  <c r="AM26" i="71"/>
  <c r="T28" i="71"/>
  <c r="AU28" i="71"/>
  <c r="W8" i="71"/>
  <c r="AF8" i="71"/>
  <c r="AO8" i="71"/>
  <c r="M10" i="71"/>
  <c r="AE10" i="71"/>
  <c r="AW10" i="71"/>
  <c r="L12" i="71"/>
  <c r="U12" i="71"/>
  <c r="AD12" i="71"/>
  <c r="AM12" i="71"/>
  <c r="T14" i="71"/>
  <c r="AU14" i="71"/>
  <c r="H18" i="71"/>
  <c r="Q18" i="71"/>
  <c r="AS18" i="71"/>
  <c r="G20" i="71"/>
  <c r="AR20" i="71"/>
  <c r="W24" i="71"/>
  <c r="AF24" i="71"/>
  <c r="AO24" i="71"/>
  <c r="M26" i="71"/>
  <c r="V26" i="71"/>
  <c r="AE26" i="71"/>
  <c r="AW26" i="71"/>
  <c r="L28" i="71"/>
  <c r="U28" i="71"/>
  <c r="AD28" i="71"/>
  <c r="AM28" i="71"/>
  <c r="T30" i="71"/>
  <c r="AU30" i="71"/>
  <c r="W10" i="71"/>
  <c r="AF10" i="71"/>
  <c r="AO10" i="71"/>
  <c r="M12" i="71"/>
  <c r="V12" i="71"/>
  <c r="AE12" i="71"/>
  <c r="AW12" i="71"/>
  <c r="L14" i="71"/>
  <c r="U14" i="71"/>
  <c r="AD14" i="71"/>
  <c r="AM14" i="71"/>
  <c r="T16" i="71"/>
  <c r="AU16" i="71"/>
  <c r="H20" i="71"/>
  <c r="Q20" i="71"/>
  <c r="AS20" i="71"/>
  <c r="G22" i="71"/>
  <c r="AR22" i="71"/>
  <c r="W26" i="71"/>
  <c r="AF26" i="71"/>
  <c r="AO26" i="71"/>
  <c r="M28" i="71"/>
  <c r="AE28" i="71"/>
  <c r="AN28" i="71"/>
  <c r="AW28" i="71"/>
  <c r="L30" i="71"/>
  <c r="U30" i="71"/>
  <c r="AD30" i="71"/>
  <c r="AM30" i="71"/>
  <c r="G8" i="71"/>
  <c r="AR8" i="71"/>
  <c r="AG10" i="71"/>
  <c r="W12" i="71"/>
  <c r="AF12" i="71"/>
  <c r="AO12" i="71"/>
  <c r="M14" i="71"/>
  <c r="AE14" i="71"/>
  <c r="AN14" i="71"/>
  <c r="AW14" i="71"/>
  <c r="L16" i="71"/>
  <c r="U16" i="71"/>
  <c r="AD16" i="71"/>
  <c r="AM16" i="71"/>
  <c r="T18" i="71"/>
  <c r="AU18" i="71"/>
  <c r="I20" i="71"/>
  <c r="H22" i="71"/>
  <c r="Q22" i="71"/>
  <c r="AS22" i="71"/>
  <c r="G24" i="71"/>
  <c r="AR24" i="71"/>
  <c r="W28" i="71"/>
  <c r="AF28" i="71"/>
  <c r="AO28" i="71"/>
  <c r="M30" i="71"/>
  <c r="AE30" i="71"/>
  <c r="AW30" i="71"/>
  <c r="H8" i="71"/>
  <c r="Q8" i="71"/>
  <c r="AS8" i="71"/>
  <c r="G10" i="71"/>
  <c r="AR10" i="71"/>
  <c r="W14" i="71"/>
  <c r="AF14" i="71"/>
  <c r="AO14" i="71"/>
  <c r="M16" i="71"/>
  <c r="AE16" i="71"/>
  <c r="AW16" i="71"/>
  <c r="L18" i="71"/>
  <c r="U18" i="71"/>
  <c r="AD18" i="71"/>
  <c r="AM18" i="71"/>
  <c r="T20" i="71"/>
  <c r="AU20" i="71"/>
  <c r="H24" i="71"/>
  <c r="Q24" i="71"/>
  <c r="AS24" i="71"/>
  <c r="G26" i="71"/>
  <c r="AR26" i="71"/>
  <c r="AF30" i="71"/>
  <c r="AO30" i="71"/>
  <c r="AU8" i="71"/>
  <c r="AU7" i="64"/>
  <c r="AP37" i="64"/>
  <c r="AP34" i="64"/>
  <c r="AP31" i="64"/>
  <c r="AP28" i="64"/>
  <c r="AP25" i="64"/>
  <c r="AP22" i="64"/>
  <c r="AP19" i="64"/>
  <c r="AP16" i="64"/>
  <c r="AP13" i="64"/>
  <c r="AP10" i="64"/>
  <c r="AP7" i="64"/>
  <c r="A2" i="70"/>
  <c r="C1" i="68"/>
  <c r="C1" i="69"/>
  <c r="AO73" i="64"/>
  <c r="AO91" i="64"/>
  <c r="AO88" i="64"/>
  <c r="AO85" i="64"/>
  <c r="AO82" i="64"/>
  <c r="AO79" i="64"/>
  <c r="AO76" i="64"/>
  <c r="AO70" i="64"/>
  <c r="AO67" i="64"/>
  <c r="AO64" i="64"/>
  <c r="AJ91" i="64"/>
  <c r="AJ90" i="64"/>
  <c r="AJ88" i="64"/>
  <c r="AJ87" i="64"/>
  <c r="AJ86" i="64"/>
  <c r="AJ85" i="64"/>
  <c r="AJ84" i="64"/>
  <c r="AJ83" i="64"/>
  <c r="AJ82" i="64"/>
  <c r="AJ81" i="64"/>
  <c r="AJ80" i="64"/>
  <c r="AJ79" i="64"/>
  <c r="AJ78" i="64"/>
  <c r="AJ77" i="64"/>
  <c r="AJ76" i="64"/>
  <c r="AJ75" i="64"/>
  <c r="AJ74" i="64"/>
  <c r="AH23" i="64"/>
  <c r="AJ73" i="64"/>
  <c r="AU73" i="64" s="1"/>
  <c r="AJ72" i="64"/>
  <c r="AJ71" i="64"/>
  <c r="AJ70" i="64"/>
  <c r="AJ69" i="64"/>
  <c r="AJ68" i="64"/>
  <c r="AJ67" i="64"/>
  <c r="AJ65" i="64"/>
  <c r="AJ64" i="64"/>
  <c r="AJ63" i="64"/>
  <c r="AJ62" i="64"/>
  <c r="Y39" i="64"/>
  <c r="Y38" i="64"/>
  <c r="Y37" i="64"/>
  <c r="Y36" i="64"/>
  <c r="Y35" i="64"/>
  <c r="Y34" i="64"/>
  <c r="Y33" i="64"/>
  <c r="Y32" i="64"/>
  <c r="Y31" i="64"/>
  <c r="Y30" i="64"/>
  <c r="Y29" i="64"/>
  <c r="Y28" i="64"/>
  <c r="Y27" i="64"/>
  <c r="Y26" i="64"/>
  <c r="Y25" i="64"/>
  <c r="Y24" i="64"/>
  <c r="Y23" i="64"/>
  <c r="Y22" i="64"/>
  <c r="Y21" i="64"/>
  <c r="Y20" i="64"/>
  <c r="Y19" i="64"/>
  <c r="Y18" i="64"/>
  <c r="Y17" i="64"/>
  <c r="Y16" i="64"/>
  <c r="Y15" i="64"/>
  <c r="Y14" i="64"/>
  <c r="Y13" i="64"/>
  <c r="Y12" i="64"/>
  <c r="Y11" i="64"/>
  <c r="Y10" i="64"/>
  <c r="W10" i="64"/>
  <c r="T66" i="69"/>
  <c r="BD10" i="64"/>
  <c r="C2" i="69"/>
  <c r="BD37" i="64"/>
  <c r="BD34" i="64"/>
  <c r="BD31" i="64"/>
  <c r="BD28" i="64"/>
  <c r="BD25" i="64"/>
  <c r="BD22" i="64"/>
  <c r="BD19" i="64"/>
  <c r="BD16" i="64"/>
  <c r="BD13" i="64"/>
  <c r="BD7" i="64"/>
  <c r="N9" i="68"/>
  <c r="N54" i="68"/>
  <c r="AK54" i="68"/>
  <c r="AJ54" i="68"/>
  <c r="AI54" i="68"/>
  <c r="AH54" i="68"/>
  <c r="AG54" i="68"/>
  <c r="AF54" i="68"/>
  <c r="AE54" i="68"/>
  <c r="AD54" i="68"/>
  <c r="AC54" i="68"/>
  <c r="AB54" i="68"/>
  <c r="AA54" i="68"/>
  <c r="Z54" i="68"/>
  <c r="Y54" i="68"/>
  <c r="X54" i="68"/>
  <c r="W54" i="68"/>
  <c r="V54" i="68"/>
  <c r="U54" i="68"/>
  <c r="T54" i="68"/>
  <c r="S54" i="68"/>
  <c r="R54" i="68"/>
  <c r="Q54" i="68"/>
  <c r="P54" i="68"/>
  <c r="O54" i="68"/>
  <c r="AK53" i="68"/>
  <c r="AJ53" i="68"/>
  <c r="AI53" i="68"/>
  <c r="AH53" i="68"/>
  <c r="AG53" i="68"/>
  <c r="AF53" i="68"/>
  <c r="AE53" i="68"/>
  <c r="AD53" i="68"/>
  <c r="AC53" i="68"/>
  <c r="AB53" i="68"/>
  <c r="AA53" i="68"/>
  <c r="Z53" i="68"/>
  <c r="Y53" i="68"/>
  <c r="X53" i="68"/>
  <c r="W53" i="68"/>
  <c r="V53" i="68"/>
  <c r="U53" i="68"/>
  <c r="T53" i="68"/>
  <c r="S53" i="68"/>
  <c r="R53" i="68"/>
  <c r="Q53" i="68"/>
  <c r="P53" i="68"/>
  <c r="O53" i="68"/>
  <c r="N53" i="68"/>
  <c r="AK52" i="68"/>
  <c r="AJ52" i="68"/>
  <c r="AI52" i="68"/>
  <c r="AH52" i="68"/>
  <c r="AG52" i="68"/>
  <c r="AF52" i="68"/>
  <c r="AE52" i="68"/>
  <c r="AD52" i="68"/>
  <c r="AC52" i="68"/>
  <c r="AB52" i="68"/>
  <c r="AA52" i="68"/>
  <c r="Z52" i="68"/>
  <c r="Y52" i="68"/>
  <c r="X52" i="68"/>
  <c r="W52" i="68"/>
  <c r="V52" i="68"/>
  <c r="U52" i="68"/>
  <c r="T52" i="68"/>
  <c r="S52" i="68"/>
  <c r="R52" i="68"/>
  <c r="Q52" i="68"/>
  <c r="P52" i="68"/>
  <c r="O52" i="68"/>
  <c r="N52" i="68"/>
  <c r="AK51" i="68"/>
  <c r="AJ51" i="68"/>
  <c r="AI51" i="68"/>
  <c r="AH51" i="68"/>
  <c r="AG51" i="68"/>
  <c r="AF51" i="68"/>
  <c r="AE51" i="68"/>
  <c r="AD51" i="68"/>
  <c r="AC51" i="68"/>
  <c r="AB51" i="68"/>
  <c r="AA51" i="68"/>
  <c r="Z51" i="68"/>
  <c r="Y51" i="68"/>
  <c r="X51" i="68"/>
  <c r="W51" i="68"/>
  <c r="V51" i="68"/>
  <c r="U51" i="68"/>
  <c r="T51" i="68"/>
  <c r="S51" i="68"/>
  <c r="R51" i="68"/>
  <c r="Q51" i="68"/>
  <c r="P51" i="68"/>
  <c r="O51" i="68"/>
  <c r="N51" i="68"/>
  <c r="AK50" i="68"/>
  <c r="AJ50" i="68"/>
  <c r="AI50" i="68"/>
  <c r="AH50" i="68"/>
  <c r="AH55" i="68" s="1"/>
  <c r="AG50" i="68"/>
  <c r="AF50" i="68"/>
  <c r="BH34" i="64" s="1"/>
  <c r="AE50" i="68"/>
  <c r="AD50" i="68"/>
  <c r="AC50" i="68"/>
  <c r="AB50" i="68"/>
  <c r="AA50" i="68"/>
  <c r="Z50" i="68"/>
  <c r="BH25" i="64" s="1"/>
  <c r="Y50" i="68"/>
  <c r="X50" i="68"/>
  <c r="BH22" i="64" s="1"/>
  <c r="W50" i="68"/>
  <c r="V50" i="68"/>
  <c r="U50" i="68"/>
  <c r="T50" i="68"/>
  <c r="S50" i="68"/>
  <c r="R50" i="68"/>
  <c r="BH13" i="64" s="1"/>
  <c r="Q50" i="68"/>
  <c r="P50" i="68"/>
  <c r="P55" i="68" s="1"/>
  <c r="O50" i="68"/>
  <c r="N50" i="68"/>
  <c r="N55" i="68" s="1"/>
  <c r="AK37" i="68"/>
  <c r="AJ37" i="68"/>
  <c r="AI37" i="68"/>
  <c r="AH37" i="68"/>
  <c r="AG37" i="68"/>
  <c r="AF37" i="68"/>
  <c r="AE37" i="68"/>
  <c r="AD37" i="68"/>
  <c r="AC37" i="68"/>
  <c r="AB37" i="68"/>
  <c r="AA37" i="68"/>
  <c r="Z37" i="68"/>
  <c r="Y37" i="68"/>
  <c r="X37" i="68"/>
  <c r="W37" i="68"/>
  <c r="V37" i="68"/>
  <c r="U37" i="68"/>
  <c r="T37" i="68"/>
  <c r="S37" i="68"/>
  <c r="R37" i="68"/>
  <c r="Q37" i="68"/>
  <c r="P37" i="68"/>
  <c r="O37" i="68"/>
  <c r="N37" i="68"/>
  <c r="AK36" i="68"/>
  <c r="AJ36" i="68"/>
  <c r="AI36" i="68"/>
  <c r="AH36" i="68"/>
  <c r="AG36" i="68"/>
  <c r="AF36" i="68"/>
  <c r="AE36" i="68"/>
  <c r="AD36" i="68"/>
  <c r="AC36" i="68"/>
  <c r="AB36" i="68"/>
  <c r="AA36" i="68"/>
  <c r="Z36" i="68"/>
  <c r="Y36" i="68"/>
  <c r="X36" i="68"/>
  <c r="W36" i="68"/>
  <c r="V36" i="68"/>
  <c r="U36" i="68"/>
  <c r="T36" i="68"/>
  <c r="S36" i="68"/>
  <c r="R36" i="68"/>
  <c r="Q36" i="68"/>
  <c r="P36" i="68"/>
  <c r="O36" i="68"/>
  <c r="N36" i="68"/>
  <c r="AK35" i="68"/>
  <c r="AJ35" i="68"/>
  <c r="AI35" i="68"/>
  <c r="AH35" i="68"/>
  <c r="AG35" i="68"/>
  <c r="AF35" i="68"/>
  <c r="AE35" i="68"/>
  <c r="AD35" i="68"/>
  <c r="AC35" i="68"/>
  <c r="AB35" i="68"/>
  <c r="AA35" i="68"/>
  <c r="Z35" i="68"/>
  <c r="Y35" i="68"/>
  <c r="X35" i="68"/>
  <c r="W35" i="68"/>
  <c r="V35" i="68"/>
  <c r="U35" i="68"/>
  <c r="T35" i="68"/>
  <c r="S35" i="68"/>
  <c r="R35" i="68"/>
  <c r="Q35" i="68"/>
  <c r="P35" i="68"/>
  <c r="O35" i="68"/>
  <c r="N35" i="68"/>
  <c r="AK34" i="68"/>
  <c r="AJ34" i="68"/>
  <c r="AI34" i="68"/>
  <c r="AH34" i="68"/>
  <c r="AG34" i="68"/>
  <c r="AF34" i="68"/>
  <c r="AE34" i="68"/>
  <c r="AD34" i="68"/>
  <c r="AC34" i="68"/>
  <c r="AB34" i="68"/>
  <c r="AA34" i="68"/>
  <c r="Z34" i="68"/>
  <c r="Y34" i="68"/>
  <c r="X34" i="68"/>
  <c r="W34" i="68"/>
  <c r="V34" i="68"/>
  <c r="U34" i="68"/>
  <c r="T34" i="68"/>
  <c r="S34" i="68"/>
  <c r="R34" i="68"/>
  <c r="Q34" i="68"/>
  <c r="P34" i="68"/>
  <c r="O34" i="68"/>
  <c r="N34" i="68"/>
  <c r="AK33" i="68"/>
  <c r="AJ33" i="68"/>
  <c r="AI33" i="68"/>
  <c r="AH33" i="68"/>
  <c r="AG33" i="68"/>
  <c r="AF33" i="68"/>
  <c r="AE33" i="68"/>
  <c r="AD33" i="68"/>
  <c r="AC33" i="68"/>
  <c r="AB33" i="68"/>
  <c r="AA33" i="68"/>
  <c r="Z33" i="68"/>
  <c r="Y33" i="68"/>
  <c r="X33" i="68"/>
  <c r="W33" i="68"/>
  <c r="V33" i="68"/>
  <c r="U33" i="68"/>
  <c r="T33" i="68"/>
  <c r="S33" i="68"/>
  <c r="R33" i="68"/>
  <c r="Q33" i="68"/>
  <c r="P33" i="68"/>
  <c r="O33" i="68"/>
  <c r="N33" i="68"/>
  <c r="AK32" i="68"/>
  <c r="AJ32" i="68"/>
  <c r="AI32" i="68"/>
  <c r="AH32" i="68"/>
  <c r="AG32" i="68"/>
  <c r="AF32" i="68"/>
  <c r="AE32" i="68"/>
  <c r="AD32" i="68"/>
  <c r="AC32" i="68"/>
  <c r="AB32" i="68"/>
  <c r="AA32" i="68"/>
  <c r="Z32" i="68"/>
  <c r="Y32" i="68"/>
  <c r="X32" i="68"/>
  <c r="W32" i="68"/>
  <c r="V32" i="68"/>
  <c r="U32" i="68"/>
  <c r="T32" i="68"/>
  <c r="S32" i="68"/>
  <c r="R32" i="68"/>
  <c r="Q32" i="68"/>
  <c r="P32" i="68"/>
  <c r="O32" i="68"/>
  <c r="N32" i="68"/>
  <c r="AK31" i="68"/>
  <c r="AJ31" i="68"/>
  <c r="AI31" i="68"/>
  <c r="AH31" i="68"/>
  <c r="AG31" i="68"/>
  <c r="AF31" i="68"/>
  <c r="AE31" i="68"/>
  <c r="AD31" i="68"/>
  <c r="AC31" i="68"/>
  <c r="AB31" i="68"/>
  <c r="AA31" i="68"/>
  <c r="Z31" i="68"/>
  <c r="Y31" i="68"/>
  <c r="X31" i="68"/>
  <c r="W31" i="68"/>
  <c r="V31" i="68"/>
  <c r="U31" i="68"/>
  <c r="T31" i="68"/>
  <c r="S31" i="68"/>
  <c r="R31" i="68"/>
  <c r="Q31" i="68"/>
  <c r="P31" i="68"/>
  <c r="O31" i="68"/>
  <c r="N31" i="68"/>
  <c r="AK30" i="68"/>
  <c r="AJ30" i="68"/>
  <c r="AI30" i="68"/>
  <c r="AH30" i="68"/>
  <c r="AG30" i="68"/>
  <c r="AF30" i="68"/>
  <c r="AE30" i="68"/>
  <c r="AD30" i="68"/>
  <c r="AC30" i="68"/>
  <c r="AB30" i="68"/>
  <c r="AA30" i="68"/>
  <c r="Z30" i="68"/>
  <c r="Y30" i="68"/>
  <c r="X30" i="68"/>
  <c r="W30" i="68"/>
  <c r="V30" i="68"/>
  <c r="U30" i="68"/>
  <c r="T30" i="68"/>
  <c r="S30" i="68"/>
  <c r="R30" i="68"/>
  <c r="Q30" i="68"/>
  <c r="P30" i="68"/>
  <c r="O30" i="68"/>
  <c r="N30" i="68"/>
  <c r="AK29" i="68"/>
  <c r="AJ29" i="68"/>
  <c r="AI29" i="68"/>
  <c r="AH29" i="68"/>
  <c r="AG29" i="68"/>
  <c r="AF29" i="68"/>
  <c r="AE29" i="68"/>
  <c r="AD29" i="68"/>
  <c r="AC29" i="68"/>
  <c r="AB29" i="68"/>
  <c r="AA29" i="68"/>
  <c r="Z29" i="68"/>
  <c r="Y29" i="68"/>
  <c r="X29" i="68"/>
  <c r="W29" i="68"/>
  <c r="V29" i="68"/>
  <c r="U29" i="68"/>
  <c r="T29" i="68"/>
  <c r="S29" i="68"/>
  <c r="R29" i="68"/>
  <c r="Q29" i="68"/>
  <c r="P29" i="68"/>
  <c r="O29" i="68"/>
  <c r="N29" i="68"/>
  <c r="AK28" i="68"/>
  <c r="AJ28" i="68"/>
  <c r="AI28" i="68"/>
  <c r="AH28" i="68"/>
  <c r="AG28" i="68"/>
  <c r="AF28" i="68"/>
  <c r="AE28" i="68"/>
  <c r="AD28" i="68"/>
  <c r="AC28" i="68"/>
  <c r="AB28" i="68"/>
  <c r="AA28" i="68"/>
  <c r="Z28" i="68"/>
  <c r="Y28" i="68"/>
  <c r="X28" i="68"/>
  <c r="W28" i="68"/>
  <c r="V28" i="68"/>
  <c r="U28" i="68"/>
  <c r="T28" i="68"/>
  <c r="S28" i="68"/>
  <c r="R28" i="68"/>
  <c r="Q28" i="68"/>
  <c r="P28" i="68"/>
  <c r="O28" i="68"/>
  <c r="N28" i="68"/>
  <c r="AK27" i="68"/>
  <c r="AJ27" i="68"/>
  <c r="AI27" i="68"/>
  <c r="AH27" i="68"/>
  <c r="AG27" i="68"/>
  <c r="AF27" i="68"/>
  <c r="AE27" i="68"/>
  <c r="AD27" i="68"/>
  <c r="AC27" i="68"/>
  <c r="AB27" i="68"/>
  <c r="AA27" i="68"/>
  <c r="Z27" i="68"/>
  <c r="Y27" i="68"/>
  <c r="X27" i="68"/>
  <c r="W27" i="68"/>
  <c r="V27" i="68"/>
  <c r="U27" i="68"/>
  <c r="T27" i="68"/>
  <c r="S27" i="68"/>
  <c r="R27" i="68"/>
  <c r="Q27" i="68"/>
  <c r="P27" i="68"/>
  <c r="O27" i="68"/>
  <c r="N27" i="68"/>
  <c r="AK16" i="68"/>
  <c r="AJ16" i="68"/>
  <c r="AI16" i="68"/>
  <c r="AH16" i="68"/>
  <c r="AG16" i="68"/>
  <c r="AF16" i="68"/>
  <c r="AE16" i="68"/>
  <c r="AD16" i="68"/>
  <c r="AC16" i="68"/>
  <c r="AB16" i="68"/>
  <c r="AA16" i="68"/>
  <c r="Z16" i="68"/>
  <c r="Y16" i="68"/>
  <c r="X16" i="68"/>
  <c r="W16" i="68"/>
  <c r="V16" i="68"/>
  <c r="U16" i="68"/>
  <c r="T16" i="68"/>
  <c r="S16" i="68"/>
  <c r="R16" i="68"/>
  <c r="Q16" i="68"/>
  <c r="P16" i="68"/>
  <c r="O16" i="68"/>
  <c r="N16" i="68"/>
  <c r="AK15" i="68"/>
  <c r="AJ15" i="68"/>
  <c r="AI15" i="68"/>
  <c r="AH15" i="68"/>
  <c r="AG15" i="68"/>
  <c r="AF15" i="68"/>
  <c r="AE15" i="68"/>
  <c r="AD15" i="68"/>
  <c r="AC15" i="68"/>
  <c r="AB15" i="68"/>
  <c r="AA15" i="68"/>
  <c r="Z15" i="68"/>
  <c r="Y15" i="68"/>
  <c r="X15" i="68"/>
  <c r="W15" i="68"/>
  <c r="V15" i="68"/>
  <c r="U15" i="68"/>
  <c r="T15" i="68"/>
  <c r="S15" i="68"/>
  <c r="R15" i="68"/>
  <c r="Q15" i="68"/>
  <c r="P15" i="68"/>
  <c r="O15" i="68"/>
  <c r="N15" i="68"/>
  <c r="AK14" i="68"/>
  <c r="AJ14" i="68"/>
  <c r="AI14" i="68"/>
  <c r="AH14" i="68"/>
  <c r="AG14" i="68"/>
  <c r="AF14" i="68"/>
  <c r="AE14" i="68"/>
  <c r="AD14" i="68"/>
  <c r="AC14" i="68"/>
  <c r="AB14" i="68"/>
  <c r="AA14" i="68"/>
  <c r="Z14" i="68"/>
  <c r="Y14" i="68"/>
  <c r="X14" i="68"/>
  <c r="W14" i="68"/>
  <c r="V14" i="68"/>
  <c r="U14" i="68"/>
  <c r="T14" i="68"/>
  <c r="S14" i="68"/>
  <c r="R14" i="68"/>
  <c r="Q14" i="68"/>
  <c r="P14" i="68"/>
  <c r="O14" i="68"/>
  <c r="N14" i="68"/>
  <c r="AK13" i="68"/>
  <c r="AJ13" i="68"/>
  <c r="AI13" i="68"/>
  <c r="AH13" i="68"/>
  <c r="AG13" i="68"/>
  <c r="AF13" i="68"/>
  <c r="AE13" i="68"/>
  <c r="AD13" i="68"/>
  <c r="AC13" i="68"/>
  <c r="AB13" i="68"/>
  <c r="AA13" i="68"/>
  <c r="Z13" i="68"/>
  <c r="Y13" i="68"/>
  <c r="X13" i="68"/>
  <c r="W13" i="68"/>
  <c r="V13" i="68"/>
  <c r="U13" i="68"/>
  <c r="T13" i="68"/>
  <c r="S13" i="68"/>
  <c r="R13" i="68"/>
  <c r="Q13" i="68"/>
  <c r="P13" i="68"/>
  <c r="O13" i="68"/>
  <c r="N13" i="68"/>
  <c r="AK12" i="68"/>
  <c r="AJ12" i="68"/>
  <c r="AI12" i="68"/>
  <c r="AH12" i="68"/>
  <c r="AG12" i="68"/>
  <c r="AF12" i="68"/>
  <c r="AE12" i="68"/>
  <c r="AD12" i="68"/>
  <c r="AC12" i="68"/>
  <c r="AB12" i="68"/>
  <c r="AA12" i="68"/>
  <c r="Z12" i="68"/>
  <c r="Y12" i="68"/>
  <c r="X12" i="68"/>
  <c r="W12" i="68"/>
  <c r="V12" i="68"/>
  <c r="U12" i="68"/>
  <c r="T12" i="68"/>
  <c r="S12" i="68"/>
  <c r="R12" i="68"/>
  <c r="Q12" i="68"/>
  <c r="P12" i="68"/>
  <c r="O12" i="68"/>
  <c r="N12" i="68"/>
  <c r="AK11" i="68"/>
  <c r="AJ11" i="68"/>
  <c r="AI11" i="68"/>
  <c r="AH11" i="68"/>
  <c r="AG11" i="68"/>
  <c r="AF11" i="68"/>
  <c r="AE11" i="68"/>
  <c r="AD11" i="68"/>
  <c r="AC11" i="68"/>
  <c r="AB11" i="68"/>
  <c r="AA11" i="68"/>
  <c r="Z11" i="68"/>
  <c r="Y11" i="68"/>
  <c r="X11" i="68"/>
  <c r="W11" i="68"/>
  <c r="V11" i="68"/>
  <c r="U11" i="68"/>
  <c r="T11" i="68"/>
  <c r="S11" i="68"/>
  <c r="R11" i="68"/>
  <c r="Q11" i="68"/>
  <c r="P11" i="68"/>
  <c r="O11" i="68"/>
  <c r="N11" i="68"/>
  <c r="AK10" i="68"/>
  <c r="AJ10" i="68"/>
  <c r="AI10" i="68"/>
  <c r="AH10" i="68"/>
  <c r="AG10" i="68"/>
  <c r="AF10" i="68"/>
  <c r="AE10" i="68"/>
  <c r="AD10" i="68"/>
  <c r="AC10" i="68"/>
  <c r="AB10" i="68"/>
  <c r="AA10" i="68"/>
  <c r="Z10" i="68"/>
  <c r="Y10" i="68"/>
  <c r="X10" i="68"/>
  <c r="W10" i="68"/>
  <c r="V10" i="68"/>
  <c r="U10" i="68"/>
  <c r="T10" i="68"/>
  <c r="S10" i="68"/>
  <c r="R10" i="68"/>
  <c r="Q10" i="68"/>
  <c r="P10" i="68"/>
  <c r="O10" i="68"/>
  <c r="N10" i="68"/>
  <c r="AK9" i="68"/>
  <c r="AJ9" i="68"/>
  <c r="AI9" i="68"/>
  <c r="AH9" i="68"/>
  <c r="AG9" i="68"/>
  <c r="AF9" i="68"/>
  <c r="AE9" i="68"/>
  <c r="AD9" i="68"/>
  <c r="AC9" i="68"/>
  <c r="AB9" i="68"/>
  <c r="AA9" i="68"/>
  <c r="Z9" i="68"/>
  <c r="Y9" i="68"/>
  <c r="X9" i="68"/>
  <c r="W9" i="68"/>
  <c r="V9" i="68"/>
  <c r="U9" i="68"/>
  <c r="T9" i="68"/>
  <c r="S9" i="68"/>
  <c r="R9" i="68"/>
  <c r="Q9" i="68"/>
  <c r="P9" i="68"/>
  <c r="O9" i="68"/>
  <c r="AK8" i="68"/>
  <c r="AJ8" i="68"/>
  <c r="AI8" i="68"/>
  <c r="AH8" i="68"/>
  <c r="AG8" i="68"/>
  <c r="AF8" i="68"/>
  <c r="AE8" i="68"/>
  <c r="AD8" i="68"/>
  <c r="BE31" i="64" s="1"/>
  <c r="AC8" i="68"/>
  <c r="AB8" i="68"/>
  <c r="AA8" i="68"/>
  <c r="Z8" i="68"/>
  <c r="Y8" i="68"/>
  <c r="X8" i="68"/>
  <c r="W8" i="68"/>
  <c r="U8" i="68"/>
  <c r="T8" i="68"/>
  <c r="S8" i="68"/>
  <c r="R8" i="68"/>
  <c r="Q8" i="68"/>
  <c r="P8" i="68"/>
  <c r="O8" i="68"/>
  <c r="C2" i="68"/>
  <c r="L55" i="68"/>
  <c r="X39" i="68"/>
  <c r="X40" i="68" s="1"/>
  <c r="AF56" i="68"/>
  <c r="P56" i="68"/>
  <c r="N56" i="68"/>
  <c r="AJ56" i="68"/>
  <c r="AH56" i="68"/>
  <c r="AD56" i="68"/>
  <c r="AB56" i="68"/>
  <c r="Z56" i="68"/>
  <c r="X56" i="68"/>
  <c r="V56" i="68"/>
  <c r="T56" i="68"/>
  <c r="R56" i="68"/>
  <c r="AJ39" i="68"/>
  <c r="AJ40" i="68" s="1"/>
  <c r="AH39" i="68"/>
  <c r="AH40" i="68" s="1"/>
  <c r="AF39" i="68"/>
  <c r="AF40" i="68" s="1"/>
  <c r="AD39" i="68"/>
  <c r="AD40" i="68" s="1"/>
  <c r="AB39" i="68"/>
  <c r="AB40" i="68" s="1"/>
  <c r="Z39" i="68"/>
  <c r="Z40" i="68" s="1"/>
  <c r="V39" i="68"/>
  <c r="V40" i="68" s="1"/>
  <c r="T39" i="68"/>
  <c r="T40" i="68" s="1"/>
  <c r="R39" i="68"/>
  <c r="R40" i="68" s="1"/>
  <c r="P39" i="68"/>
  <c r="P40" i="68" s="1"/>
  <c r="N39" i="68"/>
  <c r="N40" i="68" s="1"/>
  <c r="L38" i="68"/>
  <c r="W19" i="64"/>
  <c r="W14" i="64"/>
  <c r="W39" i="64"/>
  <c r="W38" i="64"/>
  <c r="W37" i="64"/>
  <c r="W36" i="64"/>
  <c r="W35" i="64"/>
  <c r="W34" i="64"/>
  <c r="W33" i="64"/>
  <c r="W32" i="64"/>
  <c r="W31" i="64"/>
  <c r="W30" i="64"/>
  <c r="W29" i="64"/>
  <c r="W28" i="64"/>
  <c r="W27" i="64"/>
  <c r="W26" i="64"/>
  <c r="W25" i="64"/>
  <c r="W24" i="64"/>
  <c r="W23" i="64"/>
  <c r="W22" i="64"/>
  <c r="W21" i="64"/>
  <c r="W20" i="64"/>
  <c r="W18" i="64"/>
  <c r="W17" i="64"/>
  <c r="W16" i="64"/>
  <c r="W15" i="64"/>
  <c r="W13" i="64"/>
  <c r="W12" i="64"/>
  <c r="W11" i="64"/>
  <c r="AL30" i="67"/>
  <c r="AJ30" i="67"/>
  <c r="AH30" i="67"/>
  <c r="AF30" i="67"/>
  <c r="AD30" i="67"/>
  <c r="AB30" i="67"/>
  <c r="Z30" i="67"/>
  <c r="X30" i="67"/>
  <c r="V30" i="67"/>
  <c r="T30" i="67"/>
  <c r="R30" i="67"/>
  <c r="P30" i="67"/>
  <c r="N29" i="67"/>
  <c r="N31" i="67"/>
  <c r="AM28" i="67"/>
  <c r="AL28" i="67"/>
  <c r="AK28" i="67"/>
  <c r="AJ28" i="67"/>
  <c r="AI28" i="67"/>
  <c r="AH28" i="67"/>
  <c r="AG28" i="67"/>
  <c r="AF28" i="67"/>
  <c r="AE28" i="67"/>
  <c r="AD28" i="67"/>
  <c r="AC28" i="67"/>
  <c r="AB28" i="67"/>
  <c r="AA28" i="67"/>
  <c r="Z28" i="67"/>
  <c r="Y28" i="67"/>
  <c r="X28" i="67"/>
  <c r="W28" i="67"/>
  <c r="V28" i="67"/>
  <c r="U28" i="67"/>
  <c r="T28" i="67"/>
  <c r="S28" i="67"/>
  <c r="R28" i="67"/>
  <c r="Q28" i="67"/>
  <c r="P28" i="67"/>
  <c r="AM27" i="67"/>
  <c r="AL27" i="67"/>
  <c r="AK27" i="67"/>
  <c r="AJ27" i="67"/>
  <c r="AI27" i="67"/>
  <c r="AH27" i="67"/>
  <c r="AG27" i="67"/>
  <c r="AF27" i="67"/>
  <c r="AE27" i="67"/>
  <c r="AD27" i="67"/>
  <c r="AC27" i="67"/>
  <c r="AB27" i="67"/>
  <c r="AA27" i="67"/>
  <c r="Z27" i="67"/>
  <c r="Y27" i="67"/>
  <c r="X27" i="67"/>
  <c r="W27" i="67"/>
  <c r="V27" i="67"/>
  <c r="U27" i="67"/>
  <c r="T27" i="67"/>
  <c r="S27" i="67"/>
  <c r="R27" i="67"/>
  <c r="Q27" i="67"/>
  <c r="P27" i="67"/>
  <c r="AM26" i="67"/>
  <c r="AL26" i="67"/>
  <c r="AK26" i="67"/>
  <c r="AJ26" i="67"/>
  <c r="AI26" i="67"/>
  <c r="AH26" i="67"/>
  <c r="AG26" i="67"/>
  <c r="AF26" i="67"/>
  <c r="AE26" i="67"/>
  <c r="AD26" i="67"/>
  <c r="AC26" i="67"/>
  <c r="AB26" i="67"/>
  <c r="AA26" i="67"/>
  <c r="Z26" i="67"/>
  <c r="Y26" i="67"/>
  <c r="X26" i="67"/>
  <c r="W26" i="67"/>
  <c r="V26" i="67"/>
  <c r="U26" i="67"/>
  <c r="T26" i="67"/>
  <c r="S26" i="67"/>
  <c r="R26" i="67"/>
  <c r="Q26" i="67"/>
  <c r="P26" i="67"/>
  <c r="AM25" i="67"/>
  <c r="AL25" i="67"/>
  <c r="AK25" i="67"/>
  <c r="AJ25" i="67"/>
  <c r="AI25" i="67"/>
  <c r="AH25" i="67"/>
  <c r="AG25" i="67"/>
  <c r="AF25" i="67"/>
  <c r="AE25" i="67"/>
  <c r="AD25" i="67"/>
  <c r="AC25" i="67"/>
  <c r="AB25" i="67"/>
  <c r="AA25" i="67"/>
  <c r="Z25" i="67"/>
  <c r="Y25" i="67"/>
  <c r="X25" i="67"/>
  <c r="W25" i="67"/>
  <c r="V25" i="67"/>
  <c r="U25" i="67"/>
  <c r="T25" i="67"/>
  <c r="S25" i="67"/>
  <c r="R25" i="67"/>
  <c r="Q25" i="67"/>
  <c r="P25" i="67"/>
  <c r="AM24" i="67"/>
  <c r="AL24" i="67"/>
  <c r="AK24" i="67"/>
  <c r="AJ24" i="67"/>
  <c r="AI24" i="67"/>
  <c r="AH24" i="67"/>
  <c r="AG24" i="67"/>
  <c r="AF24" i="67"/>
  <c r="AE24" i="67"/>
  <c r="AD24" i="67"/>
  <c r="AC24" i="67"/>
  <c r="AB24" i="67"/>
  <c r="AA24" i="67"/>
  <c r="Z24" i="67"/>
  <c r="Y24" i="67"/>
  <c r="X24" i="67"/>
  <c r="W24" i="67"/>
  <c r="V24" i="67"/>
  <c r="U24" i="67"/>
  <c r="T24" i="67"/>
  <c r="S24" i="67"/>
  <c r="R24" i="67"/>
  <c r="Q24" i="67"/>
  <c r="P24" i="67"/>
  <c r="AM23" i="67"/>
  <c r="AL23" i="67"/>
  <c r="AK23" i="67"/>
  <c r="AJ23" i="67"/>
  <c r="AI23" i="67"/>
  <c r="AH23" i="67"/>
  <c r="AG23" i="67"/>
  <c r="AF23" i="67"/>
  <c r="AE23" i="67"/>
  <c r="AD23" i="67"/>
  <c r="AC23" i="67"/>
  <c r="AB23" i="67"/>
  <c r="AA23" i="67"/>
  <c r="Z23" i="67"/>
  <c r="Y23" i="67"/>
  <c r="X23" i="67"/>
  <c r="W23" i="67"/>
  <c r="V23" i="67"/>
  <c r="U23" i="67"/>
  <c r="T23" i="67"/>
  <c r="S23" i="67"/>
  <c r="R23" i="67"/>
  <c r="Q23" i="67"/>
  <c r="P23" i="67"/>
  <c r="AM22" i="67"/>
  <c r="AL22" i="67"/>
  <c r="AK22" i="67"/>
  <c r="AJ22" i="67"/>
  <c r="AI22" i="67"/>
  <c r="AH22" i="67"/>
  <c r="AG22" i="67"/>
  <c r="AF22" i="67"/>
  <c r="AE22" i="67"/>
  <c r="AD22" i="67"/>
  <c r="AC22" i="67"/>
  <c r="AB22" i="67"/>
  <c r="AA22" i="67"/>
  <c r="Z22" i="67"/>
  <c r="Y22" i="67"/>
  <c r="X22" i="67"/>
  <c r="W22" i="67"/>
  <c r="V22" i="67"/>
  <c r="U22" i="67"/>
  <c r="T22" i="67"/>
  <c r="S22" i="67"/>
  <c r="R22" i="67"/>
  <c r="Q22" i="67"/>
  <c r="P22" i="67"/>
  <c r="AM21" i="67"/>
  <c r="AL21" i="67"/>
  <c r="AK21" i="67"/>
  <c r="AJ21" i="67"/>
  <c r="AI21" i="67"/>
  <c r="AH21" i="67"/>
  <c r="AG21" i="67"/>
  <c r="AF21" i="67"/>
  <c r="AE21" i="67"/>
  <c r="AD21" i="67"/>
  <c r="AC21" i="67"/>
  <c r="AB21" i="67"/>
  <c r="AA21" i="67"/>
  <c r="Z21" i="67"/>
  <c r="Y21" i="67"/>
  <c r="X21" i="67"/>
  <c r="W21" i="67"/>
  <c r="V21" i="67"/>
  <c r="U21" i="67"/>
  <c r="T21" i="67"/>
  <c r="S21" i="67"/>
  <c r="R21" i="67"/>
  <c r="Q21" i="67"/>
  <c r="P21" i="67"/>
  <c r="AM20" i="67"/>
  <c r="AL20" i="67"/>
  <c r="AK20" i="67"/>
  <c r="AJ20" i="67"/>
  <c r="AI20" i="67"/>
  <c r="AH20" i="67"/>
  <c r="AG20" i="67"/>
  <c r="AF20" i="67"/>
  <c r="AE20" i="67"/>
  <c r="AD20" i="67"/>
  <c r="AC20" i="67"/>
  <c r="AB20" i="67"/>
  <c r="AA20" i="67"/>
  <c r="Z20" i="67"/>
  <c r="Y20" i="67"/>
  <c r="X20" i="67"/>
  <c r="W20" i="67"/>
  <c r="V20" i="67"/>
  <c r="U20" i="67"/>
  <c r="T20" i="67"/>
  <c r="S20" i="67"/>
  <c r="R20" i="67"/>
  <c r="Q20" i="67"/>
  <c r="P20" i="67"/>
  <c r="AM19" i="67"/>
  <c r="AL19" i="67"/>
  <c r="AK19" i="67"/>
  <c r="AJ19" i="67"/>
  <c r="AI19" i="67"/>
  <c r="AH19" i="67"/>
  <c r="AG19" i="67"/>
  <c r="AF19" i="67"/>
  <c r="AE19" i="67"/>
  <c r="AD19" i="67"/>
  <c r="AC19" i="67"/>
  <c r="AB19" i="67"/>
  <c r="AA19" i="67"/>
  <c r="Z19" i="67"/>
  <c r="Y19" i="67"/>
  <c r="X19" i="67"/>
  <c r="W19" i="67"/>
  <c r="V19" i="67"/>
  <c r="U19" i="67"/>
  <c r="T19" i="67"/>
  <c r="S19" i="67"/>
  <c r="R19" i="67"/>
  <c r="Q19" i="67"/>
  <c r="P19" i="67"/>
  <c r="AM18" i="67"/>
  <c r="AL18" i="67"/>
  <c r="AK18" i="67"/>
  <c r="AJ18" i="67"/>
  <c r="AI18" i="67"/>
  <c r="AH18" i="67"/>
  <c r="AG18" i="67"/>
  <c r="AF18" i="67"/>
  <c r="AE18" i="67"/>
  <c r="AD18" i="67"/>
  <c r="AC18" i="67"/>
  <c r="AB18" i="67"/>
  <c r="AA18" i="67"/>
  <c r="Z18" i="67"/>
  <c r="Y18" i="67"/>
  <c r="X18" i="67"/>
  <c r="W18" i="67"/>
  <c r="V18" i="67"/>
  <c r="U18" i="67"/>
  <c r="T18" i="67"/>
  <c r="S18" i="67"/>
  <c r="R18" i="67"/>
  <c r="Q18" i="67"/>
  <c r="P18" i="67"/>
  <c r="AM17" i="67"/>
  <c r="AL17" i="67"/>
  <c r="AK17" i="67"/>
  <c r="AJ17" i="67"/>
  <c r="AI17" i="67"/>
  <c r="AH17" i="67"/>
  <c r="AG17" i="67"/>
  <c r="AF17" i="67"/>
  <c r="AE17" i="67"/>
  <c r="AD17" i="67"/>
  <c r="AC17" i="67"/>
  <c r="AB17" i="67"/>
  <c r="AA17" i="67"/>
  <c r="Z17" i="67"/>
  <c r="Y17" i="67"/>
  <c r="X17" i="67"/>
  <c r="W17" i="67"/>
  <c r="V17" i="67"/>
  <c r="U17" i="67"/>
  <c r="T17" i="67"/>
  <c r="S17" i="67"/>
  <c r="R17" i="67"/>
  <c r="Q17" i="67"/>
  <c r="P17" i="67"/>
  <c r="AM16" i="67"/>
  <c r="AL16" i="67"/>
  <c r="AK16" i="67"/>
  <c r="AJ16" i="67"/>
  <c r="AI16" i="67"/>
  <c r="AH16" i="67"/>
  <c r="AG16" i="67"/>
  <c r="AF16" i="67"/>
  <c r="AE16" i="67"/>
  <c r="AD16" i="67"/>
  <c r="AC16" i="67"/>
  <c r="AB16" i="67"/>
  <c r="AA16" i="67"/>
  <c r="Z16" i="67"/>
  <c r="Y16" i="67"/>
  <c r="X16" i="67"/>
  <c r="W16" i="67"/>
  <c r="V16" i="67"/>
  <c r="U16" i="67"/>
  <c r="T16" i="67"/>
  <c r="S16" i="67"/>
  <c r="R16" i="67"/>
  <c r="Q16" i="67"/>
  <c r="P16" i="67"/>
  <c r="AM15" i="67"/>
  <c r="AL15" i="67"/>
  <c r="AK15" i="67"/>
  <c r="AJ15" i="67"/>
  <c r="AI15" i="67"/>
  <c r="AH15" i="67"/>
  <c r="AG15" i="67"/>
  <c r="AF15" i="67"/>
  <c r="AE15" i="67"/>
  <c r="AD15" i="67"/>
  <c r="AC15" i="67"/>
  <c r="AB15" i="67"/>
  <c r="AA15" i="67"/>
  <c r="Z15" i="67"/>
  <c r="Y15" i="67"/>
  <c r="X15" i="67"/>
  <c r="W15" i="67"/>
  <c r="V15" i="67"/>
  <c r="U15" i="67"/>
  <c r="T15" i="67"/>
  <c r="S15" i="67"/>
  <c r="R15" i="67"/>
  <c r="Q15" i="67"/>
  <c r="P15" i="67"/>
  <c r="AM14" i="67"/>
  <c r="AL14" i="67"/>
  <c r="AK14" i="67"/>
  <c r="AJ14" i="67"/>
  <c r="AI14" i="67"/>
  <c r="AH14" i="67"/>
  <c r="AG14" i="67"/>
  <c r="AF14" i="67"/>
  <c r="AE14" i="67"/>
  <c r="AD14" i="67"/>
  <c r="AC14" i="67"/>
  <c r="AB14" i="67"/>
  <c r="AA14" i="67"/>
  <c r="Z14" i="67"/>
  <c r="Y14" i="67"/>
  <c r="X14" i="67"/>
  <c r="W14" i="67"/>
  <c r="V14" i="67"/>
  <c r="U14" i="67"/>
  <c r="T14" i="67"/>
  <c r="S14" i="67"/>
  <c r="R14" i="67"/>
  <c r="Q14" i="67"/>
  <c r="P14" i="67"/>
  <c r="AM13" i="67"/>
  <c r="AL13" i="67"/>
  <c r="AK13" i="67"/>
  <c r="AJ13" i="67"/>
  <c r="AI13" i="67"/>
  <c r="AH13" i="67"/>
  <c r="AG13" i="67"/>
  <c r="AF13" i="67"/>
  <c r="AE13" i="67"/>
  <c r="AD13" i="67"/>
  <c r="AC13" i="67"/>
  <c r="AB13" i="67"/>
  <c r="AA13" i="67"/>
  <c r="Z13" i="67"/>
  <c r="Y13" i="67"/>
  <c r="X13" i="67"/>
  <c r="W13" i="67"/>
  <c r="V13" i="67"/>
  <c r="U13" i="67"/>
  <c r="T13" i="67"/>
  <c r="S13" i="67"/>
  <c r="R13" i="67"/>
  <c r="Q13" i="67"/>
  <c r="P13" i="67"/>
  <c r="AM12" i="67"/>
  <c r="AL12" i="67"/>
  <c r="AK12" i="67"/>
  <c r="AJ12" i="67"/>
  <c r="AI12" i="67"/>
  <c r="AH12" i="67"/>
  <c r="AG12" i="67"/>
  <c r="AF12" i="67"/>
  <c r="AE12" i="67"/>
  <c r="AD12" i="67"/>
  <c r="AC12" i="67"/>
  <c r="AB12" i="67"/>
  <c r="AA12" i="67"/>
  <c r="Z12" i="67"/>
  <c r="Y12" i="67"/>
  <c r="X12" i="67"/>
  <c r="W12" i="67"/>
  <c r="V12" i="67"/>
  <c r="U12" i="67"/>
  <c r="T12" i="67"/>
  <c r="S12" i="67"/>
  <c r="R12" i="67"/>
  <c r="Q12" i="67"/>
  <c r="P12" i="67"/>
  <c r="AM11" i="67"/>
  <c r="AL11" i="67"/>
  <c r="AK11" i="67"/>
  <c r="AJ11" i="67"/>
  <c r="AI11" i="67"/>
  <c r="AH11" i="67"/>
  <c r="AG11" i="67"/>
  <c r="AF11" i="67"/>
  <c r="AE11" i="67"/>
  <c r="AD11" i="67"/>
  <c r="AC11" i="67"/>
  <c r="AB11" i="67"/>
  <c r="AA11" i="67"/>
  <c r="Z11" i="67"/>
  <c r="Y11" i="67"/>
  <c r="X11" i="67"/>
  <c r="W11" i="67"/>
  <c r="V11" i="67"/>
  <c r="U11" i="67"/>
  <c r="T11" i="67"/>
  <c r="S11" i="67"/>
  <c r="R11" i="67"/>
  <c r="Q11" i="67"/>
  <c r="P11" i="67"/>
  <c r="AM10" i="67"/>
  <c r="AL10" i="67"/>
  <c r="AK10" i="67"/>
  <c r="AJ10" i="67"/>
  <c r="AJ29" i="67"/>
  <c r="AJ31" i="67" s="1"/>
  <c r="AI10" i="67"/>
  <c r="AH10" i="67"/>
  <c r="AG10" i="67"/>
  <c r="AF10" i="67"/>
  <c r="AE10" i="67"/>
  <c r="AD10" i="67"/>
  <c r="AC10" i="67"/>
  <c r="AB10" i="67"/>
  <c r="AA10" i="67"/>
  <c r="Z10" i="67"/>
  <c r="Y10" i="67"/>
  <c r="X10" i="67"/>
  <c r="W10" i="67"/>
  <c r="V10" i="67"/>
  <c r="U10" i="67"/>
  <c r="T10" i="67"/>
  <c r="T29" i="67"/>
  <c r="T31" i="67" s="1"/>
  <c r="S10" i="67"/>
  <c r="R10" i="67"/>
  <c r="R29" i="67" s="1"/>
  <c r="R31" i="67" s="1"/>
  <c r="Q10" i="67"/>
  <c r="P10" i="67"/>
  <c r="AM9" i="67"/>
  <c r="AL9" i="67"/>
  <c r="AL29" i="67"/>
  <c r="AL31" i="67" s="1"/>
  <c r="AK9" i="67"/>
  <c r="AJ9" i="67"/>
  <c r="AI9" i="67"/>
  <c r="AH29" i="67" s="1"/>
  <c r="AH31" i="67" s="1"/>
  <c r="AH9" i="67"/>
  <c r="AG9" i="67"/>
  <c r="AF9" i="67"/>
  <c r="AF29" i="67"/>
  <c r="AF31" i="67" s="1"/>
  <c r="AE9" i="67"/>
  <c r="AD9" i="67"/>
  <c r="AD29" i="67"/>
  <c r="AD31" i="67" s="1"/>
  <c r="AC9" i="67"/>
  <c r="AB9" i="67"/>
  <c r="AB29" i="67" s="1"/>
  <c r="AB31" i="67" s="1"/>
  <c r="AA9" i="67"/>
  <c r="Z9" i="67"/>
  <c r="Z29" i="67" s="1"/>
  <c r="Z31" i="67" s="1"/>
  <c r="Y9" i="67"/>
  <c r="X9" i="67"/>
  <c r="X29" i="67" s="1"/>
  <c r="X31" i="67" s="1"/>
  <c r="W9" i="67"/>
  <c r="V9" i="67"/>
  <c r="V29" i="67"/>
  <c r="V31" i="67" s="1"/>
  <c r="U9" i="67"/>
  <c r="T9" i="67"/>
  <c r="S9" i="67"/>
  <c r="R9" i="67"/>
  <c r="Q9" i="67"/>
  <c r="P9" i="67"/>
  <c r="P29" i="67" s="1"/>
  <c r="P31" i="67" s="1"/>
  <c r="C2" i="67"/>
  <c r="BH37" i="64"/>
  <c r="BB13" i="72"/>
  <c r="BB17" i="71"/>
  <c r="BB21" i="71"/>
  <c r="AP14" i="71"/>
  <c r="AQ13" i="71" s="1"/>
  <c r="BB29" i="71"/>
  <c r="BB23" i="71"/>
  <c r="BB15" i="71"/>
  <c r="Z14" i="72"/>
  <c r="AA13" i="72" s="1"/>
  <c r="BB9" i="72"/>
  <c r="BB29" i="72"/>
  <c r="BC17" i="72"/>
  <c r="BB23" i="72"/>
  <c r="G71" i="69" l="1"/>
  <c r="G73" i="69" s="1"/>
  <c r="J71" i="69"/>
  <c r="K71" i="69"/>
  <c r="L71" i="69"/>
  <c r="M71" i="69"/>
  <c r="N71" i="69"/>
  <c r="R71" i="69"/>
  <c r="O71" i="69"/>
  <c r="H71" i="69"/>
  <c r="P71" i="69"/>
  <c r="Q71" i="69"/>
  <c r="I71" i="69"/>
  <c r="G72" i="69"/>
  <c r="Q9" i="73"/>
  <c r="BG21" i="73"/>
  <c r="AU65" i="64"/>
  <c r="AL25" i="64"/>
  <c r="BE21" i="73"/>
  <c r="BD21" i="73"/>
  <c r="C13" i="64"/>
  <c r="B15" i="74"/>
  <c r="BF21" i="73"/>
  <c r="AX67" i="64"/>
  <c r="BD43" i="64"/>
  <c r="X55" i="68"/>
  <c r="R55" i="68"/>
  <c r="Z55" i="68"/>
  <c r="BH10" i="64"/>
  <c r="BE13" i="64"/>
  <c r="BE10" i="64"/>
  <c r="T55" i="68"/>
  <c r="AJ55" i="68"/>
  <c r="BH16" i="64"/>
  <c r="BH28" i="64"/>
  <c r="BE19" i="64"/>
  <c r="AU79" i="64"/>
  <c r="AU74" i="64"/>
  <c r="AU91" i="64"/>
  <c r="Y44" i="64"/>
  <c r="BH21" i="73"/>
  <c r="BI21" i="73"/>
  <c r="AW10" i="73"/>
  <c r="AU87" i="64"/>
  <c r="W43" i="64"/>
  <c r="AE43" i="64" s="1"/>
  <c r="BI14" i="73"/>
  <c r="BC14" i="73"/>
  <c r="BI15" i="73"/>
  <c r="BC15" i="73"/>
  <c r="BI10" i="73"/>
  <c r="BC10" i="73"/>
  <c r="BI18" i="73"/>
  <c r="BC18" i="73"/>
  <c r="BI19" i="73"/>
  <c r="BC19" i="73"/>
  <c r="BI11" i="73"/>
  <c r="BC11" i="73"/>
  <c r="BI12" i="73"/>
  <c r="BC12" i="73"/>
  <c r="BI13" i="73"/>
  <c r="BC13" i="73"/>
  <c r="BI16" i="73"/>
  <c r="BC16" i="73"/>
  <c r="BI20" i="73"/>
  <c r="BC20" i="73"/>
  <c r="BI17" i="73"/>
  <c r="BC17" i="73"/>
  <c r="BI9" i="73"/>
  <c r="BC9" i="73"/>
  <c r="BE25" i="64"/>
  <c r="BE37" i="64"/>
  <c r="BE28" i="64"/>
  <c r="BE40" i="64"/>
  <c r="Z38" i="68"/>
  <c r="P38" i="68"/>
  <c r="BE34" i="64"/>
  <c r="AJ38" i="68"/>
  <c r="T38" i="68"/>
  <c r="BE16" i="64"/>
  <c r="BH7" i="64"/>
  <c r="V55" i="68"/>
  <c r="BH31" i="64"/>
  <c r="AD38" i="68"/>
  <c r="AF38" i="68"/>
  <c r="V38" i="68"/>
  <c r="BI37" i="64"/>
  <c r="X38" i="68"/>
  <c r="BE22" i="64"/>
  <c r="BE7" i="64"/>
  <c r="N38" i="68"/>
  <c r="BZ19" i="64"/>
  <c r="AL19" i="64"/>
  <c r="AL20" i="64" s="1"/>
  <c r="AL7" i="64"/>
  <c r="AL8" i="64" s="1"/>
  <c r="BZ34" i="64"/>
  <c r="AL34" i="64"/>
  <c r="AL35" i="64" s="1"/>
  <c r="AB7" i="64"/>
  <c r="AR7" i="64" s="1"/>
  <c r="AL10" i="64"/>
  <c r="AL11" i="64" s="1"/>
  <c r="AL40" i="64"/>
  <c r="AL41" i="64" s="1"/>
  <c r="BZ16" i="64"/>
  <c r="AL16" i="64"/>
  <c r="AL17" i="64" s="1"/>
  <c r="BZ28" i="64"/>
  <c r="AL28" i="64"/>
  <c r="AL29" i="64" s="1"/>
  <c r="BZ37" i="64"/>
  <c r="AL37" i="64"/>
  <c r="AL38" i="64" s="1"/>
  <c r="BZ22" i="64"/>
  <c r="AL22" i="64"/>
  <c r="AL23" i="64" s="1"/>
  <c r="AL13" i="64"/>
  <c r="AL14" i="64" s="1"/>
  <c r="AL31" i="64"/>
  <c r="AL32" i="64" s="1"/>
  <c r="AT95" i="64"/>
  <c r="AO97" i="64"/>
  <c r="AJ97" i="64"/>
  <c r="AJ96" i="64"/>
  <c r="AJ95" i="64"/>
  <c r="BI13" i="64"/>
  <c r="BI16" i="64"/>
  <c r="BI40" i="64"/>
  <c r="BI7" i="64"/>
  <c r="BI25" i="64"/>
  <c r="BI19" i="64"/>
  <c r="AD55" i="68"/>
  <c r="BI31" i="64" s="1"/>
  <c r="AB55" i="68"/>
  <c r="BI28" i="64" s="1"/>
  <c r="R38" i="68"/>
  <c r="BI10" i="64"/>
  <c r="BH19" i="64"/>
  <c r="AB38" i="68"/>
  <c r="AH38" i="68"/>
  <c r="AF55" i="68"/>
  <c r="BI34" i="64" s="1"/>
  <c r="BH40" i="64"/>
  <c r="BI22" i="64"/>
  <c r="AU76" i="64"/>
  <c r="X40" i="64"/>
  <c r="Y45" i="64"/>
  <c r="W44" i="64"/>
  <c r="Z40" i="64"/>
  <c r="Y43" i="64"/>
  <c r="AB10" i="64"/>
  <c r="W45" i="64"/>
  <c r="AU62" i="64"/>
  <c r="AU90" i="64"/>
  <c r="AU72" i="64"/>
  <c r="D44" i="64"/>
  <c r="D45" i="64"/>
  <c r="D43" i="64"/>
  <c r="C16" i="64"/>
  <c r="C18" i="64"/>
  <c r="C21" i="64" s="1"/>
  <c r="C24" i="64" s="1"/>
  <c r="C27" i="64" s="1"/>
  <c r="C30" i="64" s="1"/>
  <c r="C33" i="64" s="1"/>
  <c r="C36" i="64" s="1"/>
  <c r="C39" i="64" s="1"/>
  <c r="C42" i="64" s="1"/>
  <c r="C14" i="64"/>
  <c r="AH35" i="64"/>
  <c r="AT96" i="64"/>
  <c r="AW97" i="64"/>
  <c r="AT97" i="64"/>
  <c r="BZ40" i="64"/>
  <c r="AU40" i="64"/>
  <c r="Q20" i="73" s="1"/>
  <c r="AU22" i="64"/>
  <c r="Q14" i="73" s="1"/>
  <c r="AU25" i="64"/>
  <c r="Q15" i="73" s="1"/>
  <c r="AH32" i="64"/>
  <c r="AU84" i="64"/>
  <c r="AU43" i="64"/>
  <c r="Q21" i="73" s="1"/>
  <c r="AU85" i="64"/>
  <c r="X37" i="64"/>
  <c r="AU16" i="64"/>
  <c r="Q12" i="73" s="1"/>
  <c r="AU78" i="64"/>
  <c r="AH38" i="64"/>
  <c r="AH29" i="64"/>
  <c r="AX73" i="64"/>
  <c r="AU61" i="64"/>
  <c r="AU34" i="64"/>
  <c r="Q18" i="73" s="1"/>
  <c r="AU10" i="64"/>
  <c r="Q10" i="73" s="1"/>
  <c r="AU28" i="64"/>
  <c r="Q16" i="73" s="1"/>
  <c r="AU37" i="64"/>
  <c r="Q19" i="73" s="1"/>
  <c r="AU31" i="64"/>
  <c r="Q17" i="73" s="1"/>
  <c r="AU19" i="64"/>
  <c r="Q13" i="73" s="1"/>
  <c r="AU13" i="64"/>
  <c r="Q11" i="73" s="1"/>
  <c r="AU83" i="64"/>
  <c r="AX79" i="64"/>
  <c r="X19" i="64"/>
  <c r="AU64" i="64"/>
  <c r="AG26" i="71"/>
  <c r="AC18" i="71"/>
  <c r="V28" i="71"/>
  <c r="AN8" i="71"/>
  <c r="AP8" i="71" s="1"/>
  <c r="AQ7" i="71" s="1"/>
  <c r="E28" i="71"/>
  <c r="AT14" i="71"/>
  <c r="AP28" i="71"/>
  <c r="AQ27" i="71" s="1"/>
  <c r="P28" i="71"/>
  <c r="AJ22" i="72"/>
  <c r="M22" i="72"/>
  <c r="R22" i="72" s="1"/>
  <c r="S21" i="72" s="1"/>
  <c r="G28" i="72"/>
  <c r="J28" i="72" s="1"/>
  <c r="K27" i="72" s="1"/>
  <c r="M14" i="72"/>
  <c r="R14" i="72" s="1"/>
  <c r="S13" i="72" s="1"/>
  <c r="AO18" i="71"/>
  <c r="AT8" i="71"/>
  <c r="I10" i="71"/>
  <c r="BB11" i="71"/>
  <c r="Q12" i="71"/>
  <c r="R12" i="71" s="1"/>
  <c r="S11" i="71" s="1"/>
  <c r="AR14" i="71"/>
  <c r="AX14" i="71" s="1"/>
  <c r="AY13" i="71" s="1"/>
  <c r="G16" i="71"/>
  <c r="Z18" i="71"/>
  <c r="AA17" i="71" s="1"/>
  <c r="X18" i="71"/>
  <c r="AM20" i="71"/>
  <c r="D22" i="71"/>
  <c r="AW22" i="71"/>
  <c r="I28" i="71"/>
  <c r="D20" i="72"/>
  <c r="U22" i="72"/>
  <c r="Y30" i="72"/>
  <c r="AE20" i="72"/>
  <c r="AR30" i="72"/>
  <c r="AV26" i="72"/>
  <c r="AD8" i="72"/>
  <c r="Y10" i="72"/>
  <c r="Z10" i="72" s="1"/>
  <c r="AA9" i="72" s="1"/>
  <c r="AX12" i="72"/>
  <c r="AY11" i="72" s="1"/>
  <c r="AU12" i="72"/>
  <c r="H14" i="72"/>
  <c r="V16" i="72"/>
  <c r="U18" i="72"/>
  <c r="AF20" i="72"/>
  <c r="AK22" i="72"/>
  <c r="AJ24" i="72"/>
  <c r="T28" i="72"/>
  <c r="AT30" i="72"/>
  <c r="AN30" i="71"/>
  <c r="V14" i="71"/>
  <c r="I16" i="71"/>
  <c r="I30" i="71"/>
  <c r="AG20" i="71"/>
  <c r="AC12" i="71"/>
  <c r="E14" i="71"/>
  <c r="AT30" i="71"/>
  <c r="P18" i="71"/>
  <c r="P14" i="71"/>
  <c r="AJ18" i="72"/>
  <c r="G14" i="72"/>
  <c r="J14" i="72" s="1"/>
  <c r="K13" i="72" s="1"/>
  <c r="M30" i="72"/>
  <c r="G10" i="72"/>
  <c r="AR12" i="71"/>
  <c r="BC13" i="71"/>
  <c r="AS14" i="71"/>
  <c r="AO20" i="71"/>
  <c r="AP20" i="71" s="1"/>
  <c r="AQ19" i="71" s="1"/>
  <c r="U24" i="71"/>
  <c r="Z24" i="71" s="1"/>
  <c r="AA23" i="71" s="1"/>
  <c r="AR28" i="71"/>
  <c r="D8" i="72"/>
  <c r="AE8" i="72"/>
  <c r="AD10" i="72"/>
  <c r="I12" i="72"/>
  <c r="J12" i="72" s="1"/>
  <c r="K11" i="72" s="1"/>
  <c r="I14" i="72"/>
  <c r="Y16" i="72"/>
  <c r="X18" i="72"/>
  <c r="AO20" i="72"/>
  <c r="D22" i="72"/>
  <c r="AN24" i="72"/>
  <c r="L26" i="72"/>
  <c r="AK28" i="72"/>
  <c r="AU22" i="72"/>
  <c r="AX22" i="72" s="1"/>
  <c r="AY21" i="72" s="1"/>
  <c r="AT20" i="71"/>
  <c r="I22" i="71"/>
  <c r="AG12" i="71"/>
  <c r="AN10" i="71"/>
  <c r="AN24" i="71"/>
  <c r="V8" i="71"/>
  <c r="E22" i="71"/>
  <c r="E30" i="71"/>
  <c r="J30" i="71" s="1"/>
  <c r="AT16" i="71"/>
  <c r="AX16" i="71" s="1"/>
  <c r="AY15" i="71" s="1"/>
  <c r="P20" i="71"/>
  <c r="P30" i="71"/>
  <c r="G30" i="72"/>
  <c r="M16" i="72"/>
  <c r="AR30" i="71"/>
  <c r="AX30" i="71" s="1"/>
  <c r="AW20" i="71"/>
  <c r="AX20" i="71" s="1"/>
  <c r="AY19" i="71" s="1"/>
  <c r="BA19" i="71" s="1"/>
  <c r="AV25" i="64" s="1"/>
  <c r="I8" i="71"/>
  <c r="T10" i="71"/>
  <c r="AS12" i="71"/>
  <c r="AG18" i="71"/>
  <c r="T22" i="71"/>
  <c r="Z22" i="71" s="1"/>
  <c r="AA21" i="71" s="1"/>
  <c r="AT28" i="71"/>
  <c r="Q30" i="71"/>
  <c r="E18" i="72"/>
  <c r="V20" i="72"/>
  <c r="AF18" i="72"/>
  <c r="AS8" i="72"/>
  <c r="AJ8" i="72"/>
  <c r="AP8" i="72" s="1"/>
  <c r="AQ7" i="72" s="1"/>
  <c r="AR10" i="72"/>
  <c r="O12" i="72"/>
  <c r="Y18" i="72"/>
  <c r="AU20" i="72"/>
  <c r="AX20" i="72" s="1"/>
  <c r="AY19" i="72" s="1"/>
  <c r="E22" i="72"/>
  <c r="AO22" i="72"/>
  <c r="AW24" i="72"/>
  <c r="T26" i="72"/>
  <c r="AU10" i="72"/>
  <c r="AN16" i="71"/>
  <c r="AX10" i="71"/>
  <c r="AY9" i="71" s="1"/>
  <c r="V30" i="71"/>
  <c r="I18" i="71"/>
  <c r="AG8" i="71"/>
  <c r="AG22" i="71"/>
  <c r="AC14" i="71"/>
  <c r="AH14" i="71" s="1"/>
  <c r="AI13" i="71" s="1"/>
  <c r="AC28" i="71"/>
  <c r="E8" i="71"/>
  <c r="E18" i="71"/>
  <c r="AT18" i="71"/>
  <c r="AX18" i="71" s="1"/>
  <c r="AY17" i="71" s="1"/>
  <c r="P22" i="71"/>
  <c r="G20" i="72"/>
  <c r="M18" i="72"/>
  <c r="AH16" i="72"/>
  <c r="AI15" i="72" s="1"/>
  <c r="AC10" i="71"/>
  <c r="AH10" i="71" s="1"/>
  <c r="AI9" i="71" s="1"/>
  <c r="AT12" i="71"/>
  <c r="AX12" i="71" s="1"/>
  <c r="AY11" i="71" s="1"/>
  <c r="AG16" i="71"/>
  <c r="AN18" i="71"/>
  <c r="AP18" i="71" s="1"/>
  <c r="AQ17" i="71" s="1"/>
  <c r="R20" i="71"/>
  <c r="S19" i="71" s="1"/>
  <c r="V22" i="71"/>
  <c r="AM24" i="71"/>
  <c r="AG30" i="71"/>
  <c r="T12" i="72"/>
  <c r="AF14" i="72"/>
  <c r="AF16" i="72"/>
  <c r="AD18" i="72"/>
  <c r="AH18" i="72" s="1"/>
  <c r="AI17" i="72" s="1"/>
  <c r="I22" i="72"/>
  <c r="L24" i="72"/>
  <c r="U26" i="72"/>
  <c r="AU28" i="72"/>
  <c r="AX28" i="72" s="1"/>
  <c r="AY27" i="72" s="1"/>
  <c r="I30" i="72"/>
  <c r="AU8" i="72"/>
  <c r="AC20" i="71"/>
  <c r="AH12" i="71"/>
  <c r="AI11" i="71" s="1"/>
  <c r="AN12" i="71"/>
  <c r="Z14" i="71"/>
  <c r="AA13" i="71" s="1"/>
  <c r="V10" i="71"/>
  <c r="Z28" i="71"/>
  <c r="AA27" i="71" s="1"/>
  <c r="V24" i="71"/>
  <c r="E24" i="71"/>
  <c r="J24" i="71" s="1"/>
  <c r="K23" i="71" s="1"/>
  <c r="AT22" i="71"/>
  <c r="P8" i="71"/>
  <c r="R8" i="71" s="1"/>
  <c r="S7" i="71" s="1"/>
  <c r="AJ20" i="72"/>
  <c r="G22" i="72"/>
  <c r="M10" i="72"/>
  <c r="M20" i="72"/>
  <c r="AS28" i="71"/>
  <c r="U8" i="71"/>
  <c r="Z8" i="71" s="1"/>
  <c r="AA7" i="71" s="1"/>
  <c r="BB13" i="71"/>
  <c r="Q14" i="71"/>
  <c r="R14" i="71" s="1"/>
  <c r="S13" i="71" s="1"/>
  <c r="D18" i="71"/>
  <c r="BC21" i="71"/>
  <c r="AC22" i="71"/>
  <c r="AT24" i="71"/>
  <c r="AX24" i="71" s="1"/>
  <c r="AY23" i="71" s="1"/>
  <c r="AS30" i="71"/>
  <c r="L8" i="72"/>
  <c r="R8" i="72" s="1"/>
  <c r="S7" i="72" s="1"/>
  <c r="X12" i="72"/>
  <c r="AJ14" i="72"/>
  <c r="AJ16" i="72"/>
  <c r="AR18" i="72"/>
  <c r="AX18" i="72" s="1"/>
  <c r="AY17" i="72" s="1"/>
  <c r="G8" i="72"/>
  <c r="T8" i="71"/>
  <c r="Z20" i="71"/>
  <c r="AA19" i="71" s="1"/>
  <c r="V16" i="71"/>
  <c r="AG24" i="71"/>
  <c r="AC16" i="71"/>
  <c r="AC30" i="71"/>
  <c r="P16" i="71"/>
  <c r="P24" i="71"/>
  <c r="AJ12" i="72"/>
  <c r="AJ26" i="72"/>
  <c r="Z8" i="72"/>
  <c r="AA7" i="72" s="1"/>
  <c r="J10" i="72"/>
  <c r="K9" i="72" s="1"/>
  <c r="AH30" i="72"/>
  <c r="G24" i="72"/>
  <c r="M26" i="72"/>
  <c r="AX16" i="72"/>
  <c r="AY15" i="72" s="1"/>
  <c r="I26" i="71"/>
  <c r="J26" i="71" s="1"/>
  <c r="K25" i="71" s="1"/>
  <c r="V20" i="71"/>
  <c r="AC24" i="71"/>
  <c r="AH24" i="71" s="1"/>
  <c r="AI23" i="71" s="1"/>
  <c r="AG28" i="71"/>
  <c r="AC8" i="71"/>
  <c r="G18" i="72"/>
  <c r="M8" i="72"/>
  <c r="AJ28" i="72"/>
  <c r="AK12" i="72"/>
  <c r="V22" i="72"/>
  <c r="AJ30" i="72"/>
  <c r="AH12" i="72"/>
  <c r="AI11" i="72" s="1"/>
  <c r="Z20" i="72"/>
  <c r="AA19" i="72" s="1"/>
  <c r="I14" i="71"/>
  <c r="AH8" i="71"/>
  <c r="AI7" i="71" s="1"/>
  <c r="M24" i="72"/>
  <c r="AH22" i="71"/>
  <c r="AI21" i="71" s="1"/>
  <c r="I12" i="71"/>
  <c r="J12" i="71" s="1"/>
  <c r="K11" i="71" s="1"/>
  <c r="BC15" i="71"/>
  <c r="Z16" i="64"/>
  <c r="Z19" i="64"/>
  <c r="AX76" i="64"/>
  <c r="Z22" i="64"/>
  <c r="AU77" i="64"/>
  <c r="AH26" i="64"/>
  <c r="AX82" i="64"/>
  <c r="Z28" i="64"/>
  <c r="X34" i="64"/>
  <c r="AX85" i="64"/>
  <c r="X31" i="64"/>
  <c r="AU80" i="64"/>
  <c r="AL26" i="64"/>
  <c r="AU71" i="64"/>
  <c r="AU68" i="64"/>
  <c r="AU70" i="64"/>
  <c r="X16" i="64"/>
  <c r="AU69" i="64"/>
  <c r="AU66" i="64"/>
  <c r="AX64" i="64"/>
  <c r="Z13" i="64"/>
  <c r="AU75" i="64"/>
  <c r="AU82" i="64"/>
  <c r="Z31" i="64"/>
  <c r="AU88" i="64"/>
  <c r="AX88" i="64"/>
  <c r="Z10" i="64"/>
  <c r="Z37" i="64"/>
  <c r="AU86" i="64"/>
  <c r="Z34" i="64"/>
  <c r="AU81" i="64"/>
  <c r="Z25" i="64"/>
  <c r="AX70" i="64"/>
  <c r="AU67" i="64"/>
  <c r="AU63" i="64"/>
  <c r="Z7" i="64"/>
  <c r="AH8" i="64"/>
  <c r="AU89" i="64"/>
  <c r="AX91" i="64"/>
  <c r="X28" i="64"/>
  <c r="X25" i="64"/>
  <c r="BZ25" i="64"/>
  <c r="X22" i="64"/>
  <c r="AH20" i="64"/>
  <c r="X13" i="64"/>
  <c r="X10" i="64"/>
  <c r="X7" i="64"/>
  <c r="AU60" i="64"/>
  <c r="AX8" i="71"/>
  <c r="AY7" i="71" s="1"/>
  <c r="AX22" i="71"/>
  <c r="AY21" i="71" s="1"/>
  <c r="BA21" i="71" s="1"/>
  <c r="AV28" i="64" s="1"/>
  <c r="AX26" i="71"/>
  <c r="AY25" i="71" s="1"/>
  <c r="AP30" i="71"/>
  <c r="AQ29" i="71" s="1"/>
  <c r="AP26" i="71"/>
  <c r="AQ25" i="71" s="1"/>
  <c r="AP24" i="71"/>
  <c r="AQ23" i="71" s="1"/>
  <c r="AP16" i="71"/>
  <c r="AQ15" i="71" s="1"/>
  <c r="AP12" i="71"/>
  <c r="AQ11" i="71" s="1"/>
  <c r="AP10" i="71"/>
  <c r="AQ9" i="71" s="1"/>
  <c r="AH18" i="71"/>
  <c r="AI17" i="71" s="1"/>
  <c r="AH20" i="71"/>
  <c r="AI19" i="71" s="1"/>
  <c r="AH26" i="71"/>
  <c r="AI25" i="71" s="1"/>
  <c r="BC25" i="71"/>
  <c r="AH28" i="71"/>
  <c r="AI27" i="71" s="1"/>
  <c r="Z30" i="71"/>
  <c r="AA29" i="71" s="1"/>
  <c r="Z12" i="71"/>
  <c r="AA11" i="71" s="1"/>
  <c r="Z10" i="71"/>
  <c r="AA9" i="71" s="1"/>
  <c r="R10" i="71"/>
  <c r="S9" i="71" s="1"/>
  <c r="R16" i="71"/>
  <c r="S15" i="71" s="1"/>
  <c r="R18" i="71"/>
  <c r="S17" i="71" s="1"/>
  <c r="R22" i="71"/>
  <c r="S21" i="71" s="1"/>
  <c r="R24" i="71"/>
  <c r="S23" i="71" s="1"/>
  <c r="R26" i="71"/>
  <c r="S25" i="71" s="1"/>
  <c r="R28" i="71"/>
  <c r="S27" i="71" s="1"/>
  <c r="R30" i="71"/>
  <c r="S29" i="71" s="1"/>
  <c r="BC29" i="71"/>
  <c r="J28" i="71"/>
  <c r="K27" i="71" s="1"/>
  <c r="J22" i="71"/>
  <c r="K21" i="71" s="1"/>
  <c r="J20" i="71"/>
  <c r="K19" i="71" s="1"/>
  <c r="J18" i="71"/>
  <c r="K17" i="71" s="1"/>
  <c r="J16" i="71"/>
  <c r="K15" i="71" s="1"/>
  <c r="BC9" i="71"/>
  <c r="AH16" i="71"/>
  <c r="AI15" i="71" s="1"/>
  <c r="BC23" i="71"/>
  <c r="Z16" i="71"/>
  <c r="AA15" i="71" s="1"/>
  <c r="BC11" i="71"/>
  <c r="BB27" i="71"/>
  <c r="BC27" i="71"/>
  <c r="BB19" i="71"/>
  <c r="BC19" i="71"/>
  <c r="BC17" i="71"/>
  <c r="J14" i="71"/>
  <c r="K13" i="71" s="1"/>
  <c r="BB9" i="71"/>
  <c r="J10" i="71"/>
  <c r="K9" i="71" s="1"/>
  <c r="J8" i="71"/>
  <c r="K7" i="71" s="1"/>
  <c r="BC7" i="71"/>
  <c r="BB7" i="71"/>
  <c r="BC9" i="72"/>
  <c r="J22" i="72"/>
  <c r="K21" i="72" s="1"/>
  <c r="J24" i="72"/>
  <c r="K23" i="72" s="1"/>
  <c r="R30" i="72"/>
  <c r="S29" i="72" s="1"/>
  <c r="R28" i="72"/>
  <c r="S27" i="72" s="1"/>
  <c r="BB27" i="72"/>
  <c r="R18" i="72"/>
  <c r="S17" i="72" s="1"/>
  <c r="BB17" i="72"/>
  <c r="R16" i="72"/>
  <c r="S15" i="72" s="1"/>
  <c r="R10" i="72"/>
  <c r="S9" i="72" s="1"/>
  <c r="Z16" i="72"/>
  <c r="AA15" i="72" s="1"/>
  <c r="BC15" i="72"/>
  <c r="Z18" i="72"/>
  <c r="AA17" i="72" s="1"/>
  <c r="Z24" i="72"/>
  <c r="AA23" i="72" s="1"/>
  <c r="Z26" i="72"/>
  <c r="AA25" i="72" s="1"/>
  <c r="Z28" i="72"/>
  <c r="AA27" i="72" s="1"/>
  <c r="Z30" i="72"/>
  <c r="AA29" i="72" s="1"/>
  <c r="AH24" i="72"/>
  <c r="AI23" i="72" s="1"/>
  <c r="AH22" i="72"/>
  <c r="AI21" i="72" s="1"/>
  <c r="AH20" i="72"/>
  <c r="AI19" i="72" s="1"/>
  <c r="AH14" i="72"/>
  <c r="AI13" i="72" s="1"/>
  <c r="AH10" i="72"/>
  <c r="AI9" i="72" s="1"/>
  <c r="AH8" i="72"/>
  <c r="AI7" i="72" s="1"/>
  <c r="AP14" i="72"/>
  <c r="AQ13" i="72" s="1"/>
  <c r="AP16" i="72"/>
  <c r="AQ15" i="72" s="1"/>
  <c r="AP18" i="72"/>
  <c r="AQ17" i="72" s="1"/>
  <c r="AP20" i="72"/>
  <c r="AQ19" i="72" s="1"/>
  <c r="AP24" i="72"/>
  <c r="AQ23" i="72" s="1"/>
  <c r="AP26" i="72"/>
  <c r="AQ25" i="72" s="1"/>
  <c r="AP28" i="72"/>
  <c r="AQ27" i="72" s="1"/>
  <c r="AP30" i="72"/>
  <c r="AQ29" i="72" s="1"/>
  <c r="AX30" i="72"/>
  <c r="AY29" i="72" s="1"/>
  <c r="AX26" i="72"/>
  <c r="AY25" i="72" s="1"/>
  <c r="AX24" i="72"/>
  <c r="AY23" i="72" s="1"/>
  <c r="AX8" i="72"/>
  <c r="AY7" i="72" s="1"/>
  <c r="AX10" i="72"/>
  <c r="AY9" i="72" s="1"/>
  <c r="BC11" i="72"/>
  <c r="BC19" i="72"/>
  <c r="AP22" i="72"/>
  <c r="AQ21" i="72" s="1"/>
  <c r="AP12" i="72"/>
  <c r="AQ11" i="72" s="1"/>
  <c r="AP10" i="72"/>
  <c r="AQ9" i="72" s="1"/>
  <c r="BC21" i="72"/>
  <c r="BC23" i="72"/>
  <c r="AH26" i="72"/>
  <c r="AI25" i="72" s="1"/>
  <c r="AH28" i="72"/>
  <c r="AI27" i="72" s="1"/>
  <c r="AI29" i="72"/>
  <c r="BC27" i="72"/>
  <c r="BC25" i="72"/>
  <c r="Z12" i="72"/>
  <c r="AA11" i="72" s="1"/>
  <c r="R26" i="72"/>
  <c r="S25" i="72" s="1"/>
  <c r="BB25" i="72"/>
  <c r="R24" i="72"/>
  <c r="S23" i="72" s="1"/>
  <c r="BB21" i="72"/>
  <c r="R20" i="72"/>
  <c r="S19" i="72" s="1"/>
  <c r="BB19" i="72"/>
  <c r="R12" i="72"/>
  <c r="S11" i="72" s="1"/>
  <c r="BB7" i="72"/>
  <c r="J26" i="72"/>
  <c r="K25" i="72" s="1"/>
  <c r="J20" i="72"/>
  <c r="K19" i="72" s="1"/>
  <c r="J18" i="72"/>
  <c r="K17" i="72" s="1"/>
  <c r="J16" i="72"/>
  <c r="K15" i="72" s="1"/>
  <c r="BC7" i="72"/>
  <c r="J8" i="72"/>
  <c r="K7" i="72" s="1"/>
  <c r="N73" i="69" l="1"/>
  <c r="N72" i="69"/>
  <c r="M73" i="69"/>
  <c r="M72" i="69"/>
  <c r="L73" i="69"/>
  <c r="L72" i="69"/>
  <c r="K73" i="69"/>
  <c r="K72" i="69"/>
  <c r="J73" i="69"/>
  <c r="J72" i="69"/>
  <c r="I73" i="69"/>
  <c r="I72" i="69"/>
  <c r="Q73" i="69"/>
  <c r="Q72" i="69"/>
  <c r="O73" i="69"/>
  <c r="O72" i="69"/>
  <c r="P73" i="69"/>
  <c r="P72" i="69"/>
  <c r="R73" i="69"/>
  <c r="R72" i="69"/>
  <c r="H73" i="69"/>
  <c r="H72" i="69"/>
  <c r="G74" i="69"/>
  <c r="O41" i="68"/>
  <c r="BF7" i="64" s="1"/>
  <c r="BJ7" i="64" s="1"/>
  <c r="AE44" i="64"/>
  <c r="AJ43" i="64"/>
  <c r="AK43" i="64"/>
  <c r="AZ7" i="64"/>
  <c r="AH44" i="64"/>
  <c r="AY10" i="64"/>
  <c r="W10" i="73" s="1"/>
  <c r="AQ20" i="64"/>
  <c r="AQ38" i="64"/>
  <c r="AW11" i="73"/>
  <c r="AA14" i="64"/>
  <c r="AQ10" i="64"/>
  <c r="BU10" i="64" s="1"/>
  <c r="Z43" i="64"/>
  <c r="AQ32" i="64"/>
  <c r="C19" i="64"/>
  <c r="B16" i="74"/>
  <c r="BZ43" i="64"/>
  <c r="AQ29" i="64"/>
  <c r="AQ34" i="64"/>
  <c r="BU34" i="64" s="1"/>
  <c r="AQ8" i="64"/>
  <c r="AQ22" i="64"/>
  <c r="BU22" i="64" s="1"/>
  <c r="AQ14" i="64"/>
  <c r="AQ16" i="64"/>
  <c r="BU16" i="64" s="1"/>
  <c r="BZ31" i="64"/>
  <c r="AQ26" i="64"/>
  <c r="AQ40" i="64"/>
  <c r="BU40" i="64" s="1"/>
  <c r="BZ13" i="64"/>
  <c r="BA15" i="72"/>
  <c r="AW19" i="64" s="1"/>
  <c r="AD34" i="64"/>
  <c r="AC35" i="64" s="1"/>
  <c r="AD28" i="64"/>
  <c r="AC29" i="64" s="1"/>
  <c r="AX13" i="64"/>
  <c r="Z11" i="73" s="1"/>
  <c r="AD13" i="64"/>
  <c r="AC14" i="64" s="1"/>
  <c r="AD19" i="64"/>
  <c r="AC20" i="64" s="1"/>
  <c r="AD22" i="64"/>
  <c r="AC23" i="64" s="1"/>
  <c r="AD31" i="64"/>
  <c r="AC32" i="64" s="1"/>
  <c r="AD16" i="64"/>
  <c r="AC17" i="64" s="1"/>
  <c r="BA23" i="71"/>
  <c r="AV31" i="64" s="1"/>
  <c r="AD37" i="64"/>
  <c r="AC38" i="64" s="1"/>
  <c r="AD10" i="64"/>
  <c r="AX10" i="64"/>
  <c r="Z10" i="73" s="1"/>
  <c r="AD25" i="64"/>
  <c r="AC26" i="64" s="1"/>
  <c r="AD40" i="64"/>
  <c r="AC41" i="64" s="1"/>
  <c r="AD7" i="64"/>
  <c r="AX7" i="64"/>
  <c r="Z9" i="73" s="1"/>
  <c r="AQ11" i="64"/>
  <c r="BZ10" i="64"/>
  <c r="AL43" i="64"/>
  <c r="AL44" i="64" s="1"/>
  <c r="AQ19" i="64"/>
  <c r="BU19" i="64" s="1"/>
  <c r="BZ7" i="64"/>
  <c r="AQ41" i="64"/>
  <c r="AQ37" i="64"/>
  <c r="BU37" i="64" s="1"/>
  <c r="AQ17" i="64"/>
  <c r="AQ31" i="64"/>
  <c r="BU31" i="64" s="1"/>
  <c r="AQ13" i="64"/>
  <c r="BU13" i="64" s="1"/>
  <c r="AQ28" i="64"/>
  <c r="BU28" i="64" s="1"/>
  <c r="AQ25" i="64"/>
  <c r="AY7" i="64"/>
  <c r="W9" i="73" s="1"/>
  <c r="BI43" i="64"/>
  <c r="AU95" i="64"/>
  <c r="AQ35" i="64"/>
  <c r="AQ7" i="64"/>
  <c r="BU7" i="64" s="1"/>
  <c r="AQ23" i="64"/>
  <c r="AU96" i="64"/>
  <c r="X43" i="64"/>
  <c r="C45" i="64"/>
  <c r="C17" i="64"/>
  <c r="AX97" i="64"/>
  <c r="AU97" i="64"/>
  <c r="BA17" i="71"/>
  <c r="AV22" i="64" s="1"/>
  <c r="K29" i="71"/>
  <c r="BA11" i="71"/>
  <c r="AV13" i="64" s="1"/>
  <c r="AY29" i="71"/>
  <c r="AX28" i="71"/>
  <c r="AY27" i="71" s="1"/>
  <c r="BA27" i="71" s="1"/>
  <c r="AV37" i="64" s="1"/>
  <c r="Z22" i="72"/>
  <c r="AA21" i="72" s="1"/>
  <c r="BA21" i="72" s="1"/>
  <c r="AW28" i="64" s="1"/>
  <c r="BA9" i="71"/>
  <c r="AV10" i="64" s="1"/>
  <c r="BA17" i="72"/>
  <c r="AW22" i="64" s="1"/>
  <c r="BA9" i="72"/>
  <c r="AW10" i="64" s="1"/>
  <c r="BA13" i="71"/>
  <c r="AV16" i="64" s="1"/>
  <c r="J30" i="72"/>
  <c r="AH30" i="71"/>
  <c r="BA13" i="72"/>
  <c r="AW16" i="64" s="1"/>
  <c r="BA7" i="71"/>
  <c r="AV7" i="64" s="1"/>
  <c r="BA25" i="71"/>
  <c r="AV34" i="64" s="1"/>
  <c r="BA15" i="71"/>
  <c r="AV19" i="64" s="1"/>
  <c r="BA23" i="72"/>
  <c r="AW31" i="64" s="1"/>
  <c r="BA27" i="72"/>
  <c r="AW37" i="64" s="1"/>
  <c r="BA7" i="72"/>
  <c r="AW7" i="64" s="1"/>
  <c r="BA11" i="72"/>
  <c r="AW13" i="64" s="1"/>
  <c r="BA25" i="72"/>
  <c r="AW34" i="64" s="1"/>
  <c r="BA19" i="72"/>
  <c r="AW25" i="64" s="1"/>
  <c r="H74" i="69" l="1"/>
  <c r="Q41" i="68"/>
  <c r="BF10" i="64" s="1"/>
  <c r="BJ10" i="64" s="1"/>
  <c r="J74" i="69"/>
  <c r="U41" i="68"/>
  <c r="BF16" i="64" s="1"/>
  <c r="BJ16" i="64" s="1"/>
  <c r="BL16" i="64" s="1"/>
  <c r="R74" i="69"/>
  <c r="AK41" i="68"/>
  <c r="BF40" i="64" s="1"/>
  <c r="BJ40" i="64" s="1"/>
  <c r="K74" i="69"/>
  <c r="W41" i="68"/>
  <c r="BF19" i="64" s="1"/>
  <c r="BJ19" i="64" s="1"/>
  <c r="BL19" i="64" s="1"/>
  <c r="P74" i="69"/>
  <c r="AG41" i="68"/>
  <c r="BF34" i="64" s="1"/>
  <c r="BJ34" i="64" s="1"/>
  <c r="I74" i="69"/>
  <c r="S41" i="68"/>
  <c r="BF13" i="64" s="1"/>
  <c r="BJ13" i="64" s="1"/>
  <c r="BL13" i="64" s="1"/>
  <c r="L74" i="69"/>
  <c r="Y41" i="68"/>
  <c r="BF22" i="64" s="1"/>
  <c r="BJ22" i="64" s="1"/>
  <c r="O74" i="69"/>
  <c r="AE41" i="68"/>
  <c r="BF31" i="64" s="1"/>
  <c r="BJ31" i="64" s="1"/>
  <c r="BL31" i="64" s="1"/>
  <c r="M74" i="69"/>
  <c r="AA41" i="68"/>
  <c r="BF25" i="64" s="1"/>
  <c r="BJ25" i="64" s="1"/>
  <c r="Q74" i="69"/>
  <c r="AI41" i="68"/>
  <c r="BF37" i="64" s="1"/>
  <c r="BJ37" i="64" s="1"/>
  <c r="BL37" i="64" s="1"/>
  <c r="N74" i="69"/>
  <c r="AC41" i="68"/>
  <c r="BF28" i="64" s="1"/>
  <c r="BJ28" i="64" s="1"/>
  <c r="BL28" i="64" s="1"/>
  <c r="BL25" i="64"/>
  <c r="BL22" i="64"/>
  <c r="BL40" i="64"/>
  <c r="BL10" i="64"/>
  <c r="BL34" i="64"/>
  <c r="BL7" i="64"/>
  <c r="AQ43" i="64"/>
  <c r="BU43" i="64" s="1"/>
  <c r="AW12" i="73"/>
  <c r="AA17" i="64"/>
  <c r="B17" i="74"/>
  <c r="C22" i="64"/>
  <c r="AX16" i="64"/>
  <c r="Z12" i="73" s="1"/>
  <c r="T17" i="73"/>
  <c r="AC11" i="64"/>
  <c r="K10" i="73" s="1"/>
  <c r="AC8" i="64"/>
  <c r="D12" i="73"/>
  <c r="D19" i="73"/>
  <c r="AQ44" i="64"/>
  <c r="T12" i="73"/>
  <c r="AB13" i="64"/>
  <c r="BZ14" i="64"/>
  <c r="D9" i="73"/>
  <c r="D20" i="73"/>
  <c r="D10" i="73"/>
  <c r="D14" i="73"/>
  <c r="D16" i="73"/>
  <c r="D17" i="73"/>
  <c r="D13" i="73"/>
  <c r="D18" i="73"/>
  <c r="T10" i="73"/>
  <c r="K11" i="73"/>
  <c r="T9" i="73"/>
  <c r="C20" i="64"/>
  <c r="T16" i="73"/>
  <c r="K29" i="72"/>
  <c r="BA29" i="72" s="1"/>
  <c r="T14" i="73"/>
  <c r="AI29" i="71"/>
  <c r="BA29" i="71" s="1"/>
  <c r="AV40" i="64" s="1"/>
  <c r="BU25" i="64"/>
  <c r="D15" i="73" s="1"/>
  <c r="T13" i="73"/>
  <c r="T19" i="73"/>
  <c r="T11" i="73"/>
  <c r="T18" i="73"/>
  <c r="T15" i="73"/>
  <c r="D11" i="73" l="1"/>
  <c r="BF43" i="64"/>
  <c r="BJ43" i="64" s="1"/>
  <c r="BL43" i="64"/>
  <c r="BK7" i="64"/>
  <c r="K2" i="70" s="1"/>
  <c r="AR10" i="64"/>
  <c r="B18" i="74"/>
  <c r="AA20" i="64"/>
  <c r="C25" i="64"/>
  <c r="F11" i="73"/>
  <c r="AE11" i="73" s="1"/>
  <c r="D21" i="73"/>
  <c r="AW13" i="73"/>
  <c r="AX19" i="64"/>
  <c r="Z13" i="73" s="1"/>
  <c r="BU11" i="64"/>
  <c r="BV10" i="64" s="1"/>
  <c r="BV11" i="64" s="1"/>
  <c r="BZ11" i="64"/>
  <c r="K9" i="73"/>
  <c r="H9" i="73" s="1"/>
  <c r="AS9" i="73" s="1"/>
  <c r="BU8" i="64"/>
  <c r="BV7" i="64" s="1"/>
  <c r="BV8" i="64" s="1"/>
  <c r="BZ8" i="64"/>
  <c r="F10" i="73"/>
  <c r="AE10" i="73" s="1"/>
  <c r="CA14" i="64"/>
  <c r="CA13" i="64"/>
  <c r="AB16" i="64"/>
  <c r="BZ17" i="64"/>
  <c r="AR13" i="64"/>
  <c r="AY13" i="64"/>
  <c r="BU14" i="64" s="1"/>
  <c r="AW40" i="64"/>
  <c r="T20" i="73" s="1"/>
  <c r="K12" i="73"/>
  <c r="C23" i="64"/>
  <c r="H10" i="73"/>
  <c r="AS10" i="73" s="1"/>
  <c r="BK13" i="64" l="1"/>
  <c r="M2" i="70" s="1"/>
  <c r="AZ10" i="64"/>
  <c r="BK10" i="64"/>
  <c r="L2" i="70" s="1"/>
  <c r="AR16" i="64"/>
  <c r="B19" i="74"/>
  <c r="AA23" i="64"/>
  <c r="AY16" i="64"/>
  <c r="BU17" i="64" s="1"/>
  <c r="BV16" i="64" s="1"/>
  <c r="BV17" i="64" s="1"/>
  <c r="C28" i="64"/>
  <c r="G11" i="73"/>
  <c r="AF11" i="73" s="1"/>
  <c r="AW14" i="73"/>
  <c r="AX22" i="64"/>
  <c r="Z14" i="73" s="1"/>
  <c r="CA11" i="64"/>
  <c r="CA10" i="64"/>
  <c r="CA8" i="64"/>
  <c r="CA7" i="64"/>
  <c r="F9" i="73"/>
  <c r="AE9" i="73" s="1"/>
  <c r="G10" i="73"/>
  <c r="AF10" i="73" s="1"/>
  <c r="F12" i="73"/>
  <c r="AE12" i="73" s="1"/>
  <c r="W11" i="73"/>
  <c r="BV13" i="64"/>
  <c r="BV14" i="64" s="1"/>
  <c r="AZ13" i="64"/>
  <c r="BZ20" i="64"/>
  <c r="CA17" i="64"/>
  <c r="CA16" i="64"/>
  <c r="AB19" i="64"/>
  <c r="K13" i="73"/>
  <c r="F13" i="73" s="1"/>
  <c r="AE13" i="73" s="1"/>
  <c r="C26" i="64"/>
  <c r="BK16" i="64" l="1"/>
  <c r="N2" i="70" s="1"/>
  <c r="W12" i="73"/>
  <c r="AR19" i="64"/>
  <c r="B20" i="74"/>
  <c r="AA26" i="64"/>
  <c r="C31" i="64"/>
  <c r="E11" i="73"/>
  <c r="AL11" i="73" s="1"/>
  <c r="AR11" i="73" s="1"/>
  <c r="AZ16" i="64"/>
  <c r="AW15" i="73"/>
  <c r="AX25" i="64"/>
  <c r="Z15" i="73" s="1"/>
  <c r="G9" i="73"/>
  <c r="AF9" i="73" s="1"/>
  <c r="E10" i="73"/>
  <c r="AK10" i="73" s="1"/>
  <c r="AQ10" i="73" s="1"/>
  <c r="G13" i="73"/>
  <c r="AF13" i="73" s="1"/>
  <c r="G12" i="73"/>
  <c r="AF12" i="73" s="1"/>
  <c r="BZ23" i="64"/>
  <c r="CA20" i="64"/>
  <c r="CA19" i="64"/>
  <c r="H11" i="73"/>
  <c r="AS11" i="73" s="1"/>
  <c r="H12" i="73"/>
  <c r="AS12" i="73" s="1"/>
  <c r="AB22" i="64"/>
  <c r="K14" i="73"/>
  <c r="F14" i="73" s="1"/>
  <c r="AE14" i="73" s="1"/>
  <c r="C29" i="64"/>
  <c r="AY19" i="64"/>
  <c r="BU20" i="64" s="1"/>
  <c r="BK19" i="64" l="1"/>
  <c r="O2" i="70" s="1"/>
  <c r="AR22" i="64"/>
  <c r="AI11" i="73"/>
  <c r="AO11" i="73" s="1"/>
  <c r="AH11" i="73"/>
  <c r="AN11" i="73" s="1"/>
  <c r="B21" i="74"/>
  <c r="AA29" i="64"/>
  <c r="AK11" i="73"/>
  <c r="AQ11" i="73" s="1"/>
  <c r="AZ19" i="64"/>
  <c r="AJ11" i="73"/>
  <c r="AP11" i="73" s="1"/>
  <c r="C34" i="64"/>
  <c r="AW16" i="73"/>
  <c r="AX28" i="64"/>
  <c r="Z16" i="73" s="1"/>
  <c r="E9" i="73"/>
  <c r="AK9" i="73" s="1"/>
  <c r="AQ9" i="73" s="1"/>
  <c r="AL10" i="73"/>
  <c r="AR10" i="73" s="1"/>
  <c r="E12" i="73"/>
  <c r="AH12" i="73" s="1"/>
  <c r="AN12" i="73" s="1"/>
  <c r="AI10" i="73"/>
  <c r="AO10" i="73" s="1"/>
  <c r="AH10" i="73"/>
  <c r="AN10" i="73" s="1"/>
  <c r="AJ10" i="73"/>
  <c r="AP10" i="73" s="1"/>
  <c r="E13" i="73"/>
  <c r="G14" i="73"/>
  <c r="AF14" i="73" s="1"/>
  <c r="BZ26" i="64"/>
  <c r="CA23" i="64"/>
  <c r="CA22" i="64"/>
  <c r="C32" i="64"/>
  <c r="AB25" i="64"/>
  <c r="K15" i="73"/>
  <c r="F15" i="73" s="1"/>
  <c r="AE15" i="73" s="1"/>
  <c r="AY22" i="64"/>
  <c r="BU23" i="64" s="1"/>
  <c r="W13" i="73"/>
  <c r="BV19" i="64"/>
  <c r="BV20" i="64" s="1"/>
  <c r="BK22" i="64" l="1"/>
  <c r="B22" i="74"/>
  <c r="AA32" i="64"/>
  <c r="AT11" i="73"/>
  <c r="AD11" i="73" s="1"/>
  <c r="AC11" i="73" s="1"/>
  <c r="C37" i="64"/>
  <c r="AH9" i="73"/>
  <c r="AN9" i="73" s="1"/>
  <c r="AL9" i="73"/>
  <c r="AR9" i="73" s="1"/>
  <c r="AW17" i="73"/>
  <c r="AX31" i="64"/>
  <c r="Z17" i="73" s="1"/>
  <c r="AI9" i="73"/>
  <c r="AO9" i="73" s="1"/>
  <c r="AJ9" i="73"/>
  <c r="AP9" i="73" s="1"/>
  <c r="AI12" i="73"/>
  <c r="AO12" i="73" s="1"/>
  <c r="AJ12" i="73"/>
  <c r="AP12" i="73" s="1"/>
  <c r="AK12" i="73"/>
  <c r="AQ12" i="73" s="1"/>
  <c r="AL12" i="73"/>
  <c r="AR12" i="73" s="1"/>
  <c r="AT10" i="73"/>
  <c r="AD10" i="73" s="1"/>
  <c r="AC10" i="73" s="1"/>
  <c r="AK13" i="73"/>
  <c r="AQ13" i="73" s="1"/>
  <c r="AJ13" i="73"/>
  <c r="AP13" i="73" s="1"/>
  <c r="AI13" i="73"/>
  <c r="AO13" i="73" s="1"/>
  <c r="AH13" i="73"/>
  <c r="AN13" i="73" s="1"/>
  <c r="AL13" i="73"/>
  <c r="AR13" i="73" s="1"/>
  <c r="E14" i="73"/>
  <c r="G15" i="73"/>
  <c r="AF15" i="73" s="1"/>
  <c r="CA26" i="64"/>
  <c r="CA25" i="64"/>
  <c r="AZ22" i="64"/>
  <c r="BZ29" i="64"/>
  <c r="W14" i="73"/>
  <c r="BV22" i="64"/>
  <c r="BV23" i="64" s="1"/>
  <c r="H13" i="73"/>
  <c r="AS13" i="73" s="1"/>
  <c r="P2" i="70"/>
  <c r="AR25" i="64"/>
  <c r="AY25" i="64"/>
  <c r="BU26" i="64" s="1"/>
  <c r="AB28" i="64"/>
  <c r="K16" i="73"/>
  <c r="F16" i="73" s="1"/>
  <c r="AE16" i="73" s="1"/>
  <c r="C35" i="64"/>
  <c r="BK25" i="64" l="1"/>
  <c r="AR28" i="64"/>
  <c r="B23" i="74"/>
  <c r="AA35" i="64"/>
  <c r="C40" i="64"/>
  <c r="AZ25" i="64"/>
  <c r="AW18" i="73"/>
  <c r="AX34" i="64"/>
  <c r="Z18" i="73" s="1"/>
  <c r="AT9" i="73"/>
  <c r="AD9" i="73" s="1"/>
  <c r="AC9" i="73" s="1"/>
  <c r="AT12" i="73"/>
  <c r="AD12" i="73" s="1"/>
  <c r="AC12" i="73" s="1"/>
  <c r="E15" i="73"/>
  <c r="AI15" i="73" s="1"/>
  <c r="AO15" i="73" s="1"/>
  <c r="AT13" i="73"/>
  <c r="AD13" i="73" s="1"/>
  <c r="AC13" i="73" s="1"/>
  <c r="AL14" i="73"/>
  <c r="AR14" i="73" s="1"/>
  <c r="AI14" i="73"/>
  <c r="AO14" i="73" s="1"/>
  <c r="AK14" i="73"/>
  <c r="AQ14" i="73" s="1"/>
  <c r="AJ14" i="73"/>
  <c r="AP14" i="73" s="1"/>
  <c r="AH14" i="73"/>
  <c r="AN14" i="73" s="1"/>
  <c r="G16" i="73"/>
  <c r="AF16" i="73" s="1"/>
  <c r="CA29" i="64"/>
  <c r="CA28" i="64"/>
  <c r="BZ32" i="64"/>
  <c r="Q2" i="70"/>
  <c r="W15" i="73"/>
  <c r="BV25" i="64"/>
  <c r="BV26" i="64" s="1"/>
  <c r="AB31" i="64"/>
  <c r="K17" i="73"/>
  <c r="F17" i="73" s="1"/>
  <c r="AE17" i="73" s="1"/>
  <c r="C38" i="64"/>
  <c r="AY28" i="64"/>
  <c r="BU29" i="64" s="1"/>
  <c r="H14" i="73"/>
  <c r="AS14" i="73" s="1"/>
  <c r="BK28" i="64" l="1"/>
  <c r="B24" i="74"/>
  <c r="AA38" i="64"/>
  <c r="C43" i="64"/>
  <c r="AZ28" i="64"/>
  <c r="AW19" i="73"/>
  <c r="AX37" i="64"/>
  <c r="Z19" i="73" s="1"/>
  <c r="AL15" i="73"/>
  <c r="AR15" i="73" s="1"/>
  <c r="AJ15" i="73"/>
  <c r="AP15" i="73" s="1"/>
  <c r="AH15" i="73"/>
  <c r="AN15" i="73" s="1"/>
  <c r="AT14" i="73"/>
  <c r="AD14" i="73" s="1"/>
  <c r="AC14" i="73" s="1"/>
  <c r="AK15" i="73"/>
  <c r="AQ15" i="73" s="1"/>
  <c r="E16" i="73"/>
  <c r="G17" i="73"/>
  <c r="AF17" i="73" s="1"/>
  <c r="BZ35" i="64"/>
  <c r="CA32" i="64"/>
  <c r="CA31" i="64"/>
  <c r="R2" i="70"/>
  <c r="W16" i="73"/>
  <c r="BV28" i="64"/>
  <c r="BV29" i="64" s="1"/>
  <c r="H15" i="73"/>
  <c r="AS15" i="73" s="1"/>
  <c r="AR31" i="64"/>
  <c r="AY31" i="64"/>
  <c r="BU32" i="64" s="1"/>
  <c r="AB34" i="64"/>
  <c r="K18" i="73"/>
  <c r="F18" i="73" s="1"/>
  <c r="AE18" i="73" s="1"/>
  <c r="C41" i="64"/>
  <c r="BK31" i="64" l="1"/>
  <c r="S2" i="70" s="1"/>
  <c r="AR34" i="64"/>
  <c r="B25" i="74"/>
  <c r="AA41" i="64"/>
  <c r="AW20" i="73"/>
  <c r="AX40" i="64"/>
  <c r="Z20" i="73" s="1"/>
  <c r="AZ31" i="64"/>
  <c r="AL16" i="73"/>
  <c r="AR16" i="73" s="1"/>
  <c r="AK16" i="73"/>
  <c r="AQ16" i="73" s="1"/>
  <c r="AJ16" i="73"/>
  <c r="AP16" i="73" s="1"/>
  <c r="AH16" i="73"/>
  <c r="AN16" i="73" s="1"/>
  <c r="AI16" i="73"/>
  <c r="AO16" i="73" s="1"/>
  <c r="AT15" i="73"/>
  <c r="AD15" i="73" s="1"/>
  <c r="AC15" i="73" s="1"/>
  <c r="E17" i="73"/>
  <c r="G18" i="73"/>
  <c r="AF18" i="73" s="1"/>
  <c r="BZ38" i="64"/>
  <c r="CA34" i="64"/>
  <c r="CA35" i="64"/>
  <c r="AB37" i="64"/>
  <c r="K19" i="73"/>
  <c r="F19" i="73" s="1"/>
  <c r="AE19" i="73" s="1"/>
  <c r="H16" i="73"/>
  <c r="AS16" i="73" s="1"/>
  <c r="W17" i="73"/>
  <c r="H17" i="73" s="1"/>
  <c r="AS17" i="73" s="1"/>
  <c r="BV31" i="64"/>
  <c r="BV32" i="64" s="1"/>
  <c r="AY34" i="64"/>
  <c r="BU35" i="64" s="1"/>
  <c r="C44" i="64"/>
  <c r="AA44" i="64" s="1"/>
  <c r="BK34" i="64" l="1"/>
  <c r="AW21" i="73"/>
  <c r="AX43" i="64"/>
  <c r="Z21" i="73" s="1"/>
  <c r="E18" i="73"/>
  <c r="AJ18" i="73" s="1"/>
  <c r="AP18" i="73" s="1"/>
  <c r="AT16" i="73"/>
  <c r="AD16" i="73" s="1"/>
  <c r="AC16" i="73" s="1"/>
  <c r="AJ17" i="73"/>
  <c r="AP17" i="73" s="1"/>
  <c r="AK17" i="73"/>
  <c r="AQ17" i="73" s="1"/>
  <c r="AL17" i="73"/>
  <c r="AR17" i="73" s="1"/>
  <c r="AI17" i="73"/>
  <c r="AO17" i="73" s="1"/>
  <c r="AH17" i="73"/>
  <c r="AN17" i="73" s="1"/>
  <c r="G19" i="73"/>
  <c r="AF19" i="73" s="1"/>
  <c r="AB40" i="64"/>
  <c r="K20" i="73"/>
  <c r="BZ41" i="64"/>
  <c r="AZ34" i="64"/>
  <c r="CA38" i="64"/>
  <c r="CA37" i="64"/>
  <c r="T2" i="70"/>
  <c r="W18" i="73"/>
  <c r="BV34" i="64"/>
  <c r="BV35" i="64" s="1"/>
  <c r="AY37" i="64"/>
  <c r="BU38" i="64" s="1"/>
  <c r="AR37" i="64"/>
  <c r="BK37" i="64" l="1"/>
  <c r="AY40" i="64"/>
  <c r="BU41" i="64" s="1"/>
  <c r="BV40" i="64" s="1"/>
  <c r="BV41" i="64" s="1"/>
  <c r="AK18" i="73"/>
  <c r="AQ18" i="73" s="1"/>
  <c r="AL18" i="73"/>
  <c r="AR18" i="73" s="1"/>
  <c r="AI18" i="73"/>
  <c r="AO18" i="73" s="1"/>
  <c r="AH18" i="73"/>
  <c r="AN18" i="73" s="1"/>
  <c r="F20" i="73"/>
  <c r="AE20" i="73" s="1"/>
  <c r="AT17" i="73"/>
  <c r="AD17" i="73" s="1"/>
  <c r="AC17" i="73" s="1"/>
  <c r="E19" i="73"/>
  <c r="W20" i="73"/>
  <c r="H20" i="73" s="1"/>
  <c r="AS20" i="73" s="1"/>
  <c r="CA41" i="64"/>
  <c r="CA40" i="64"/>
  <c r="AB43" i="64"/>
  <c r="BZ44" i="64"/>
  <c r="K21" i="73"/>
  <c r="AZ37" i="64"/>
  <c r="W19" i="73"/>
  <c r="BV37" i="64"/>
  <c r="BV38" i="64" s="1"/>
  <c r="H18" i="73"/>
  <c r="AS18" i="73" s="1"/>
  <c r="U2" i="70"/>
  <c r="AR43" i="64" l="1"/>
  <c r="AR40" i="64"/>
  <c r="U51" i="64"/>
  <c r="U52" i="64" s="1"/>
  <c r="U53" i="64" s="1"/>
  <c r="T51" i="64"/>
  <c r="T52" i="64" s="1"/>
  <c r="T53" i="64" s="1"/>
  <c r="V51" i="64"/>
  <c r="V52" i="64" s="1"/>
  <c r="V53" i="64" s="1"/>
  <c r="AY43" i="64"/>
  <c r="BU44" i="64" s="1"/>
  <c r="BV43" i="64" s="1"/>
  <c r="BV44" i="64" s="1"/>
  <c r="F21" i="73"/>
  <c r="AE21" i="73" s="1"/>
  <c r="O49" i="64" s="1"/>
  <c r="G20" i="73"/>
  <c r="AF20" i="73" s="1"/>
  <c r="AT18" i="73"/>
  <c r="AD18" i="73" s="1"/>
  <c r="AC18" i="73" s="1"/>
  <c r="AI19" i="73"/>
  <c r="AO19" i="73" s="1"/>
  <c r="AL19" i="73"/>
  <c r="AR19" i="73" s="1"/>
  <c r="AH19" i="73"/>
  <c r="AN19" i="73" s="1"/>
  <c r="AK19" i="73"/>
  <c r="AQ19" i="73" s="1"/>
  <c r="AJ19" i="73"/>
  <c r="AP19" i="73" s="1"/>
  <c r="CA43" i="64"/>
  <c r="CA44" i="64"/>
  <c r="H19" i="73"/>
  <c r="AS19" i="73" s="1"/>
  <c r="AZ40" i="64" l="1"/>
  <c r="BK40" i="64"/>
  <c r="V2" i="70" s="1"/>
  <c r="BK43" i="64"/>
  <c r="W21" i="73"/>
  <c r="H21" i="73" s="1"/>
  <c r="V49" i="64" s="1"/>
  <c r="AZ43" i="64"/>
  <c r="W51" i="64"/>
  <c r="W52" i="64" s="1"/>
  <c r="W53" i="64" s="1"/>
  <c r="G21" i="73"/>
  <c r="AF21" i="73" s="1"/>
  <c r="Q49" i="64" s="1"/>
  <c r="E20" i="73"/>
  <c r="AH20" i="73" s="1"/>
  <c r="AN20" i="73" s="1"/>
  <c r="AT19" i="73"/>
  <c r="AD19" i="73" s="1"/>
  <c r="AC19" i="73" s="1"/>
  <c r="AS21" i="73" l="1"/>
  <c r="AL20" i="73"/>
  <c r="AR20" i="73" s="1"/>
  <c r="AK20" i="73"/>
  <c r="AQ20" i="73" s="1"/>
  <c r="AJ20" i="73"/>
  <c r="AP20" i="73" s="1"/>
  <c r="AI20" i="73"/>
  <c r="AO20" i="73" s="1"/>
  <c r="E21" i="73"/>
  <c r="AT20" i="73" l="1"/>
  <c r="AD20" i="73" s="1"/>
  <c r="AC20" i="73" s="1"/>
  <c r="AK21" i="73"/>
  <c r="AQ21" i="73" s="1"/>
  <c r="AL21" i="73"/>
  <c r="AR21" i="73" s="1"/>
  <c r="AJ21" i="73"/>
  <c r="AP21" i="73" s="1"/>
  <c r="AI21" i="73"/>
  <c r="AO21" i="73" s="1"/>
  <c r="AH21" i="73"/>
  <c r="AN21" i="73" s="1"/>
  <c r="AT21" i="73" l="1"/>
  <c r="AD21" i="73" s="1"/>
  <c r="AC21" i="73" l="1"/>
  <c r="M49" i="6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Jyumpei Watanabe</author>
  </authors>
  <commentList>
    <comment ref="AH8" authorId="0" shapeId="0" xr:uid="{677C79C1-3A12-4E26-B997-5CCCC4B6DBF9}">
      <text>
        <r>
          <rPr>
            <b/>
            <sz val="9"/>
            <color indexed="81"/>
            <rFont val="MS P ゴシック"/>
            <family val="3"/>
            <charset val="128"/>
          </rPr>
          <t>（③+…）のパターン</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kyoto</author>
    <author>Jyumpei Watanabe</author>
    <author>tanaka</author>
    <author>なかたに</author>
  </authors>
  <commentList>
    <comment ref="AE3" authorId="0" shapeId="0" xr:uid="{EF61136C-D2CA-45EC-B0E1-EFAFD6778E44}">
      <text>
        <r>
          <rPr>
            <b/>
            <sz val="12"/>
            <color indexed="81"/>
            <rFont val="BIZ UDPゴシック"/>
            <family val="3"/>
            <charset val="128"/>
          </rPr>
          <t>１号、２・３号のそれぞれについて、代替保育教諭等が2人の場合、うち1人は非常勤講師等でも可</t>
        </r>
      </text>
    </comment>
    <comment ref="AK3" authorId="0" shapeId="0" xr:uid="{19337D90-020E-4E1B-BED4-BC1702CAA797}">
      <text>
        <r>
          <rPr>
            <b/>
            <sz val="11"/>
            <color indexed="81"/>
            <rFont val="BIZ UDPゴシック"/>
            <family val="3"/>
            <charset val="128"/>
          </rPr>
          <t>国において年齢別配置基準の見直しが行われたことを受けて1号児童の配置基準を定める条例を改正しましたが、保育・教育の提供に支障がある場合、当分の間は適用しない経過措置があります。そのため、⑥と⑥´が一致しないことがありますが、⑥´未満でも、⑥以上であれば、直ちに配置不足となるものではありません。</t>
        </r>
      </text>
    </comment>
    <comment ref="BD3" authorId="1" shapeId="0" xr:uid="{00000000-0006-0000-0000-000004000000}">
      <text>
        <r>
          <rPr>
            <sz val="11"/>
            <color indexed="81"/>
            <rFont val="ＭＳ Ｐゴシック"/>
            <family val="3"/>
            <charset val="128"/>
          </rPr>
          <t>・幼稚園教諭免許又は保育士資格保有者が対象
・療育支援加算の補助職員(保育士資格有り)も対象</t>
        </r>
      </text>
    </comment>
    <comment ref="C4" authorId="2" shapeId="0" xr:uid="{7BABC83E-E96D-444E-828D-61CF5831088B}">
      <text>
        <r>
          <rPr>
            <b/>
            <sz val="9"/>
            <color indexed="10"/>
            <rFont val="MS P ゴシック"/>
            <family val="3"/>
            <charset val="128"/>
          </rPr>
          <t xml:space="preserve">利用定員の変更があった場合は、数式を壊して、
数値を直接入力して下さい。
</t>
        </r>
        <r>
          <rPr>
            <b/>
            <sz val="9"/>
            <color indexed="81"/>
            <rFont val="MS P ゴシック"/>
            <family val="3"/>
            <charset val="128"/>
          </rPr>
          <t xml:space="preserve">
</t>
        </r>
        <r>
          <rPr>
            <sz val="9"/>
            <color indexed="81"/>
            <rFont val="MS P ゴシック"/>
            <family val="3"/>
            <charset val="128"/>
          </rPr>
          <t>例）6月1日付で定員変更⇒6月分の定員を修正
（以降の月は、前月数値を自動引用されます）</t>
        </r>
      </text>
    </comment>
    <comment ref="D4" authorId="2" shapeId="0" xr:uid="{5907F17E-6A91-4B8A-902D-2DED3715F7E5}">
      <text>
        <r>
          <rPr>
            <b/>
            <sz val="9"/>
            <color indexed="81"/>
            <rFont val="MS P ゴシック"/>
            <family val="3"/>
            <charset val="128"/>
          </rPr>
          <t>同左</t>
        </r>
      </text>
    </comment>
    <comment ref="AN4" authorId="3" shapeId="0" xr:uid="{00000000-0006-0000-0000-000006000000}">
      <text>
        <r>
          <rPr>
            <sz val="10"/>
            <color indexed="81"/>
            <rFont val="MS P ゴシック"/>
            <family val="3"/>
            <charset val="128"/>
          </rPr>
          <t>加算算定を受けている場合は『1」を入力</t>
        </r>
      </text>
    </comment>
    <comment ref="AS4" authorId="1" shapeId="0" xr:uid="{8168C58F-8202-47B2-ABDB-B5B67BB3E13B}">
      <text>
        <r>
          <rPr>
            <b/>
            <u/>
            <sz val="11"/>
            <color indexed="10"/>
            <rFont val="ＭＳ Ｐゴシック"/>
            <family val="3"/>
            <charset val="128"/>
          </rPr>
          <t>１号児童分、２・３号児童分ごとに、</t>
        </r>
        <r>
          <rPr>
            <b/>
            <sz val="11"/>
            <color indexed="81"/>
            <rFont val="ＭＳ Ｐゴシック"/>
            <family val="3"/>
            <charset val="128"/>
          </rPr>
          <t>少数点第1位まで入力してください。　
区分1⇒1、区分2⇒0.6、区分3⇒0.5、区分4⇒0.3、区分5⇒0.2
※認定されている月ごとに記載してください。（例：６月に入所し、同月から区分１が適用→６月から１を記載）</t>
        </r>
        <r>
          <rPr>
            <b/>
            <sz val="9"/>
            <color indexed="81"/>
            <rFont val="ＭＳ Ｐゴシック"/>
            <family val="3"/>
            <charset val="128"/>
          </rPr>
          <t xml:space="preserve">
</t>
        </r>
      </text>
    </comment>
    <comment ref="BG4" authorId="3" shapeId="0" xr:uid="{00000000-0006-0000-0000-00000B000000}">
      <text>
        <r>
          <rPr>
            <b/>
            <sz val="11"/>
            <color indexed="81"/>
            <rFont val="MS P ゴシック"/>
            <family val="3"/>
            <charset val="128"/>
          </rPr>
          <t>【教育補助者】</t>
        </r>
        <r>
          <rPr>
            <sz val="11"/>
            <color indexed="81"/>
            <rFont val="MS P ゴシック"/>
            <family val="3"/>
            <charset val="128"/>
          </rPr>
          <t xml:space="preserve">
　幼稚園教諭の免許状を有するが教諭等の発令を受けていない者
　※⑦チーム保育加配人数の範囲内で職員としてカウントできます。</t>
        </r>
      </text>
    </comment>
    <comment ref="BL4" authorId="0" shapeId="0" xr:uid="{08393987-C5F8-4FD5-B2D0-9B5802EF81B0}">
      <text>
        <r>
          <rPr>
            <b/>
            <u/>
            <sz val="11"/>
            <color indexed="10"/>
            <rFont val="BIZ UDPゴシック"/>
            <family val="3"/>
            <charset val="128"/>
          </rPr>
          <t xml:space="preserve">
この欄だけがマイナス値の場合について、直ちに減算の対象となるわけではありません。
（⑥´上のメモ参照）</t>
        </r>
      </text>
    </comment>
    <comment ref="BN4" authorId="4" shapeId="0" xr:uid="{00000000-0006-0000-0000-00000A000000}">
      <text>
        <r>
          <rPr>
            <b/>
            <sz val="8"/>
            <color indexed="81"/>
            <rFont val="MS P ゴシック"/>
            <family val="3"/>
            <charset val="128"/>
          </rPr>
          <t xml:space="preserve">
実施している場合は，以下の数字を入力。
〇週5日：2.0、〇週4日：1.6、〇週3日：1.2、〇週2日：0.8、〇週1日：0.4
※保育園と一体的に実施し、本体保育の保育士による支援が受けられる場合は、以下
○週5日：1.0、〇週4日：0.8、〇週3日：0.6、〇週2日：0.4、〇週1日：0.2　</t>
        </r>
      </text>
    </comment>
    <comment ref="BK5" authorId="0" shapeId="0" xr:uid="{604E00AD-6001-4AD6-980B-5B699A162C1A}">
      <text>
        <r>
          <rPr>
            <b/>
            <u/>
            <sz val="9"/>
            <color indexed="10"/>
            <rFont val="BIZ UDPゴシック"/>
            <family val="3"/>
            <charset val="128"/>
          </rPr>
          <t xml:space="preserve">
【注意】
この欄は、現在の実配置数が、必置職員数（条例で定める配置基準）や給付費の加算要件を満たしているかを示しています。
マイナスの場合は、配置基準を満たしていないか、給付費の加算の適用ができません。
※人件費等補助金の補助算定職員数との関連を示したものではありません。これについては、本表の下部を御確認ください。</t>
        </r>
      </text>
    </comment>
    <comment ref="BF6" authorId="0" shapeId="0" xr:uid="{00000000-0006-0000-0000-00000C000000}">
      <text>
        <r>
          <rPr>
            <b/>
            <sz val="10"/>
            <color indexed="81"/>
            <rFont val="MS P ゴシック"/>
            <family val="3"/>
            <charset val="128"/>
          </rPr>
          <t>教職員としてみなすことのできる保健師、看護師又は准看護師を含む。</t>
        </r>
      </text>
    </comment>
    <comment ref="J7" authorId="1" shapeId="0" xr:uid="{E1121B11-7740-4185-84AE-B1C1309C338D}">
      <text>
        <r>
          <rPr>
            <b/>
            <sz val="10"/>
            <color indexed="81"/>
            <rFont val="ＭＳ Ｐゴシック"/>
            <family val="3"/>
            <charset val="128"/>
          </rPr>
          <t>満3歳児を除く。</t>
        </r>
      </text>
    </comment>
    <comment ref="S7" authorId="1" shapeId="0" xr:uid="{CE2FCFDF-1830-4605-BA5A-94DD70F07D8D}">
      <text>
        <r>
          <rPr>
            <b/>
            <sz val="10"/>
            <color indexed="81"/>
            <rFont val="ＭＳ Ｐゴシック"/>
            <family val="3"/>
            <charset val="128"/>
          </rPr>
          <t>満3歳児を除く。</t>
        </r>
      </text>
    </comment>
    <comment ref="G9" authorId="1" shapeId="0" xr:uid="{36AD28CD-D088-4830-B660-B1578CA06D25}">
      <text>
        <r>
          <rPr>
            <b/>
            <sz val="9"/>
            <color indexed="81"/>
            <rFont val="ＭＳ Ｐゴシック"/>
            <family val="3"/>
            <charset val="128"/>
          </rPr>
          <t>令和4年8</t>
        </r>
        <r>
          <rPr>
            <b/>
            <sz val="9"/>
            <color indexed="12"/>
            <rFont val="ＭＳ Ｐゴシック"/>
            <family val="3"/>
            <charset val="128"/>
          </rPr>
          <t>月3日</t>
        </r>
        <r>
          <rPr>
            <b/>
            <sz val="9"/>
            <color indexed="81"/>
            <rFont val="ＭＳ Ｐゴシック"/>
            <family val="3"/>
            <charset val="128"/>
          </rPr>
          <t>から
令和5年4</t>
        </r>
        <r>
          <rPr>
            <b/>
            <sz val="9"/>
            <color indexed="12"/>
            <rFont val="ＭＳ Ｐゴシック"/>
            <family val="3"/>
            <charset val="128"/>
          </rPr>
          <t>月1日</t>
        </r>
        <r>
          <rPr>
            <b/>
            <sz val="9"/>
            <color indexed="81"/>
            <rFont val="ＭＳ Ｐゴシック"/>
            <family val="3"/>
            <charset val="128"/>
          </rPr>
          <t>までの間に
生まれた児童数</t>
        </r>
      </text>
    </comment>
    <comment ref="R53" authorId="2" shapeId="0" xr:uid="{2177CEB5-3BD7-4288-9D02-6B850E26A0FF}">
      <text>
        <r>
          <rPr>
            <sz val="9"/>
            <color indexed="81"/>
            <rFont val="MS P ゴシック"/>
            <family val="3"/>
            <charset val="128"/>
          </rPr>
          <t>10月から雇用開始なら、「10」を選択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小林</author>
  </authors>
  <commentList>
    <comment ref="C7" authorId="0" shapeId="0" xr:uid="{00000000-0006-0000-0100-000001000000}">
      <text>
        <r>
          <rPr>
            <b/>
            <sz val="9"/>
            <color indexed="81"/>
            <rFont val="MS P ゴシック"/>
            <family val="3"/>
            <charset val="128"/>
          </rPr>
          <t>本園の標準時間利用児童の内訳を入力してください。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小林</author>
  </authors>
  <commentList>
    <comment ref="C7" authorId="0" shapeId="0" xr:uid="{00000000-0006-0000-0200-000001000000}">
      <text>
        <r>
          <rPr>
            <b/>
            <sz val="9"/>
            <color indexed="81"/>
            <rFont val="MS P ゴシック"/>
            <family val="3"/>
            <charset val="128"/>
          </rPr>
          <t>本園の標準時間利用児童の内訳を入力してください。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Kyoto</author>
    <author>tanaka-y</author>
    <author>Sai</author>
  </authors>
  <commentList>
    <comment ref="B6" authorId="0" shapeId="0" xr:uid="{00000000-0006-0000-0300-000001000000}">
      <text>
        <r>
          <rPr>
            <b/>
            <sz val="18"/>
            <color indexed="10"/>
            <rFont val="MS P ゴシック"/>
            <family val="3"/>
            <charset val="128"/>
          </rPr>
          <t>本園に専従の常勤保育士以外の職員は入力しないでください。
（他の保育所又は社会福祉施設等と兼務している常勤保育士は、本シートではなく、様式３に入力してください）
また、園長は含めません。</t>
        </r>
      </text>
    </comment>
    <comment ref="G6" authorId="0" shapeId="0" xr:uid="{00000000-0006-0000-0300-000002000000}">
      <text>
        <r>
          <rPr>
            <b/>
            <sz val="12"/>
            <color indexed="81"/>
            <rFont val="MS P ゴシック"/>
            <family val="3"/>
            <charset val="128"/>
          </rPr>
          <t>勤務した月について○を入力してください。</t>
        </r>
      </text>
    </comment>
    <comment ref="D7" authorId="0" shapeId="0" xr:uid="{F213B684-81A1-4C63-B01D-653014C8480E}">
      <text>
        <r>
          <rPr>
            <b/>
            <sz val="12"/>
            <color indexed="81"/>
            <rFont val="MS P ゴシック"/>
            <family val="3"/>
            <charset val="128"/>
          </rPr>
          <t>令和６年度までは保育士資格又は幼稚園教諭普通免許状保有のみで可。</t>
        </r>
      </text>
    </comment>
    <comment ref="E7" authorId="0" shapeId="0" xr:uid="{83BC9F23-6EF3-4943-9939-B4504B5A1AF2}">
      <text>
        <r>
          <rPr>
            <b/>
            <sz val="12"/>
            <color indexed="81"/>
            <rFont val="MS P ゴシック"/>
            <family val="3"/>
            <charset val="128"/>
          </rPr>
          <t>令和６年度までは保育士資格を有していなくても可。</t>
        </r>
      </text>
    </comment>
    <comment ref="F7" authorId="0" shapeId="0" xr:uid="{00000000-0006-0000-0300-000005000000}">
      <text>
        <r>
          <rPr>
            <b/>
            <sz val="12"/>
            <color indexed="81"/>
            <rFont val="MS P ゴシック"/>
            <family val="3"/>
            <charset val="128"/>
          </rPr>
          <t>小学校教諭または養護教諭に係る普通免許状を有している指定研修修了者は京都市に対して事前の届出が必要です。※令和６年度までの特例措置</t>
        </r>
      </text>
    </comment>
    <comment ref="D63" authorId="1" shapeId="0" xr:uid="{00000000-0006-0000-0300-000006000000}">
      <text>
        <r>
          <rPr>
            <b/>
            <sz val="12"/>
            <color indexed="81"/>
            <rFont val="MS P ゴシック"/>
            <family val="3"/>
            <charset val="128"/>
          </rPr>
          <t>乳児３名以下の場合は、以下の２要件を満たす認定こども園に限り、これらの職員を１人（常勤換算後）に限って保育士とみなすことができる。
①勤務経験が概ね３年に満たない看護師等については、子育て支援員研修の受講（又は直近の研修を受講予定）していること
②看護師等が保育士と合同の組・グループを編成し、原則として同一の乳児室など同一空間内で保育を行うこと</t>
        </r>
      </text>
    </comment>
    <comment ref="G63" authorId="0" shapeId="0" xr:uid="{00000000-0006-0000-0300-000007000000}">
      <text>
        <r>
          <rPr>
            <b/>
            <sz val="12"/>
            <color indexed="81"/>
            <rFont val="MS P ゴシック"/>
            <family val="3"/>
            <charset val="128"/>
          </rPr>
          <t>各月の</t>
        </r>
        <r>
          <rPr>
            <b/>
            <sz val="12"/>
            <color indexed="10"/>
            <rFont val="MS P ゴシック"/>
            <family val="3"/>
            <charset val="128"/>
          </rPr>
          <t>勤務時間数</t>
        </r>
        <r>
          <rPr>
            <b/>
            <sz val="12"/>
            <color indexed="81"/>
            <rFont val="MS P ゴシック"/>
            <family val="3"/>
            <charset val="128"/>
          </rPr>
          <t>を入力してください。
（常勤の場合、就業規則で定める常勤職員の１箇月の勤務時間数）</t>
        </r>
      </text>
    </comment>
    <comment ref="G74" authorId="2" shapeId="0" xr:uid="{A2B4AF9B-1CE9-43E8-A903-DF9506185DF4}">
      <text>
        <r>
          <rPr>
            <b/>
            <sz val="12"/>
            <color indexed="81"/>
            <rFont val="MS P ゴシック"/>
            <family val="3"/>
            <charset val="128"/>
          </rPr>
          <t>「注」が表示される場合
　表示される月の乳児の初日児童数が３名以下なので、保育士とみなす看護師等の勤務経験が概ね３年に満たない場合、子育て支援員研修を受講（又は直近の研修を受講予定）している必要があります。
　別途ご案内する、受講状況に関する所定の手続きをしてください。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中谷</author>
    <author>kyoto</author>
  </authors>
  <commentList>
    <comment ref="B5" authorId="0" shapeId="0" xr:uid="{1ECFA815-400E-49AF-B7DD-E563687F74A3}">
      <text>
        <r>
          <rPr>
            <b/>
            <sz val="16"/>
            <color indexed="10"/>
            <rFont val="MS P ゴシック"/>
            <family val="3"/>
            <charset val="128"/>
          </rPr>
          <t>他の保育所又は社会福祉施設等と兼務</t>
        </r>
        <r>
          <rPr>
            <b/>
            <sz val="16"/>
            <color indexed="81"/>
            <rFont val="MS P ゴシック"/>
            <family val="3"/>
            <charset val="128"/>
          </rPr>
          <t>している常勤保育士は、</t>
        </r>
        <r>
          <rPr>
            <b/>
            <sz val="16"/>
            <color indexed="10"/>
            <rFont val="MS P ゴシック"/>
            <family val="3"/>
            <charset val="128"/>
          </rPr>
          <t>本保育所の勤務時間数だけを水色網掛け箇所（Ｎ列～ＡＫ列）に直接入力</t>
        </r>
        <r>
          <rPr>
            <b/>
            <sz val="16"/>
            <color indexed="81"/>
            <rFont val="MS P ゴシック"/>
            <family val="3"/>
            <charset val="128"/>
          </rPr>
          <t>してください。
※</t>
        </r>
        <r>
          <rPr>
            <b/>
            <sz val="16"/>
            <color indexed="10"/>
            <rFont val="MS P ゴシック"/>
            <family val="3"/>
            <charset val="128"/>
          </rPr>
          <t>他の保育所又は社会福祉施設等の勤務時間は含まない</t>
        </r>
        <r>
          <rPr>
            <b/>
            <sz val="16"/>
            <color indexed="81"/>
            <rFont val="MS P ゴシック"/>
            <family val="3"/>
            <charset val="128"/>
          </rPr>
          <t>でください。</t>
        </r>
      </text>
    </comment>
    <comment ref="L5" authorId="1" shapeId="0" xr:uid="{00000000-0006-0000-0400-000001000000}">
      <text>
        <r>
          <rPr>
            <b/>
            <sz val="12"/>
            <color indexed="81"/>
            <rFont val="ＭＳ Ｐゴシック"/>
            <family val="3"/>
            <charset val="128"/>
          </rPr>
          <t>雇用契約等における1箇月あたりの勤務時間を入力してください。
変形労働時間を採用されている場合は、各月の勤務時間を直接入力してください。</t>
        </r>
      </text>
    </comment>
    <comment ref="L39" authorId="1" shapeId="0" xr:uid="{6FA9AFEA-C078-4584-8C2D-39856B0C8CC5}">
      <text>
        <r>
          <rPr>
            <b/>
            <sz val="12"/>
            <color indexed="81"/>
            <rFont val="ＭＳ Ｐゴシック"/>
            <family val="3"/>
            <charset val="128"/>
          </rPr>
          <t>目安：１６４～１７３時間程度
　例）就業規則において週40時間と規定されている場合
　　　40時間×52週（年間の週間数）÷12月（年間の月数）＝173時間（小数点第1位四捨五入）</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C6" authorId="0" shapeId="0" xr:uid="{00000000-0006-0000-0700-000001000000}">
      <text>
        <r>
          <rPr>
            <b/>
            <sz val="12"/>
            <color indexed="81"/>
            <rFont val="ＭＳ Ｐゴシック"/>
            <family val="3"/>
            <charset val="128"/>
          </rPr>
          <t>以前からの継続雇用の場合は，平成27年4月～と入力してください。</t>
        </r>
      </text>
    </comment>
    <comment ref="A30" authorId="0" shapeId="0" xr:uid="{00000000-0006-0000-0700-000002000000}">
      <text>
        <r>
          <rPr>
            <b/>
            <sz val="12"/>
            <color indexed="81"/>
            <rFont val="ＭＳ Ｐゴシック"/>
            <family val="3"/>
            <charset val="128"/>
          </rPr>
          <t>目安：１６４～１７３時間程度
　例）就業規則において週40時間と規定されている場合
　　　40時間×52週（年間の週間数）÷12月（年間の月数）＝173時間（小数点第1位四捨五入）</t>
        </r>
      </text>
    </comment>
  </commentList>
</comments>
</file>

<file path=xl/sharedStrings.xml><?xml version="1.0" encoding="utf-8"?>
<sst xmlns="http://schemas.openxmlformats.org/spreadsheetml/2006/main" count="1172" uniqueCount="350">
  <si>
    <t>３歳児</t>
    <rPh sb="1" eb="2">
      <t>サイ</t>
    </rPh>
    <rPh sb="2" eb="3">
      <t>ジ</t>
    </rPh>
    <phoneticPr fontId="2"/>
  </si>
  <si>
    <t>対象月</t>
    <rPh sb="0" eb="2">
      <t>タイショウ</t>
    </rPh>
    <rPh sb="2" eb="3">
      <t>ツキ</t>
    </rPh>
    <phoneticPr fontId="2"/>
  </si>
  <si>
    <t>５月</t>
    <rPh sb="1" eb="2">
      <t>ツキ</t>
    </rPh>
    <phoneticPr fontId="2"/>
  </si>
  <si>
    <t>６月</t>
    <rPh sb="1" eb="2">
      <t>ツキ</t>
    </rPh>
    <phoneticPr fontId="2"/>
  </si>
  <si>
    <t>７月</t>
    <rPh sb="1" eb="2">
      <t>ツキ</t>
    </rPh>
    <phoneticPr fontId="2"/>
  </si>
  <si>
    <t>８月</t>
    <rPh sb="1" eb="2">
      <t>ツキ</t>
    </rPh>
    <phoneticPr fontId="2"/>
  </si>
  <si>
    <t>９月</t>
    <rPh sb="1" eb="2">
      <t>ツキ</t>
    </rPh>
    <phoneticPr fontId="2"/>
  </si>
  <si>
    <t>１０月</t>
    <rPh sb="2" eb="3">
      <t>ツキ</t>
    </rPh>
    <phoneticPr fontId="2"/>
  </si>
  <si>
    <t>１１月</t>
    <rPh sb="2" eb="3">
      <t>ツキ</t>
    </rPh>
    <phoneticPr fontId="2"/>
  </si>
  <si>
    <t>１２月</t>
    <rPh sb="2" eb="3">
      <t>ツキ</t>
    </rPh>
    <phoneticPr fontId="2"/>
  </si>
  <si>
    <t>３月</t>
    <rPh sb="1" eb="2">
      <t>ツキ</t>
    </rPh>
    <phoneticPr fontId="2"/>
  </si>
  <si>
    <t>４月</t>
    <rPh sb="1" eb="2">
      <t>ツキ</t>
    </rPh>
    <phoneticPr fontId="2"/>
  </si>
  <si>
    <t>１月</t>
    <rPh sb="1" eb="2">
      <t>ツキ</t>
    </rPh>
    <phoneticPr fontId="2"/>
  </si>
  <si>
    <t>番号</t>
    <rPh sb="0" eb="2">
      <t>バンゴウ</t>
    </rPh>
    <phoneticPr fontId="2"/>
  </si>
  <si>
    <t>時間数合計（Ａ）</t>
    <rPh sb="0" eb="3">
      <t>ジカンスウ</t>
    </rPh>
    <rPh sb="3" eb="5">
      <t>ゴウケイ</t>
    </rPh>
    <phoneticPr fontId="2"/>
  </si>
  <si>
    <t>２月</t>
  </si>
  <si>
    <t>一時預かり事業</t>
    <rPh sb="0" eb="2">
      <t>イチジ</t>
    </rPh>
    <rPh sb="2" eb="3">
      <t>アズ</t>
    </rPh>
    <rPh sb="5" eb="7">
      <t>ジギョウ</t>
    </rPh>
    <phoneticPr fontId="2"/>
  </si>
  <si>
    <t>２歳児</t>
    <rPh sb="1" eb="3">
      <t>サイジ</t>
    </rPh>
    <phoneticPr fontId="2"/>
  </si>
  <si>
    <t>４歳児</t>
    <rPh sb="1" eb="3">
      <t>サイジ</t>
    </rPh>
    <phoneticPr fontId="2"/>
  </si>
  <si>
    <t>５歳児</t>
    <rPh sb="1" eb="3">
      <t>サイジ</t>
    </rPh>
    <phoneticPr fontId="2"/>
  </si>
  <si>
    <t>０歳児</t>
    <rPh sb="1" eb="3">
      <t>サイジ</t>
    </rPh>
    <phoneticPr fontId="2"/>
  </si>
  <si>
    <t>時間</t>
    <rPh sb="0" eb="2">
      <t>ジカン</t>
    </rPh>
    <phoneticPr fontId="2"/>
  </si>
  <si>
    <t>分</t>
    <rPh sb="0" eb="1">
      <t>ブン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</si>
  <si>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</si>
  <si>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</si>
  <si>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</si>
  <si>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</si>
  <si>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</si>
  <si>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</si>
  <si>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</si>
  <si>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</si>
  <si>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</si>
  <si>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</si>
  <si>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</si>
  <si>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</si>
  <si>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</si>
  <si>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</si>
  <si>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</si>
  <si>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</si>
  <si>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</si>
  <si>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</si>
  <si>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</si>
  <si>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</si>
  <si>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標準時間対応</t>
    <rPh sb="0" eb="2">
      <t>ヒョウジュン</t>
    </rPh>
    <rPh sb="2" eb="4">
      <t>ジカン</t>
    </rPh>
    <rPh sb="4" eb="6">
      <t>タイオウ</t>
    </rPh>
    <phoneticPr fontId="2"/>
  </si>
  <si>
    <t>過不足</t>
    <rPh sb="0" eb="3">
      <t>カブソク</t>
    </rPh>
    <phoneticPr fontId="2"/>
  </si>
  <si>
    <t>雇用期間</t>
    <rPh sb="0" eb="2">
      <t>コヨウ</t>
    </rPh>
    <rPh sb="2" eb="4">
      <t>キカン</t>
    </rPh>
    <phoneticPr fontId="2"/>
  </si>
  <si>
    <t>月</t>
    <rPh sb="0" eb="1">
      <t>ガツ</t>
    </rPh>
    <phoneticPr fontId="2"/>
  </si>
  <si>
    <t>～</t>
    <phoneticPr fontId="2"/>
  </si>
  <si>
    <t>月</t>
    <rPh sb="0" eb="1">
      <t>ツキ</t>
    </rPh>
    <phoneticPr fontId="2"/>
  </si>
  <si>
    <t>年</t>
    <rPh sb="0" eb="1">
      <t>ネン</t>
    </rPh>
    <phoneticPr fontId="2"/>
  </si>
  <si>
    <t>○</t>
    <phoneticPr fontId="2"/>
  </si>
  <si>
    <t>保育園名</t>
    <phoneticPr fontId="2"/>
  </si>
  <si>
    <t>※水色の部分は計算式が入っているため，入力できません。</t>
    <phoneticPr fontId="2"/>
  </si>
  <si>
    <t>【非常勤の保育士】</t>
    <phoneticPr fontId="2"/>
  </si>
  <si>
    <t>番号</t>
    <phoneticPr fontId="2"/>
  </si>
  <si>
    <t>保育士</t>
    <phoneticPr fontId="2"/>
  </si>
  <si>
    <t>雇用期間</t>
    <phoneticPr fontId="2"/>
  </si>
  <si>
    <t>1月あたりの平均勤務時間</t>
    <phoneticPr fontId="2"/>
  </si>
  <si>
    <t>時間</t>
    <phoneticPr fontId="2"/>
  </si>
  <si>
    <t>分</t>
    <phoneticPr fontId="2"/>
  </si>
  <si>
    <t>平成</t>
    <phoneticPr fontId="2"/>
  </si>
  <si>
    <t>年</t>
    <phoneticPr fontId="2"/>
  </si>
  <si>
    <t>月</t>
    <phoneticPr fontId="2"/>
  </si>
  <si>
    <t>時間数合計（Ａ）</t>
    <phoneticPr fontId="2"/>
  </si>
  <si>
    <t>就業規則で定める常勤職員の1ヶ月の労働時間数（Ｂ）</t>
    <phoneticPr fontId="2"/>
  </si>
  <si>
    <t>常勤者換算（Ａ／Ｂ）（小数点２位を切り捨て　例： 1.46⇒1.4）</t>
    <phoneticPr fontId="2"/>
  </si>
  <si>
    <t>(単位:人）</t>
    <rPh sb="1" eb="3">
      <t>タンイ</t>
    </rPh>
    <rPh sb="4" eb="5">
      <t>ニン</t>
    </rPh>
    <phoneticPr fontId="2"/>
  </si>
  <si>
    <t>他市町村児童がいる場合は「○」を入力してください。</t>
    <rPh sb="0" eb="1">
      <t>タ</t>
    </rPh>
    <rPh sb="1" eb="4">
      <t>シチョウソン</t>
    </rPh>
    <rPh sb="4" eb="6">
      <t>ジドウ</t>
    </rPh>
    <rPh sb="9" eb="11">
      <t>バアイ</t>
    </rPh>
    <rPh sb="16" eb="18">
      <t>ニュウリョク</t>
    </rPh>
    <phoneticPr fontId="2"/>
  </si>
  <si>
    <t>就業規則で定める常勤職員の1箇月の勤務時間数（Ｂ）</t>
    <rPh sb="0" eb="2">
      <t>シュウギョウ</t>
    </rPh>
    <rPh sb="2" eb="4">
      <t>キソク</t>
    </rPh>
    <rPh sb="5" eb="6">
      <t>サダ</t>
    </rPh>
    <rPh sb="8" eb="10">
      <t>ジョウキン</t>
    </rPh>
    <rPh sb="10" eb="12">
      <t>ショクイン</t>
    </rPh>
    <rPh sb="14" eb="15">
      <t>カ</t>
    </rPh>
    <rPh sb="15" eb="16">
      <t>ゲツ</t>
    </rPh>
    <rPh sb="17" eb="19">
      <t>キンム</t>
    </rPh>
    <rPh sb="19" eb="22">
      <t>ジカンスウ</t>
    </rPh>
    <phoneticPr fontId="2"/>
  </si>
  <si>
    <t>1箇月あたりの勤務時間</t>
    <rPh sb="1" eb="2">
      <t>カ</t>
    </rPh>
    <rPh sb="2" eb="3">
      <t>ガツ</t>
    </rPh>
    <rPh sb="7" eb="9">
      <t>キンム</t>
    </rPh>
    <rPh sb="9" eb="11">
      <t>ジカン</t>
    </rPh>
    <phoneticPr fontId="2"/>
  </si>
  <si>
    <t>勤　　務　　時　　間</t>
    <rPh sb="0" eb="1">
      <t>ツトム</t>
    </rPh>
    <rPh sb="3" eb="4">
      <t>ツトム</t>
    </rPh>
    <rPh sb="6" eb="7">
      <t>トキ</t>
    </rPh>
    <rPh sb="9" eb="10">
      <t>アイダ</t>
    </rPh>
    <phoneticPr fontId="2"/>
  </si>
  <si>
    <t>1号</t>
    <rPh sb="1" eb="2">
      <t>ゴウ</t>
    </rPh>
    <phoneticPr fontId="2"/>
  </si>
  <si>
    <t>2号</t>
    <rPh sb="1" eb="2">
      <t>ゴウ</t>
    </rPh>
    <phoneticPr fontId="2"/>
  </si>
  <si>
    <t>3号</t>
    <rPh sb="1" eb="2">
      <t>ゴウ</t>
    </rPh>
    <phoneticPr fontId="2"/>
  </si>
  <si>
    <t>満3歳児</t>
    <rPh sb="0" eb="1">
      <t>マン</t>
    </rPh>
    <rPh sb="2" eb="4">
      <t>サイジ</t>
    </rPh>
    <phoneticPr fontId="2"/>
  </si>
  <si>
    <t>②</t>
    <phoneticPr fontId="2"/>
  </si>
  <si>
    <t>③</t>
    <phoneticPr fontId="2"/>
  </si>
  <si>
    <t>①</t>
    <phoneticPr fontId="2"/>
  </si>
  <si>
    <t>④</t>
    <phoneticPr fontId="2"/>
  </si>
  <si>
    <t>4月</t>
    <rPh sb="1" eb="2">
      <t>ガツ</t>
    </rPh>
    <phoneticPr fontId="2"/>
  </si>
  <si>
    <t>支給認定区分</t>
    <rPh sb="0" eb="2">
      <t>シキュウ</t>
    </rPh>
    <rPh sb="2" eb="4">
      <t>ニンテイ</t>
    </rPh>
    <rPh sb="4" eb="6">
      <t>クブン</t>
    </rPh>
    <phoneticPr fontId="2"/>
  </si>
  <si>
    <t>5月</t>
    <phoneticPr fontId="2"/>
  </si>
  <si>
    <t>6月</t>
    <phoneticPr fontId="2"/>
  </si>
  <si>
    <t>7月</t>
    <phoneticPr fontId="2"/>
  </si>
  <si>
    <t>8月</t>
    <phoneticPr fontId="2"/>
  </si>
  <si>
    <t>9月</t>
    <phoneticPr fontId="2"/>
  </si>
  <si>
    <t>10月</t>
    <phoneticPr fontId="2"/>
  </si>
  <si>
    <t>11月</t>
    <phoneticPr fontId="2"/>
  </si>
  <si>
    <t>12月</t>
    <phoneticPr fontId="2"/>
  </si>
  <si>
    <t>1月</t>
    <phoneticPr fontId="2"/>
  </si>
  <si>
    <t>2月</t>
    <phoneticPr fontId="2"/>
  </si>
  <si>
    <t>3月</t>
    <phoneticPr fontId="2"/>
  </si>
  <si>
    <t>施設名</t>
    <rPh sb="0" eb="2">
      <t>シセツ</t>
    </rPh>
    <rPh sb="2" eb="3">
      <t>メイ</t>
    </rPh>
    <phoneticPr fontId="2"/>
  </si>
  <si>
    <t>教職員</t>
    <rPh sb="0" eb="3">
      <t>キョウショクイン</t>
    </rPh>
    <phoneticPr fontId="2"/>
  </si>
  <si>
    <t>チーム保育加配</t>
    <rPh sb="3" eb="5">
      <t>ホイク</t>
    </rPh>
    <rPh sb="5" eb="7">
      <t>カハイ</t>
    </rPh>
    <phoneticPr fontId="2"/>
  </si>
  <si>
    <t>主幹保育教諭等</t>
    <rPh sb="0" eb="2">
      <t>シュカン</t>
    </rPh>
    <rPh sb="2" eb="4">
      <t>ホイク</t>
    </rPh>
    <rPh sb="4" eb="6">
      <t>キョウユ</t>
    </rPh>
    <rPh sb="6" eb="7">
      <t>トウ</t>
    </rPh>
    <phoneticPr fontId="2"/>
  </si>
  <si>
    <t>当該施設に勤務する職員数
（各月初日時点）</t>
    <rPh sb="2" eb="4">
      <t>シセツ</t>
    </rPh>
    <rPh sb="18" eb="20">
      <t>ジテン</t>
    </rPh>
    <phoneticPr fontId="2"/>
  </si>
  <si>
    <t>専任</t>
    <rPh sb="0" eb="2">
      <t>センニン</t>
    </rPh>
    <phoneticPr fontId="2"/>
  </si>
  <si>
    <t>非専任</t>
    <rPh sb="0" eb="1">
      <t>ヒ</t>
    </rPh>
    <rPh sb="1" eb="3">
      <t>センニン</t>
    </rPh>
    <phoneticPr fontId="2"/>
  </si>
  <si>
    <t>非常勤</t>
    <rPh sb="0" eb="3">
      <t>ヒジョウキン</t>
    </rPh>
    <phoneticPr fontId="2"/>
  </si>
  <si>
    <t>教育補助者</t>
    <rPh sb="0" eb="2">
      <t>キョウイク</t>
    </rPh>
    <rPh sb="2" eb="5">
      <t>ホジョシャ</t>
    </rPh>
    <phoneticPr fontId="2"/>
  </si>
  <si>
    <t>常勤</t>
    <rPh sb="0" eb="2">
      <t>ジョウキン</t>
    </rPh>
    <phoneticPr fontId="2"/>
  </si>
  <si>
    <t>教育補助者のうち常勤換算後の数</t>
    <rPh sb="0" eb="2">
      <t>キョウイク</t>
    </rPh>
    <rPh sb="2" eb="5">
      <t>ホジョシャ</t>
    </rPh>
    <rPh sb="8" eb="10">
      <t>ジョウキン</t>
    </rPh>
    <rPh sb="10" eb="12">
      <t>カンサン</t>
    </rPh>
    <rPh sb="12" eb="13">
      <t>ゴ</t>
    </rPh>
    <rPh sb="14" eb="15">
      <t>カズ</t>
    </rPh>
    <phoneticPr fontId="2"/>
  </si>
  <si>
    <t>園長の兼務状況（非専任の場合は必要教職員数に+1される）</t>
    <rPh sb="0" eb="2">
      <t>エンチョウ</t>
    </rPh>
    <rPh sb="3" eb="5">
      <t>ケンム</t>
    </rPh>
    <rPh sb="5" eb="7">
      <t>ジョウキョウ</t>
    </rPh>
    <rPh sb="8" eb="9">
      <t>ヒ</t>
    </rPh>
    <rPh sb="9" eb="11">
      <t>センニン</t>
    </rPh>
    <rPh sb="12" eb="14">
      <t>バアイ</t>
    </rPh>
    <rPh sb="15" eb="17">
      <t>ヒツヨウ</t>
    </rPh>
    <rPh sb="17" eb="20">
      <t>キョウショクイン</t>
    </rPh>
    <rPh sb="20" eb="21">
      <t>スウ</t>
    </rPh>
    <phoneticPr fontId="2"/>
  </si>
  <si>
    <t>【非常勤の教育補助者】</t>
    <rPh sb="1" eb="4">
      <t>ヒジョウキン</t>
    </rPh>
    <rPh sb="5" eb="7">
      <t>キョウイク</t>
    </rPh>
    <rPh sb="7" eb="10">
      <t>ホジョシャ</t>
    </rPh>
    <phoneticPr fontId="2"/>
  </si>
  <si>
    <t>1歳児加配</t>
    <rPh sb="1" eb="3">
      <t>サイジ</t>
    </rPh>
    <rPh sb="3" eb="5">
      <t>カハイ</t>
    </rPh>
    <phoneticPr fontId="2"/>
  </si>
  <si>
    <t>１歳児
合計</t>
    <rPh sb="1" eb="3">
      <t>サイジ</t>
    </rPh>
    <rPh sb="4" eb="6">
      <t>ゴウケイ</t>
    </rPh>
    <phoneticPr fontId="2"/>
  </si>
  <si>
    <t>②</t>
  </si>
  <si>
    <t>④</t>
  </si>
  <si>
    <t>③</t>
  </si>
  <si>
    <t>①</t>
  </si>
  <si>
    <t>～</t>
    <phoneticPr fontId="2"/>
  </si>
  <si>
    <t>教職員等の合計（ただし教育補助者は⑦チーム保育加配数が上限）</t>
    <rPh sb="0" eb="3">
      <t>キョウショクイン</t>
    </rPh>
    <rPh sb="3" eb="4">
      <t>トウ</t>
    </rPh>
    <rPh sb="5" eb="6">
      <t>ゴウ</t>
    </rPh>
    <rPh sb="6" eb="7">
      <t>ケイ</t>
    </rPh>
    <rPh sb="11" eb="13">
      <t>キョウイク</t>
    </rPh>
    <rPh sb="13" eb="16">
      <t>ホジョシャ</t>
    </rPh>
    <rPh sb="21" eb="23">
      <t>ホイク</t>
    </rPh>
    <rPh sb="23" eb="25">
      <t>カハイ</t>
    </rPh>
    <rPh sb="25" eb="26">
      <t>スウ</t>
    </rPh>
    <rPh sb="27" eb="29">
      <t>ジョウゲン</t>
    </rPh>
    <phoneticPr fontId="2"/>
  </si>
  <si>
    <t>施設名</t>
    <rPh sb="0" eb="1">
      <t>シ</t>
    </rPh>
    <rPh sb="1" eb="2">
      <t>セツ</t>
    </rPh>
    <phoneticPr fontId="2"/>
  </si>
  <si>
    <t>保育教諭
（氏名）</t>
    <rPh sb="0" eb="2">
      <t>ホイク</t>
    </rPh>
    <rPh sb="2" eb="4">
      <t>キョウユ</t>
    </rPh>
    <rPh sb="6" eb="8">
      <t>シメイ</t>
    </rPh>
    <phoneticPr fontId="2"/>
  </si>
  <si>
    <t>教育補助者
（氏名）</t>
    <rPh sb="0" eb="2">
      <t>キョウイク</t>
    </rPh>
    <rPh sb="2" eb="5">
      <t>ホジョシャ</t>
    </rPh>
    <rPh sb="7" eb="9">
      <t>シメイ</t>
    </rPh>
    <phoneticPr fontId="2"/>
  </si>
  <si>
    <t>保育士（氏名）</t>
    <rPh sb="0" eb="3">
      <t>ホイクシ</t>
    </rPh>
    <rPh sb="4" eb="6">
      <t>シメイ</t>
    </rPh>
    <phoneticPr fontId="2"/>
  </si>
  <si>
    <t>資格内容</t>
    <rPh sb="0" eb="2">
      <t>シカク</t>
    </rPh>
    <rPh sb="2" eb="4">
      <t>ナイヨウ</t>
    </rPh>
    <phoneticPr fontId="2"/>
  </si>
  <si>
    <t>勤　　務　　実　　績</t>
    <rPh sb="0" eb="1">
      <t>ツトム</t>
    </rPh>
    <rPh sb="3" eb="4">
      <t>ツトム</t>
    </rPh>
    <rPh sb="6" eb="7">
      <t>ジツ</t>
    </rPh>
    <rPh sb="9" eb="10">
      <t>セキ</t>
    </rPh>
    <phoneticPr fontId="2"/>
  </si>
  <si>
    <t>小学校教諭
又は養護教諭</t>
    <rPh sb="0" eb="3">
      <t>ショウガッコウ</t>
    </rPh>
    <rPh sb="3" eb="5">
      <t>キョウユ</t>
    </rPh>
    <rPh sb="6" eb="7">
      <t>マタ</t>
    </rPh>
    <rPh sb="8" eb="10">
      <t>ヨウゴ</t>
    </rPh>
    <rPh sb="10" eb="12">
      <t>キョウユ</t>
    </rPh>
    <phoneticPr fontId="2"/>
  </si>
  <si>
    <t>常勤職員数合計</t>
    <rPh sb="0" eb="2">
      <t>ジョウキン</t>
    </rPh>
    <rPh sb="2" eb="4">
      <t>ショクイン</t>
    </rPh>
    <rPh sb="4" eb="5">
      <t>スウ</t>
    </rPh>
    <rPh sb="5" eb="7">
      <t>ゴウケイ</t>
    </rPh>
    <phoneticPr fontId="2"/>
  </si>
  <si>
    <t>助保育教諭</t>
    <rPh sb="0" eb="1">
      <t>ジョ</t>
    </rPh>
    <rPh sb="1" eb="3">
      <t>ホイク</t>
    </rPh>
    <rPh sb="3" eb="5">
      <t>キョウユ</t>
    </rPh>
    <phoneticPr fontId="2"/>
  </si>
  <si>
    <t>施設名</t>
    <rPh sb="0" eb="1">
      <t>シ</t>
    </rPh>
    <rPh sb="1" eb="2">
      <t>セツ</t>
    </rPh>
    <rPh sb="2" eb="3">
      <t>メイ</t>
    </rPh>
    <phoneticPr fontId="2"/>
  </si>
  <si>
    <t>【保健師・看護師・准看護師】</t>
    <rPh sb="1" eb="3">
      <t>ホケン</t>
    </rPh>
    <rPh sb="3" eb="4">
      <t>シ</t>
    </rPh>
    <rPh sb="5" eb="7">
      <t>カンゴ</t>
    </rPh>
    <rPh sb="7" eb="8">
      <t>シ</t>
    </rPh>
    <rPh sb="9" eb="10">
      <t>ジュン</t>
    </rPh>
    <rPh sb="10" eb="12">
      <t>カンゴ</t>
    </rPh>
    <rPh sb="12" eb="13">
      <t>シ</t>
    </rPh>
    <phoneticPr fontId="2"/>
  </si>
  <si>
    <t>氏　名</t>
    <rPh sb="0" eb="1">
      <t>シ</t>
    </rPh>
    <rPh sb="2" eb="3">
      <t>メイ</t>
    </rPh>
    <phoneticPr fontId="2"/>
  </si>
  <si>
    <t>就業規則で定める常勤職員の１箇月の勤務時間数</t>
    <rPh sb="0" eb="2">
      <t>シュウギョウ</t>
    </rPh>
    <rPh sb="2" eb="4">
      <t>キソク</t>
    </rPh>
    <rPh sb="5" eb="6">
      <t>サダ</t>
    </rPh>
    <rPh sb="8" eb="10">
      <t>ジョウキン</t>
    </rPh>
    <rPh sb="10" eb="12">
      <t>ショクイン</t>
    </rPh>
    <rPh sb="14" eb="15">
      <t>カ</t>
    </rPh>
    <rPh sb="15" eb="16">
      <t>ゲツ</t>
    </rPh>
    <rPh sb="17" eb="19">
      <t>キンム</t>
    </rPh>
    <rPh sb="19" eb="21">
      <t>ジカン</t>
    </rPh>
    <rPh sb="21" eb="22">
      <t>スウ</t>
    </rPh>
    <phoneticPr fontId="2"/>
  </si>
  <si>
    <t>保健師</t>
    <rPh sb="0" eb="2">
      <t>ホケン</t>
    </rPh>
    <rPh sb="2" eb="3">
      <t>シ</t>
    </rPh>
    <phoneticPr fontId="2"/>
  </si>
  <si>
    <t>看護師</t>
    <rPh sb="0" eb="2">
      <t>カンゴ</t>
    </rPh>
    <rPh sb="2" eb="3">
      <t>シ</t>
    </rPh>
    <phoneticPr fontId="2"/>
  </si>
  <si>
    <t>准看護師</t>
    <rPh sb="0" eb="1">
      <t>ジュン</t>
    </rPh>
    <rPh sb="1" eb="3">
      <t>カンゴ</t>
    </rPh>
    <rPh sb="3" eb="4">
      <t>シ</t>
    </rPh>
    <phoneticPr fontId="2"/>
  </si>
  <si>
    <t>職員数合計</t>
    <rPh sb="0" eb="2">
      <t>ショクイン</t>
    </rPh>
    <rPh sb="2" eb="3">
      <t>スウ</t>
    </rPh>
    <rPh sb="3" eb="4">
      <t>ゴウ</t>
    </rPh>
    <rPh sb="4" eb="5">
      <t>ケイ</t>
    </rPh>
    <phoneticPr fontId="2"/>
  </si>
  <si>
    <t>学級編制調整加配加算</t>
    <rPh sb="0" eb="2">
      <t>ガッキュウ</t>
    </rPh>
    <rPh sb="2" eb="4">
      <t>ヘンセイ</t>
    </rPh>
    <rPh sb="4" eb="6">
      <t>チョウセイ</t>
    </rPh>
    <rPh sb="6" eb="8">
      <t>カハイ</t>
    </rPh>
    <rPh sb="8" eb="10">
      <t>カサン</t>
    </rPh>
    <phoneticPr fontId="2"/>
  </si>
  <si>
    <t xml:space="preserve">
入所児童数（本園）</t>
    <rPh sb="1" eb="3">
      <t>ニュウショ</t>
    </rPh>
    <rPh sb="3" eb="5">
      <t>ジドウ</t>
    </rPh>
    <rPh sb="5" eb="6">
      <t>スウ</t>
    </rPh>
    <rPh sb="7" eb="8">
      <t>ホン</t>
    </rPh>
    <rPh sb="8" eb="9">
      <t>エン</t>
    </rPh>
    <phoneticPr fontId="2"/>
  </si>
  <si>
    <t xml:space="preserve">
入所児童数（分園）</t>
    <rPh sb="1" eb="3">
      <t>ニュウショ</t>
    </rPh>
    <rPh sb="3" eb="5">
      <t>ジドウ</t>
    </rPh>
    <rPh sb="5" eb="6">
      <t>スウ</t>
    </rPh>
    <rPh sb="7" eb="9">
      <t>ブンエン</t>
    </rPh>
    <phoneticPr fontId="2"/>
  </si>
  <si>
    <t>合計
（本園）</t>
    <rPh sb="0" eb="1">
      <t>ゴウ</t>
    </rPh>
    <rPh sb="1" eb="2">
      <t>ケイ</t>
    </rPh>
    <rPh sb="4" eb="5">
      <t>ホン</t>
    </rPh>
    <rPh sb="5" eb="6">
      <t>エン</t>
    </rPh>
    <phoneticPr fontId="2"/>
  </si>
  <si>
    <t>合計
（分園）</t>
    <rPh sb="0" eb="1">
      <t>ゴウ</t>
    </rPh>
    <rPh sb="1" eb="2">
      <t>ケイ</t>
    </rPh>
    <rPh sb="4" eb="6">
      <t>ブンエン</t>
    </rPh>
    <phoneticPr fontId="2"/>
  </si>
  <si>
    <t>（４桁コード）</t>
    <rPh sb="2" eb="3">
      <t>ケタ</t>
    </rPh>
    <phoneticPr fontId="2"/>
  </si>
  <si>
    <t>（4桁コード）</t>
    <rPh sb="2" eb="3">
      <t>ケタ</t>
    </rPh>
    <phoneticPr fontId="2"/>
  </si>
  <si>
    <t>4桁コード</t>
    <rPh sb="1" eb="2">
      <t>ケタ</t>
    </rPh>
    <phoneticPr fontId="2"/>
  </si>
  <si>
    <t>必要保育士数</t>
    <rPh sb="0" eb="2">
      <t>ヒツヨウ</t>
    </rPh>
    <rPh sb="2" eb="5">
      <t>ホイクシ</t>
    </rPh>
    <rPh sb="5" eb="6">
      <t>スウ</t>
    </rPh>
    <phoneticPr fontId="2"/>
  </si>
  <si>
    <t>常勤換算</t>
    <rPh sb="0" eb="2">
      <t>ジョウキン</t>
    </rPh>
    <rPh sb="2" eb="4">
      <t>カンサン</t>
    </rPh>
    <phoneticPr fontId="2"/>
  </si>
  <si>
    <t>保健師・看護師</t>
    <rPh sb="0" eb="3">
      <t>ホケンシ</t>
    </rPh>
    <rPh sb="4" eb="7">
      <t>カンゴシ</t>
    </rPh>
    <phoneticPr fontId="2"/>
  </si>
  <si>
    <t>教育補助者非常勤</t>
    <rPh sb="0" eb="2">
      <t>キョウイク</t>
    </rPh>
    <rPh sb="2" eb="5">
      <t>ホジョシャ</t>
    </rPh>
    <rPh sb="5" eb="8">
      <t>ヒジョウキン</t>
    </rPh>
    <phoneticPr fontId="2"/>
  </si>
  <si>
    <t>過不足（4月）</t>
    <rPh sb="0" eb="3">
      <t>カブソク</t>
    </rPh>
    <rPh sb="5" eb="6">
      <t>ガツ</t>
    </rPh>
    <phoneticPr fontId="2"/>
  </si>
  <si>
    <t>過不足（5月）</t>
    <rPh sb="0" eb="3">
      <t>カブソク</t>
    </rPh>
    <rPh sb="5" eb="6">
      <t>ガツ</t>
    </rPh>
    <phoneticPr fontId="2"/>
  </si>
  <si>
    <t>過不足（6月）</t>
    <rPh sb="0" eb="3">
      <t>カブソク</t>
    </rPh>
    <rPh sb="5" eb="6">
      <t>ガツ</t>
    </rPh>
    <phoneticPr fontId="2"/>
  </si>
  <si>
    <t>過不足（7月）</t>
    <rPh sb="0" eb="3">
      <t>カブソク</t>
    </rPh>
    <rPh sb="5" eb="6">
      <t>ガツ</t>
    </rPh>
    <phoneticPr fontId="2"/>
  </si>
  <si>
    <t>過不足（8月）</t>
    <rPh sb="0" eb="3">
      <t>カブソク</t>
    </rPh>
    <rPh sb="5" eb="6">
      <t>ガツ</t>
    </rPh>
    <phoneticPr fontId="2"/>
  </si>
  <si>
    <t>過不足（9月）</t>
    <rPh sb="0" eb="3">
      <t>カブソク</t>
    </rPh>
    <rPh sb="5" eb="6">
      <t>ガツ</t>
    </rPh>
    <phoneticPr fontId="2"/>
  </si>
  <si>
    <t>過不足（10月）</t>
    <rPh sb="0" eb="3">
      <t>カブソク</t>
    </rPh>
    <rPh sb="6" eb="7">
      <t>ガツ</t>
    </rPh>
    <phoneticPr fontId="2"/>
  </si>
  <si>
    <t>過不足（11月）</t>
    <rPh sb="0" eb="3">
      <t>カブソク</t>
    </rPh>
    <rPh sb="6" eb="7">
      <t>ガツ</t>
    </rPh>
    <phoneticPr fontId="2"/>
  </si>
  <si>
    <t>過不足（12月）</t>
    <rPh sb="0" eb="3">
      <t>カブソク</t>
    </rPh>
    <rPh sb="6" eb="7">
      <t>ガツ</t>
    </rPh>
    <phoneticPr fontId="2"/>
  </si>
  <si>
    <t>過不足（1月）</t>
    <rPh sb="0" eb="3">
      <t>カブソク</t>
    </rPh>
    <rPh sb="5" eb="6">
      <t>ガツ</t>
    </rPh>
    <phoneticPr fontId="2"/>
  </si>
  <si>
    <t>過不足（2月）</t>
    <rPh sb="0" eb="3">
      <t>カブソク</t>
    </rPh>
    <rPh sb="5" eb="6">
      <t>ガツ</t>
    </rPh>
    <phoneticPr fontId="2"/>
  </si>
  <si>
    <t>過不足（3月）</t>
    <rPh sb="0" eb="3">
      <t>カブソク</t>
    </rPh>
    <rPh sb="5" eb="6">
      <t>ガツ</t>
    </rPh>
    <phoneticPr fontId="2"/>
  </si>
  <si>
    <t>うち1歳児加配対象児童数</t>
    <rPh sb="3" eb="5">
      <t>サイジ</t>
    </rPh>
    <rPh sb="5" eb="7">
      <t>カハイ</t>
    </rPh>
    <rPh sb="7" eb="9">
      <t>タイショウ</t>
    </rPh>
    <rPh sb="9" eb="11">
      <t>ジドウ</t>
    </rPh>
    <rPh sb="11" eb="12">
      <t>スウ</t>
    </rPh>
    <phoneticPr fontId="2"/>
  </si>
  <si>
    <t>２・３号</t>
    <rPh sb="3" eb="4">
      <t>ゴウ</t>
    </rPh>
    <phoneticPr fontId="2"/>
  </si>
  <si>
    <t>国制度給付費における加算</t>
    <phoneticPr fontId="2"/>
  </si>
  <si>
    <t>標準対応休憩保育士</t>
    <rPh sb="0" eb="2">
      <t>ヒョウジュン</t>
    </rPh>
    <rPh sb="2" eb="4">
      <t>タイオウ</t>
    </rPh>
    <rPh sb="4" eb="6">
      <t>キュウケイ</t>
    </rPh>
    <rPh sb="6" eb="8">
      <t>ホイク</t>
    </rPh>
    <rPh sb="8" eb="9">
      <t>シ</t>
    </rPh>
    <phoneticPr fontId="2"/>
  </si>
  <si>
    <t>0歳児</t>
    <rPh sb="1" eb="3">
      <t>サイジ</t>
    </rPh>
    <phoneticPr fontId="2"/>
  </si>
  <si>
    <t>1歳児</t>
    <rPh sb="1" eb="3">
      <t>サイジ</t>
    </rPh>
    <phoneticPr fontId="2"/>
  </si>
  <si>
    <t>2歳児</t>
    <rPh sb="1" eb="3">
      <t>サイジ</t>
    </rPh>
    <phoneticPr fontId="2"/>
  </si>
  <si>
    <t>3歳児</t>
    <rPh sb="1" eb="3">
      <t>サイジ</t>
    </rPh>
    <phoneticPr fontId="2"/>
  </si>
  <si>
    <t>4歳児</t>
    <rPh sb="1" eb="3">
      <t>サイジ</t>
    </rPh>
    <phoneticPr fontId="2"/>
  </si>
  <si>
    <t>5歳児</t>
    <rPh sb="1" eb="3">
      <t>サイジ</t>
    </rPh>
    <phoneticPr fontId="2"/>
  </si>
  <si>
    <t>標準保育時間対応</t>
  </si>
  <si>
    <t>0,1歳児の標準時間利用児の有無</t>
    <rPh sb="3" eb="4">
      <t>サイ</t>
    </rPh>
    <rPh sb="4" eb="5">
      <t>ジ</t>
    </rPh>
    <rPh sb="6" eb="8">
      <t>ヒョウジュン</t>
    </rPh>
    <rPh sb="8" eb="10">
      <t>ジカン</t>
    </rPh>
    <rPh sb="10" eb="12">
      <t>リヨウ</t>
    </rPh>
    <rPh sb="12" eb="13">
      <t>ジ</t>
    </rPh>
    <rPh sb="14" eb="16">
      <t>ウム</t>
    </rPh>
    <phoneticPr fontId="2"/>
  </si>
  <si>
    <t>標準時間利用児童の人数</t>
    <rPh sb="0" eb="2">
      <t>ヒョウジュン</t>
    </rPh>
    <rPh sb="2" eb="4">
      <t>ジカン</t>
    </rPh>
    <rPh sb="4" eb="6">
      <t>リヨウ</t>
    </rPh>
    <rPh sb="6" eb="8">
      <t>ジドウ</t>
    </rPh>
    <rPh sb="9" eb="11">
      <t>ニンズウ</t>
    </rPh>
    <phoneticPr fontId="2"/>
  </si>
  <si>
    <t>8.5時間</t>
    <rPh sb="3" eb="5">
      <t>ジカン</t>
    </rPh>
    <phoneticPr fontId="2"/>
  </si>
  <si>
    <t>9時間</t>
    <rPh sb="1" eb="3">
      <t>ジカン</t>
    </rPh>
    <phoneticPr fontId="2"/>
  </si>
  <si>
    <t>9.5時間</t>
    <rPh sb="3" eb="5">
      <t>ジカン</t>
    </rPh>
    <phoneticPr fontId="2"/>
  </si>
  <si>
    <t>10時間</t>
    <rPh sb="2" eb="4">
      <t>ジカン</t>
    </rPh>
    <phoneticPr fontId="2"/>
  </si>
  <si>
    <t>10.5時間</t>
    <rPh sb="4" eb="6">
      <t>ジカン</t>
    </rPh>
    <phoneticPr fontId="2"/>
  </si>
  <si>
    <t>11時間</t>
    <rPh sb="2" eb="4">
      <t>ジカン</t>
    </rPh>
    <phoneticPr fontId="2"/>
  </si>
  <si>
    <t>計</t>
    <rPh sb="0" eb="1">
      <t>ケイ</t>
    </rPh>
    <phoneticPr fontId="2"/>
  </si>
  <si>
    <t>必要職員数</t>
    <rPh sb="0" eb="5">
      <t>ヒツヨウショクインスウ</t>
    </rPh>
    <phoneticPr fontId="2"/>
  </si>
  <si>
    <t>利用人数</t>
    <rPh sb="0" eb="2">
      <t>リヨウ</t>
    </rPh>
    <rPh sb="2" eb="4">
      <t>ニンズウ</t>
    </rPh>
    <phoneticPr fontId="2"/>
  </si>
  <si>
    <t>割合</t>
    <rPh sb="0" eb="2">
      <t>ワリアイ</t>
    </rPh>
    <phoneticPr fontId="2"/>
  </si>
  <si>
    <t>５月</t>
  </si>
  <si>
    <t>６月</t>
  </si>
  <si>
    <t>７月</t>
  </si>
  <si>
    <t>８月</t>
  </si>
  <si>
    <t>９月</t>
  </si>
  <si>
    <t>１０月</t>
  </si>
  <si>
    <t>１１月</t>
  </si>
  <si>
    <t>１２月</t>
  </si>
  <si>
    <t>１月</t>
  </si>
  <si>
    <t>３月</t>
  </si>
  <si>
    <t>平均</t>
    <rPh sb="0" eb="2">
      <t>ヘイキン</t>
    </rPh>
    <phoneticPr fontId="2"/>
  </si>
  <si>
    <t>本市独自事業実施に要する保育士等数</t>
    <rPh sb="0" eb="2">
      <t>ホンシ</t>
    </rPh>
    <rPh sb="2" eb="4">
      <t>ドクジ</t>
    </rPh>
    <phoneticPr fontId="2"/>
  </si>
  <si>
    <t>４桁コード</t>
    <rPh sb="1" eb="2">
      <t>ケタ</t>
    </rPh>
    <phoneticPr fontId="2"/>
  </si>
  <si>
    <t>国基準＋
条例基準</t>
    <rPh sb="0" eb="1">
      <t>クニ</t>
    </rPh>
    <rPh sb="1" eb="3">
      <t>キジュン</t>
    </rPh>
    <rPh sb="5" eb="7">
      <t>ジョウレイ</t>
    </rPh>
    <rPh sb="7" eb="9">
      <t>キジュン</t>
    </rPh>
    <phoneticPr fontId="2"/>
  </si>
  <si>
    <t>障害児</t>
    <rPh sb="0" eb="2">
      <t>ショウガイ</t>
    </rPh>
    <rPh sb="2" eb="3">
      <t>ジ</t>
    </rPh>
    <phoneticPr fontId="2"/>
  </si>
  <si>
    <t>１歳児</t>
    <rPh sb="1" eb="3">
      <t>サイジ</t>
    </rPh>
    <phoneticPr fontId="2"/>
  </si>
  <si>
    <t>休憩対応</t>
    <rPh sb="0" eb="2">
      <t>キュウケイ</t>
    </rPh>
    <rPh sb="2" eb="4">
      <t>タイオウ</t>
    </rPh>
    <phoneticPr fontId="2"/>
  </si>
  <si>
    <t>標準時間休憩</t>
    <rPh sb="0" eb="2">
      <t>ヒョウジュン</t>
    </rPh>
    <rPh sb="2" eb="4">
      <t>ジカン</t>
    </rPh>
    <rPh sb="4" eb="6">
      <t>キュウケイ</t>
    </rPh>
    <phoneticPr fontId="2"/>
  </si>
  <si>
    <t>４月</t>
    <rPh sb="1" eb="2">
      <t>ガツ</t>
    </rPh>
    <phoneticPr fontId="2"/>
  </si>
  <si>
    <t>５月</t>
    <rPh sb="1" eb="2">
      <t>ガツ</t>
    </rPh>
    <phoneticPr fontId="2"/>
  </si>
  <si>
    <t>６月</t>
    <rPh sb="1" eb="2">
      <t>ガツ</t>
    </rPh>
    <phoneticPr fontId="2"/>
  </si>
  <si>
    <t>Ａ</t>
    <phoneticPr fontId="2"/>
  </si>
  <si>
    <t>実配置＞最大配置</t>
    <rPh sb="0" eb="1">
      <t>ジツ</t>
    </rPh>
    <rPh sb="1" eb="3">
      <t>ハイチ</t>
    </rPh>
    <rPh sb="4" eb="6">
      <t>サイダイ</t>
    </rPh>
    <rPh sb="6" eb="8">
      <t>ハイチ</t>
    </rPh>
    <phoneticPr fontId="2"/>
  </si>
  <si>
    <t>Ｂ</t>
    <phoneticPr fontId="2"/>
  </si>
  <si>
    <t>①＋②＜実配置＜最大配置</t>
    <rPh sb="4" eb="5">
      <t>ジツ</t>
    </rPh>
    <rPh sb="5" eb="7">
      <t>ハイチ</t>
    </rPh>
    <rPh sb="8" eb="10">
      <t>サイダイ</t>
    </rPh>
    <rPh sb="10" eb="12">
      <t>ハイチ</t>
    </rPh>
    <phoneticPr fontId="2"/>
  </si>
  <si>
    <t>Ｃ</t>
    <phoneticPr fontId="2"/>
  </si>
  <si>
    <t>実配置＜①＋②</t>
    <rPh sb="0" eb="1">
      <t>ジツ</t>
    </rPh>
    <rPh sb="1" eb="3">
      <t>ハイチ</t>
    </rPh>
    <phoneticPr fontId="2"/>
  </si>
  <si>
    <t>認定別</t>
    <rPh sb="0" eb="2">
      <t>ニンテイ</t>
    </rPh>
    <rPh sb="2" eb="3">
      <t>ベツ</t>
    </rPh>
    <phoneticPr fontId="2"/>
  </si>
  <si>
    <t>標準保育時間対応
（分園分）</t>
    <rPh sb="0" eb="2">
      <t>ヒョウジュン</t>
    </rPh>
    <rPh sb="2" eb="4">
      <t>ホイク</t>
    </rPh>
    <rPh sb="4" eb="6">
      <t>ジカン</t>
    </rPh>
    <rPh sb="6" eb="8">
      <t>タイオウ</t>
    </rPh>
    <rPh sb="10" eb="11">
      <t>ブン</t>
    </rPh>
    <rPh sb="11" eb="12">
      <t>エン</t>
    </rPh>
    <rPh sb="12" eb="13">
      <t>ブン</t>
    </rPh>
    <phoneticPr fontId="2"/>
  </si>
  <si>
    <t>標準保育時間対応
（本園分）</t>
    <rPh sb="0" eb="2">
      <t>ヒョウジュン</t>
    </rPh>
    <rPh sb="2" eb="4">
      <t>ホイク</t>
    </rPh>
    <rPh sb="4" eb="6">
      <t>ジカン</t>
    </rPh>
    <rPh sb="6" eb="8">
      <t>タイオウ</t>
    </rPh>
    <rPh sb="10" eb="11">
      <t>ホン</t>
    </rPh>
    <rPh sb="11" eb="12">
      <t>エン</t>
    </rPh>
    <rPh sb="12" eb="13">
      <t>ブン</t>
    </rPh>
    <phoneticPr fontId="2"/>
  </si>
  <si>
    <t>様式ver.</t>
    <rPh sb="0" eb="2">
      <t>ヨウシキ</t>
    </rPh>
    <phoneticPr fontId="42"/>
  </si>
  <si>
    <t>利用定員（本園）</t>
    <rPh sb="5" eb="6">
      <t>ホン</t>
    </rPh>
    <rPh sb="6" eb="7">
      <t>エン</t>
    </rPh>
    <phoneticPr fontId="2"/>
  </si>
  <si>
    <t>利用定員（分園）</t>
    <rPh sb="5" eb="7">
      <t>ブンエン</t>
    </rPh>
    <phoneticPr fontId="2"/>
  </si>
  <si>
    <t>2号・3号の利用定員が90人以下の場合</t>
    <rPh sb="1" eb="2">
      <t>ゴウ</t>
    </rPh>
    <rPh sb="4" eb="5">
      <t>ゴウ</t>
    </rPh>
    <rPh sb="13" eb="14">
      <t>ニン</t>
    </rPh>
    <rPh sb="14" eb="16">
      <t>イカ</t>
    </rPh>
    <rPh sb="17" eb="19">
      <t>バアイ</t>
    </rPh>
    <phoneticPr fontId="2"/>
  </si>
  <si>
    <t>年度平均</t>
    <rPh sb="0" eb="2">
      <t>ネンド</t>
    </rPh>
    <rPh sb="2" eb="4">
      <t>ヘイキン</t>
    </rPh>
    <phoneticPr fontId="2"/>
  </si>
  <si>
    <t>＜新補助集計用＞</t>
    <rPh sb="1" eb="2">
      <t>シン</t>
    </rPh>
    <rPh sb="2" eb="4">
      <t>ホジョ</t>
    </rPh>
    <rPh sb="4" eb="6">
      <t>シュウケイ</t>
    </rPh>
    <rPh sb="6" eb="7">
      <t>ヨウ</t>
    </rPh>
    <phoneticPr fontId="2"/>
  </si>
  <si>
    <t>＜条例基準集計用＞</t>
    <rPh sb="1" eb="3">
      <t>ジョウレイ</t>
    </rPh>
    <rPh sb="3" eb="5">
      <t>キジュン</t>
    </rPh>
    <rPh sb="5" eb="7">
      <t>シュウケイ</t>
    </rPh>
    <rPh sb="7" eb="8">
      <t>ヨウ</t>
    </rPh>
    <phoneticPr fontId="2"/>
  </si>
  <si>
    <t>必要職員数
【市基準】</t>
    <rPh sb="0" eb="2">
      <t>ヒツヨウ</t>
    </rPh>
    <rPh sb="2" eb="5">
      <t>ショクインスウ</t>
    </rPh>
    <phoneticPr fontId="2"/>
  </si>
  <si>
    <t>常勤換算後
実配置数
ア</t>
    <rPh sb="0" eb="2">
      <t>ジョウキン</t>
    </rPh>
    <rPh sb="2" eb="4">
      <t>カンサン</t>
    </rPh>
    <rPh sb="4" eb="5">
      <t>ゴ</t>
    </rPh>
    <rPh sb="6" eb="7">
      <t>ジツ</t>
    </rPh>
    <rPh sb="7" eb="9">
      <t>ハイチ</t>
    </rPh>
    <rPh sb="9" eb="10">
      <t>スウ</t>
    </rPh>
    <phoneticPr fontId="2"/>
  </si>
  <si>
    <t>補助算定時
の職員数
（※２）</t>
    <rPh sb="0" eb="2">
      <t>ホジョ</t>
    </rPh>
    <rPh sb="2" eb="4">
      <t>サンテイ</t>
    </rPh>
    <rPh sb="4" eb="5">
      <t>ジ</t>
    </rPh>
    <rPh sb="7" eb="9">
      <t>ショクイン</t>
    </rPh>
    <rPh sb="9" eb="10">
      <t>スウ</t>
    </rPh>
    <phoneticPr fontId="2"/>
  </si>
  <si>
    <r>
      <t xml:space="preserve">各月初日入所児童数
</t>
    </r>
    <r>
      <rPr>
        <b/>
        <sz val="10"/>
        <color rgb="FFFF0000"/>
        <rFont val="ＭＳ Ｐゴシック"/>
        <family val="3"/>
        <charset val="128"/>
      </rPr>
      <t>（利用定員内外及び他市町村児童を含む。私的契約児は含まない。）</t>
    </r>
    <rPh sb="0" eb="2">
      <t>カクツキ</t>
    </rPh>
    <rPh sb="2" eb="4">
      <t>ショニチ</t>
    </rPh>
    <rPh sb="4" eb="6">
      <t>ニュウショ</t>
    </rPh>
    <rPh sb="6" eb="9">
      <t>ジドウスウ</t>
    </rPh>
    <rPh sb="15" eb="17">
      <t>ナイガイ</t>
    </rPh>
    <rPh sb="17" eb="18">
      <t>オヨ</t>
    </rPh>
    <rPh sb="19" eb="20">
      <t>タ</t>
    </rPh>
    <rPh sb="20" eb="23">
      <t>シチョウソン</t>
    </rPh>
    <rPh sb="23" eb="25">
      <t>ジドウ</t>
    </rPh>
    <rPh sb="26" eb="27">
      <t>フク</t>
    </rPh>
    <rPh sb="29" eb="31">
      <t>シテキ</t>
    </rPh>
    <rPh sb="31" eb="33">
      <t>ケイヤク</t>
    </rPh>
    <rPh sb="33" eb="34">
      <t>ジ</t>
    </rPh>
    <rPh sb="35" eb="36">
      <t>フク</t>
    </rPh>
    <phoneticPr fontId="2"/>
  </si>
  <si>
    <t>(給付関係）</t>
    <rPh sb="1" eb="5">
      <t>キュウフカンケイ</t>
    </rPh>
    <phoneticPr fontId="2"/>
  </si>
  <si>
    <t>１号
児童分</t>
    <rPh sb="1" eb="2">
      <t>ゴウ</t>
    </rPh>
    <rPh sb="3" eb="5">
      <t>ジドウ</t>
    </rPh>
    <rPh sb="5" eb="6">
      <t>ブン</t>
    </rPh>
    <phoneticPr fontId="2"/>
  </si>
  <si>
    <t>２・３号
児童分</t>
    <phoneticPr fontId="2"/>
  </si>
  <si>
    <t>障害児加配</t>
    <rPh sb="0" eb="3">
      <t>ショウガイジ</t>
    </rPh>
    <rPh sb="3" eb="5">
      <t>カハイ</t>
    </rPh>
    <phoneticPr fontId="2"/>
  </si>
  <si>
    <t>１号分</t>
    <phoneticPr fontId="2"/>
  </si>
  <si>
    <t>２・３号分</t>
    <phoneticPr fontId="2"/>
  </si>
  <si>
    <t>１号分</t>
    <rPh sb="1" eb="2">
      <t>ゴウ</t>
    </rPh>
    <rPh sb="2" eb="3">
      <t>ブン</t>
    </rPh>
    <phoneticPr fontId="2"/>
  </si>
  <si>
    <t>２・３号分</t>
    <rPh sb="3" eb="4">
      <t>ゴウ</t>
    </rPh>
    <rPh sb="4" eb="5">
      <t>ブン</t>
    </rPh>
    <phoneticPr fontId="2"/>
  </si>
  <si>
    <t>⑤</t>
  </si>
  <si>
    <t>⑥</t>
  </si>
  <si>
    <t>⑦</t>
    <phoneticPr fontId="2"/>
  </si>
  <si>
    <t>⑧</t>
    <phoneticPr fontId="2"/>
  </si>
  <si>
    <t>⑨</t>
    <phoneticPr fontId="2"/>
  </si>
  <si>
    <t>⑩</t>
    <phoneticPr fontId="2"/>
  </si>
  <si>
    <t>補助算定時の職員数（保育士等分）</t>
    <rPh sb="0" eb="2">
      <t>ホジョ</t>
    </rPh>
    <rPh sb="2" eb="4">
      <t>サンテイ</t>
    </rPh>
    <rPh sb="4" eb="5">
      <t>ジ</t>
    </rPh>
    <rPh sb="6" eb="8">
      <t>ショクイン</t>
    </rPh>
    <rPh sb="8" eb="9">
      <t>スウ</t>
    </rPh>
    <rPh sb="10" eb="13">
      <t>ホイクシ</t>
    </rPh>
    <rPh sb="13" eb="14">
      <t>トウ</t>
    </rPh>
    <rPh sb="14" eb="15">
      <t>ブン</t>
    </rPh>
    <phoneticPr fontId="2"/>
  </si>
  <si>
    <t>判定（保育士等分）</t>
    <phoneticPr fontId="2"/>
  </si>
  <si>
    <t>③+⑤</t>
    <phoneticPr fontId="2"/>
  </si>
  <si>
    <t>③+⑤+⑥</t>
    <phoneticPr fontId="2"/>
  </si>
  <si>
    <t>③+⑤+⑥+⑦</t>
    <phoneticPr fontId="2"/>
  </si>
  <si>
    <t>③+⑤+⑥+⑦+⑧</t>
    <phoneticPr fontId="2"/>
  </si>
  <si>
    <t>最大配置数</t>
    <rPh sb="0" eb="5">
      <t>サイダイハイチスウ</t>
    </rPh>
    <phoneticPr fontId="2"/>
  </si>
  <si>
    <t>引用値</t>
    <phoneticPr fontId="2"/>
  </si>
  <si>
    <t>利用定員</t>
    <rPh sb="0" eb="2">
      <t>リヨウ</t>
    </rPh>
    <rPh sb="2" eb="4">
      <t>テイイン</t>
    </rPh>
    <phoneticPr fontId="2"/>
  </si>
  <si>
    <t>０歳・標準</t>
    <rPh sb="1" eb="2">
      <t>サイ</t>
    </rPh>
    <rPh sb="3" eb="5">
      <t>ヒョウジュン</t>
    </rPh>
    <phoneticPr fontId="2"/>
  </si>
  <si>
    <t>１歳・標準</t>
    <rPh sb="1" eb="2">
      <t>サイ</t>
    </rPh>
    <rPh sb="3" eb="5">
      <t>ヒョウジュン</t>
    </rPh>
    <phoneticPr fontId="2"/>
  </si>
  <si>
    <t>２歳・標準</t>
    <rPh sb="1" eb="2">
      <t>サイ</t>
    </rPh>
    <rPh sb="3" eb="5">
      <t>ヒョウジュン</t>
    </rPh>
    <phoneticPr fontId="2"/>
  </si>
  <si>
    <t>３歳・標準</t>
    <rPh sb="1" eb="2">
      <t>サイ</t>
    </rPh>
    <rPh sb="3" eb="5">
      <t>ヒョウジュン</t>
    </rPh>
    <phoneticPr fontId="2"/>
  </si>
  <si>
    <t>４歳・標準</t>
    <rPh sb="1" eb="2">
      <t>サイ</t>
    </rPh>
    <rPh sb="3" eb="5">
      <t>ヒョウジュン</t>
    </rPh>
    <phoneticPr fontId="2"/>
  </si>
  <si>
    <t>５歳・標準</t>
    <rPh sb="1" eb="2">
      <t>サイ</t>
    </rPh>
    <rPh sb="3" eb="5">
      <t>ヒョウジュン</t>
    </rPh>
    <phoneticPr fontId="2"/>
  </si>
  <si>
    <t>０歳・短</t>
    <rPh sb="1" eb="2">
      <t>サイ</t>
    </rPh>
    <rPh sb="3" eb="4">
      <t>タン</t>
    </rPh>
    <phoneticPr fontId="2"/>
  </si>
  <si>
    <t>１歳・短</t>
    <rPh sb="1" eb="2">
      <t>サイ</t>
    </rPh>
    <rPh sb="3" eb="4">
      <t>タン</t>
    </rPh>
    <phoneticPr fontId="2"/>
  </si>
  <si>
    <t>２歳・短</t>
    <rPh sb="1" eb="2">
      <t>サイ</t>
    </rPh>
    <rPh sb="3" eb="4">
      <t>タン</t>
    </rPh>
    <phoneticPr fontId="2"/>
  </si>
  <si>
    <t>３歳・短</t>
    <rPh sb="1" eb="2">
      <t>サイ</t>
    </rPh>
    <rPh sb="3" eb="4">
      <t>タン</t>
    </rPh>
    <phoneticPr fontId="2"/>
  </si>
  <si>
    <t>４歳・短</t>
    <rPh sb="1" eb="2">
      <t>サイ</t>
    </rPh>
    <rPh sb="3" eb="4">
      <t>タン</t>
    </rPh>
    <phoneticPr fontId="2"/>
  </si>
  <si>
    <t>５歳・短</t>
    <rPh sb="1" eb="2">
      <t>サイ</t>
    </rPh>
    <rPh sb="3" eb="4">
      <t>タン</t>
    </rPh>
    <phoneticPr fontId="2"/>
  </si>
  <si>
    <t>クエリ抽出用</t>
    <rPh sb="3" eb="6">
      <t>チュウシュツヨウ</t>
    </rPh>
    <phoneticPr fontId="2"/>
  </si>
  <si>
    <t>１号分</t>
    <phoneticPr fontId="2"/>
  </si>
  <si>
    <t>２・３号分</t>
    <phoneticPr fontId="2"/>
  </si>
  <si>
    <t>最大配置数
イ</t>
    <rPh sb="0" eb="2">
      <t>サイダイ</t>
    </rPh>
    <rPh sb="2" eb="4">
      <t>ハイチ</t>
    </rPh>
    <rPh sb="4" eb="5">
      <t>スウ</t>
    </rPh>
    <phoneticPr fontId="2"/>
  </si>
  <si>
    <t>＜原則、２・３号のみ＞（※1）</t>
    <rPh sb="1" eb="3">
      <t>ゲンソク</t>
    </rPh>
    <rPh sb="7" eb="8">
      <t>ゴウ</t>
    </rPh>
    <phoneticPr fontId="2"/>
  </si>
  <si>
    <t>※２． ⑨は、①が、（イ－④）の数を下回るときは、①を満たすまで、③に、⑤→⑥→⑦→⑧の順に加算した合計とする。
　　　  ⑩は、④と②の低い方を採用する。なお②は、④の範囲内で、アから③を引いた数とするが、その数が②の数を下回る場合は、１号分から充当するものとする）</t>
    <rPh sb="16" eb="17">
      <t>カズ</t>
    </rPh>
    <rPh sb="50" eb="52">
      <t>ゴウケイ</t>
    </rPh>
    <rPh sb="69" eb="70">
      <t>ヒク</t>
    </rPh>
    <rPh sb="71" eb="72">
      <t>ホウ</t>
    </rPh>
    <rPh sb="73" eb="75">
      <t>サイヨウ</t>
    </rPh>
    <rPh sb="85" eb="88">
      <t>ハンイナイ</t>
    </rPh>
    <rPh sb="95" eb="96">
      <t>ヒ</t>
    </rPh>
    <rPh sb="98" eb="99">
      <t>カズ</t>
    </rPh>
    <rPh sb="106" eb="107">
      <t>カズ</t>
    </rPh>
    <rPh sb="110" eb="111">
      <t>カズ</t>
    </rPh>
    <rPh sb="112" eb="114">
      <t>シタマワ</t>
    </rPh>
    <rPh sb="115" eb="117">
      <t>バアイ</t>
    </rPh>
    <rPh sb="120" eb="121">
      <t>ゴウ</t>
    </rPh>
    <rPh sb="121" eb="122">
      <t>ブン</t>
    </rPh>
    <rPh sb="124" eb="126">
      <t>ジュウトウ</t>
    </rPh>
    <phoneticPr fontId="2"/>
  </si>
  <si>
    <r>
      <t>①－（</t>
    </r>
    <r>
      <rPr>
        <u/>
        <sz val="11"/>
        <rFont val="ＭＳ Ｐゴシック"/>
        <family val="3"/>
        <charset val="128"/>
      </rPr>
      <t>③+・・・</t>
    </r>
    <r>
      <rPr>
        <sz val="11"/>
        <rFont val="ＭＳ Ｐゴシック"/>
        <family val="3"/>
        <charset val="128"/>
      </rPr>
      <t>）</t>
    </r>
    <phoneticPr fontId="2"/>
  </si>
  <si>
    <t>※１．認定こども園においては、②④⑩を除き、１号必要職員数を除く数値</t>
    <rPh sb="3" eb="5">
      <t>ニンテイ</t>
    </rPh>
    <rPh sb="8" eb="9">
      <t>エン</t>
    </rPh>
    <rPh sb="19" eb="20">
      <t>ノゾ</t>
    </rPh>
    <rPh sb="23" eb="24">
      <t>ゴウ</t>
    </rPh>
    <rPh sb="24" eb="26">
      <t>ヒツヨウ</t>
    </rPh>
    <rPh sb="26" eb="29">
      <t>ショクインスウ</t>
    </rPh>
    <rPh sb="30" eb="31">
      <t>ノゾ</t>
    </rPh>
    <rPh sb="32" eb="34">
      <t>スウチ</t>
    </rPh>
    <phoneticPr fontId="2"/>
  </si>
  <si>
    <t>最大保育士数
(人件費補助金分)</t>
    <rPh sb="0" eb="2">
      <t>サイダイ</t>
    </rPh>
    <rPh sb="2" eb="5">
      <t>ホイクシ</t>
    </rPh>
    <rPh sb="5" eb="6">
      <t>スウ</t>
    </rPh>
    <phoneticPr fontId="2"/>
  </si>
  <si>
    <t>「人件費等補助金」及び「障害児加配補助金」の算定に係る職員数について</t>
    <rPh sb="1" eb="4">
      <t>ジンケンヒ</t>
    </rPh>
    <rPh sb="4" eb="5">
      <t>トウ</t>
    </rPh>
    <rPh sb="5" eb="8">
      <t>ホジョキン</t>
    </rPh>
    <rPh sb="9" eb="10">
      <t>オヨ</t>
    </rPh>
    <rPh sb="12" eb="14">
      <t>ショウガイ</t>
    </rPh>
    <rPh sb="14" eb="15">
      <t>ジ</t>
    </rPh>
    <rPh sb="15" eb="17">
      <t>カハイ</t>
    </rPh>
    <rPh sb="17" eb="20">
      <t>ホジョキン</t>
    </rPh>
    <rPh sb="22" eb="24">
      <t>サンテイ</t>
    </rPh>
    <rPh sb="25" eb="26">
      <t>カカ</t>
    </rPh>
    <rPh sb="27" eb="29">
      <t>ショクイン</t>
    </rPh>
    <rPh sb="29" eb="30">
      <t>スウ</t>
    </rPh>
    <phoneticPr fontId="2"/>
  </si>
  <si>
    <t>障害児補助金分</t>
    <rPh sb="0" eb="2">
      <t>ショウガイ</t>
    </rPh>
    <rPh sb="2" eb="3">
      <t>ジ</t>
    </rPh>
    <rPh sb="3" eb="6">
      <t>ホジョキン</t>
    </rPh>
    <rPh sb="6" eb="7">
      <t>ブン</t>
    </rPh>
    <phoneticPr fontId="2"/>
  </si>
  <si>
    <t>「人件費等補助金」及び「障害児加配補助金」の算定対象となる本市独自の加配保育士等数</t>
    <rPh sb="1" eb="4">
      <t>ジンケンヒ</t>
    </rPh>
    <rPh sb="4" eb="5">
      <t>トウ</t>
    </rPh>
    <rPh sb="5" eb="8">
      <t>ホジョキン</t>
    </rPh>
    <rPh sb="9" eb="10">
      <t>オヨ</t>
    </rPh>
    <rPh sb="12" eb="14">
      <t>ショウガイ</t>
    </rPh>
    <rPh sb="14" eb="15">
      <t>ジ</t>
    </rPh>
    <rPh sb="15" eb="17">
      <t>カハイ</t>
    </rPh>
    <rPh sb="17" eb="20">
      <t>ホジョキン</t>
    </rPh>
    <rPh sb="22" eb="24">
      <t>サンテイ</t>
    </rPh>
    <rPh sb="24" eb="26">
      <t>タイショウ</t>
    </rPh>
    <rPh sb="29" eb="31">
      <t>ホンシ</t>
    </rPh>
    <rPh sb="31" eb="33">
      <t>ドクジ</t>
    </rPh>
    <rPh sb="34" eb="36">
      <t>カハイ</t>
    </rPh>
    <rPh sb="36" eb="39">
      <t>ホイクシ</t>
    </rPh>
    <rPh sb="39" eb="40">
      <t>トウ</t>
    </rPh>
    <rPh sb="40" eb="41">
      <t>スウ</t>
    </rPh>
    <phoneticPr fontId="2"/>
  </si>
  <si>
    <r>
      <rPr>
        <b/>
        <sz val="8"/>
        <rFont val="ＭＳ Ｐゴシック"/>
        <family val="3"/>
        <charset val="128"/>
      </rPr>
      <t>常勤専従保育士</t>
    </r>
    <r>
      <rPr>
        <sz val="8"/>
        <rFont val="ＭＳ Ｐゴシック"/>
        <family val="3"/>
        <charset val="128"/>
      </rPr>
      <t xml:space="preserve">
（園長は含めない。）</t>
    </r>
    <rPh sb="0" eb="2">
      <t>ジョウキン</t>
    </rPh>
    <rPh sb="2" eb="4">
      <t>センジュウ</t>
    </rPh>
    <rPh sb="4" eb="7">
      <t>ホイクシ</t>
    </rPh>
    <rPh sb="9" eb="11">
      <t>エンチョウ</t>
    </rPh>
    <rPh sb="12" eb="13">
      <t>フク</t>
    </rPh>
    <phoneticPr fontId="2"/>
  </si>
  <si>
    <t>常勤非専従・非常勤保育士</t>
    <rPh sb="0" eb="2">
      <t>ジョウキン</t>
    </rPh>
    <rPh sb="2" eb="3">
      <t>ヒ</t>
    </rPh>
    <rPh sb="3" eb="5">
      <t>センジュウ</t>
    </rPh>
    <rPh sb="6" eb="9">
      <t>ヒジョウキン</t>
    </rPh>
    <rPh sb="9" eb="12">
      <t>ホイクシ</t>
    </rPh>
    <phoneticPr fontId="2"/>
  </si>
  <si>
    <t>うち常勤換算後の数</t>
    <phoneticPr fontId="2"/>
  </si>
  <si>
    <t>【非専従の常勤保育士及び非常勤の保育教諭】</t>
    <rPh sb="1" eb="2">
      <t>ヒ</t>
    </rPh>
    <rPh sb="2" eb="4">
      <t>センジュウ</t>
    </rPh>
    <rPh sb="5" eb="7">
      <t>ジョウキン</t>
    </rPh>
    <rPh sb="7" eb="9">
      <t>ホイク</t>
    </rPh>
    <rPh sb="9" eb="10">
      <t>シ</t>
    </rPh>
    <rPh sb="10" eb="11">
      <t>オヨ</t>
    </rPh>
    <rPh sb="12" eb="15">
      <t>ヒジョウキン</t>
    </rPh>
    <rPh sb="16" eb="18">
      <t>ホイク</t>
    </rPh>
    <rPh sb="18" eb="20">
      <t>キョウユ</t>
    </rPh>
    <phoneticPr fontId="2"/>
  </si>
  <si>
    <t>人件費
補助金分</t>
    <rPh sb="0" eb="3">
      <t>ジンケンヒ</t>
    </rPh>
    <rPh sb="4" eb="7">
      <t>ホジョキン</t>
    </rPh>
    <rPh sb="7" eb="8">
      <t>ブン</t>
    </rPh>
    <phoneticPr fontId="2"/>
  </si>
  <si>
    <r>
      <t>【常勤の</t>
    </r>
    <r>
      <rPr>
        <b/>
        <sz val="18"/>
        <color rgb="FFFF0000"/>
        <rFont val="ＭＳ Ｐゴシック"/>
        <family val="3"/>
        <charset val="128"/>
      </rPr>
      <t>専従</t>
    </r>
    <r>
      <rPr>
        <b/>
        <sz val="18"/>
        <rFont val="ＭＳ Ｐゴシック"/>
        <family val="3"/>
        <charset val="128"/>
      </rPr>
      <t>保育士】</t>
    </r>
    <rPh sb="1" eb="3">
      <t>ジョウキン</t>
    </rPh>
    <rPh sb="4" eb="6">
      <t>センジュウ</t>
    </rPh>
    <rPh sb="6" eb="9">
      <t>ホイクシ</t>
    </rPh>
    <phoneticPr fontId="2"/>
  </si>
  <si>
    <t>副園長、教頭、主観保育教諭、指導保育教諭、保育教諭及び講師</t>
    <rPh sb="0" eb="3">
      <t>フクエンチョウ</t>
    </rPh>
    <rPh sb="4" eb="6">
      <t>キョウトウ</t>
    </rPh>
    <rPh sb="7" eb="9">
      <t>シュカン</t>
    </rPh>
    <rPh sb="9" eb="11">
      <t>ホイク</t>
    </rPh>
    <rPh sb="11" eb="13">
      <t>キョウユ</t>
    </rPh>
    <rPh sb="14" eb="16">
      <t>シドウ</t>
    </rPh>
    <rPh sb="16" eb="18">
      <t>ホイク</t>
    </rPh>
    <rPh sb="18" eb="20">
      <t>キョウユ</t>
    </rPh>
    <rPh sb="21" eb="23">
      <t>ホイク</t>
    </rPh>
    <rPh sb="23" eb="25">
      <t>キョウユ</t>
    </rPh>
    <rPh sb="25" eb="26">
      <t>オヨ</t>
    </rPh>
    <rPh sb="27" eb="29">
      <t>コウシ</t>
    </rPh>
    <phoneticPr fontId="2"/>
  </si>
  <si>
    <t>分園における２・３号の標準時間利用児童の内訳を入力してください！（本園分は様式１-１に入力し、こちらには入力しないでください！）</t>
    <rPh sb="0" eb="2">
      <t>ブンエン</t>
    </rPh>
    <rPh sb="9" eb="10">
      <t>ゴウ</t>
    </rPh>
    <rPh sb="11" eb="13">
      <t>ヒョウジュン</t>
    </rPh>
    <rPh sb="13" eb="15">
      <t>ジカン</t>
    </rPh>
    <rPh sb="15" eb="17">
      <t>リヨウ</t>
    </rPh>
    <rPh sb="17" eb="19">
      <t>ジドウ</t>
    </rPh>
    <rPh sb="20" eb="22">
      <t>ウチワケ</t>
    </rPh>
    <rPh sb="23" eb="25">
      <t>ニュウリョク</t>
    </rPh>
    <rPh sb="33" eb="34">
      <t>ホン</t>
    </rPh>
    <rPh sb="34" eb="35">
      <t>エン</t>
    </rPh>
    <rPh sb="35" eb="36">
      <t>ブン</t>
    </rPh>
    <rPh sb="37" eb="39">
      <t>ヨウシキ</t>
    </rPh>
    <rPh sb="43" eb="45">
      <t>ニュウリョク</t>
    </rPh>
    <rPh sb="52" eb="54">
      <t>ニュウリョク</t>
    </rPh>
    <phoneticPr fontId="2"/>
  </si>
  <si>
    <t>※水色の部分は計算式が入っているため、入力できません。</t>
    <rPh sb="1" eb="3">
      <t>ミズイロ</t>
    </rPh>
    <rPh sb="4" eb="6">
      <t>ブブン</t>
    </rPh>
    <rPh sb="7" eb="9">
      <t>ケイサン</t>
    </rPh>
    <rPh sb="9" eb="10">
      <t>シキ</t>
    </rPh>
    <rPh sb="11" eb="12">
      <t>ハイ</t>
    </rPh>
    <rPh sb="19" eb="21">
      <t>ニュウリョク</t>
    </rPh>
    <phoneticPr fontId="2"/>
  </si>
  <si>
    <r>
      <t>本園における</t>
    </r>
    <r>
      <rPr>
        <b/>
        <u/>
        <sz val="14"/>
        <rFont val="ＭＳ Ｐゴシック"/>
        <family val="3"/>
        <charset val="128"/>
      </rPr>
      <t>２・３号</t>
    </r>
    <r>
      <rPr>
        <b/>
        <sz val="14"/>
        <rFont val="ＭＳ Ｐゴシック"/>
        <family val="3"/>
        <charset val="128"/>
      </rPr>
      <t>の標準時間利用児童の内訳を入力してください！（分園分は様式１-２に入力し、こちらには入力しないでください！）</t>
    </r>
    <rPh sb="0" eb="2">
      <t>ホンエン</t>
    </rPh>
    <rPh sb="9" eb="10">
      <t>ゴウ</t>
    </rPh>
    <rPh sb="11" eb="13">
      <t>ヒョウジュン</t>
    </rPh>
    <rPh sb="13" eb="15">
      <t>ジカン</t>
    </rPh>
    <rPh sb="15" eb="17">
      <t>リヨウ</t>
    </rPh>
    <rPh sb="17" eb="19">
      <t>ジドウ</t>
    </rPh>
    <rPh sb="20" eb="22">
      <t>ウチワケ</t>
    </rPh>
    <rPh sb="23" eb="25">
      <t>ニュウリョク</t>
    </rPh>
    <rPh sb="33" eb="35">
      <t>ブンエン</t>
    </rPh>
    <rPh sb="35" eb="36">
      <t>ブン</t>
    </rPh>
    <rPh sb="37" eb="39">
      <t>ヨウシキ</t>
    </rPh>
    <rPh sb="43" eb="45">
      <t>ニュウリョク</t>
    </rPh>
    <rPh sb="52" eb="54">
      <t>ニュウリョク</t>
    </rPh>
    <phoneticPr fontId="2"/>
  </si>
  <si>
    <t>【補助算定職員数（人件費等補助金関係）】</t>
    <rPh sb="1" eb="3">
      <t>ホジョ</t>
    </rPh>
    <rPh sb="3" eb="5">
      <t>サンテイ</t>
    </rPh>
    <rPh sb="5" eb="8">
      <t>ショクインスウ</t>
    </rPh>
    <rPh sb="9" eb="12">
      <t>ジンケンヒ</t>
    </rPh>
    <rPh sb="12" eb="13">
      <t>トウ</t>
    </rPh>
    <rPh sb="13" eb="16">
      <t>ホジョキン</t>
    </rPh>
    <rPh sb="16" eb="18">
      <t>カンケイ</t>
    </rPh>
    <phoneticPr fontId="2"/>
  </si>
  <si>
    <t>【過不足（人件費等補助金関係）】</t>
    <rPh sb="1" eb="4">
      <t>カフソク</t>
    </rPh>
    <rPh sb="5" eb="8">
      <t>ジンケンヒ</t>
    </rPh>
    <rPh sb="8" eb="9">
      <t>トウ</t>
    </rPh>
    <rPh sb="9" eb="12">
      <t>ホジョキン</t>
    </rPh>
    <rPh sb="12" eb="14">
      <t>カンケイ</t>
    </rPh>
    <phoneticPr fontId="2"/>
  </si>
  <si>
    <t>※人件費等補助金の補助算定職員数は、年間平均で算出します。</t>
    <phoneticPr fontId="2"/>
  </si>
  <si>
    <t>職種別補助金</t>
    <rPh sb="0" eb="3">
      <t>ショクシュベツ</t>
    </rPh>
    <rPh sb="3" eb="6">
      <t>ホジョキン</t>
    </rPh>
    <phoneticPr fontId="2"/>
  </si>
  <si>
    <t>障害児（１号）</t>
    <rPh sb="0" eb="2">
      <t>ショウガイ</t>
    </rPh>
    <rPh sb="2" eb="3">
      <t>ジ</t>
    </rPh>
    <rPh sb="5" eb="6">
      <t>ゴウ</t>
    </rPh>
    <phoneticPr fontId="2"/>
  </si>
  <si>
    <t>障害児（２・３号）</t>
    <rPh sb="0" eb="2">
      <t>ショウガイ</t>
    </rPh>
    <rPh sb="2" eb="3">
      <t>ジ</t>
    </rPh>
    <rPh sb="7" eb="8">
      <t>ゴウ</t>
    </rPh>
    <phoneticPr fontId="2"/>
  </si>
  <si>
    <t>　また、補助算定職員数は、補助上限に影響します。</t>
    <phoneticPr fontId="2"/>
  </si>
  <si>
    <r>
      <t>マイナスの場合、表示されている人数まで追加で雇用しても、人件費等補助金の算定対象になります。
ただし、</t>
    </r>
    <r>
      <rPr>
        <b/>
        <u/>
        <sz val="11"/>
        <color rgb="FFFF0000"/>
        <rFont val="ＭＳ Ｐゴシック"/>
        <family val="3"/>
        <charset val="128"/>
      </rPr>
      <t>実配置数の増減で変わるのは「保育士等の補助上限」であり、直ちに補助金は増えません。</t>
    </r>
    <r>
      <rPr>
        <sz val="11"/>
        <rFont val="ＭＳ Ｐゴシック"/>
        <family val="3"/>
        <charset val="128"/>
      </rPr>
      <t xml:space="preserve">
補助金額は、補助上限のほか、各園の人件費総額、給付費収入によって変わります。御留意ください。</t>
    </r>
    <phoneticPr fontId="2"/>
  </si>
  <si>
    <r>
      <t xml:space="preserve">【補助算定の状況（加配適用状況）】
</t>
    </r>
    <r>
      <rPr>
        <sz val="11"/>
        <rFont val="ＭＳ Ｐゴシック"/>
        <family val="3"/>
        <charset val="128"/>
      </rPr>
      <t>※○が増えると、補助算定職員数が増え、保育士等の人件費等補助金の補助上限が上がります。
※補助上限は補助算定職員数×単価で計算します。</t>
    </r>
    <rPh sb="1" eb="3">
      <t>ホジョ</t>
    </rPh>
    <rPh sb="3" eb="5">
      <t>サンテイ</t>
    </rPh>
    <rPh sb="6" eb="8">
      <t>ジョウキョウ</t>
    </rPh>
    <rPh sb="9" eb="11">
      <t>カハイ</t>
    </rPh>
    <rPh sb="11" eb="13">
      <t>テキヨウ</t>
    </rPh>
    <rPh sb="13" eb="15">
      <t>ジョウキョウ</t>
    </rPh>
    <rPh sb="21" eb="22">
      <t>フ</t>
    </rPh>
    <rPh sb="26" eb="28">
      <t>ホジョ</t>
    </rPh>
    <rPh sb="28" eb="30">
      <t>サンテイ</t>
    </rPh>
    <rPh sb="30" eb="33">
      <t>ショクインスウ</t>
    </rPh>
    <rPh sb="34" eb="35">
      <t>フ</t>
    </rPh>
    <rPh sb="37" eb="40">
      <t>ホイクシ</t>
    </rPh>
    <rPh sb="40" eb="41">
      <t>トウ</t>
    </rPh>
    <rPh sb="42" eb="45">
      <t>ジンケンヒ</t>
    </rPh>
    <rPh sb="45" eb="46">
      <t>トウ</t>
    </rPh>
    <rPh sb="46" eb="49">
      <t>ホジョキン</t>
    </rPh>
    <rPh sb="50" eb="52">
      <t>ホジョ</t>
    </rPh>
    <rPh sb="52" eb="54">
      <t>ジョウゲン</t>
    </rPh>
    <rPh sb="55" eb="56">
      <t>ア</t>
    </rPh>
    <rPh sb="63" eb="65">
      <t>ホジョ</t>
    </rPh>
    <rPh sb="65" eb="67">
      <t>ジョウゲン</t>
    </rPh>
    <rPh sb="68" eb="70">
      <t>ホジョ</t>
    </rPh>
    <rPh sb="70" eb="72">
      <t>サンテイ</t>
    </rPh>
    <rPh sb="72" eb="75">
      <t>ショクインスウ</t>
    </rPh>
    <rPh sb="76" eb="78">
      <t>タンカ</t>
    </rPh>
    <rPh sb="79" eb="81">
      <t>ケイサン</t>
    </rPh>
    <phoneticPr fontId="2"/>
  </si>
  <si>
    <t>障害児
加配</t>
    <rPh sb="0" eb="3">
      <t>ショウガイジ</t>
    </rPh>
    <rPh sb="4" eb="6">
      <t>カハイ</t>
    </rPh>
    <phoneticPr fontId="2"/>
  </si>
  <si>
    <t>1歳児
加配</t>
    <rPh sb="1" eb="3">
      <t>サイジ</t>
    </rPh>
    <rPh sb="4" eb="6">
      <t>カハイ</t>
    </rPh>
    <phoneticPr fontId="2"/>
  </si>
  <si>
    <t>標準保育
時間対応</t>
    <phoneticPr fontId="2"/>
  </si>
  <si>
    <t>休憩
保育士
（利用定員90超）</t>
    <phoneticPr fontId="2"/>
  </si>
  <si>
    <t>標準対応休憩
保育士</t>
    <phoneticPr fontId="2"/>
  </si>
  <si>
    <t>①上記【補助算定職員数】の算定に含まれている加配</t>
    <rPh sb="1" eb="3">
      <t>ジョウキ</t>
    </rPh>
    <rPh sb="4" eb="6">
      <t>ホジョ</t>
    </rPh>
    <rPh sb="6" eb="8">
      <t>サンテイ</t>
    </rPh>
    <rPh sb="8" eb="10">
      <t>ショクイン</t>
    </rPh>
    <rPh sb="10" eb="11">
      <t>スウ</t>
    </rPh>
    <rPh sb="13" eb="15">
      <t>サンテイ</t>
    </rPh>
    <rPh sb="16" eb="17">
      <t>フク</t>
    </rPh>
    <rPh sb="22" eb="24">
      <t>カハイ</t>
    </rPh>
    <phoneticPr fontId="2"/>
  </si>
  <si>
    <t>②各加配を算定に含めるために必要な実配置数（年間平均）</t>
    <rPh sb="1" eb="2">
      <t>カク</t>
    </rPh>
    <rPh sb="2" eb="4">
      <t>カハイ</t>
    </rPh>
    <rPh sb="5" eb="7">
      <t>サンテイ</t>
    </rPh>
    <rPh sb="8" eb="9">
      <t>フク</t>
    </rPh>
    <rPh sb="14" eb="16">
      <t>ヒツヨウ</t>
    </rPh>
    <rPh sb="17" eb="18">
      <t>ジツ</t>
    </rPh>
    <rPh sb="18" eb="20">
      <t>ハイチ</t>
    </rPh>
    <rPh sb="20" eb="21">
      <t>スウ</t>
    </rPh>
    <rPh sb="22" eb="24">
      <t>ネンカン</t>
    </rPh>
    <rPh sb="24" eb="26">
      <t>ヘイキンネンヘイキン</t>
    </rPh>
    <phoneticPr fontId="2"/>
  </si>
  <si>
    <r>
      <t xml:space="preserve">③今後配置必要実配置数
</t>
    </r>
    <r>
      <rPr>
        <sz val="10"/>
        <rFont val="ＭＳ Ｐゴシック"/>
        <family val="3"/>
        <charset val="128"/>
      </rPr>
      <t>※②を満たすために新たな職員の雇用を検討されている場合は、何月からの雇用を想定されているかを黄色マーカー（R53セル）にて選択のうえご覧ください。</t>
    </r>
    <rPh sb="79" eb="80">
      <t>ラン</t>
    </rPh>
    <phoneticPr fontId="2"/>
  </si>
  <si>
    <t>雇用
開始月</t>
    <phoneticPr fontId="2"/>
  </si>
  <si>
    <t>２・３号実配置数（(C)-BQ列）と補助算定職員数の最大値との比較</t>
    <rPh sb="4" eb="5">
      <t>ジツ</t>
    </rPh>
    <rPh sb="5" eb="7">
      <t>ハイチ</t>
    </rPh>
    <rPh sb="7" eb="8">
      <t>スウ</t>
    </rPh>
    <rPh sb="15" eb="16">
      <t>レツ</t>
    </rPh>
    <rPh sb="18" eb="20">
      <t>ホジョ</t>
    </rPh>
    <rPh sb="20" eb="22">
      <t>サンテイ</t>
    </rPh>
    <rPh sb="22" eb="25">
      <t>ショクインスウ</t>
    </rPh>
    <rPh sb="26" eb="29">
      <t>サイダイチ</t>
    </rPh>
    <rPh sb="31" eb="33">
      <t>ヒカク</t>
    </rPh>
    <phoneticPr fontId="2"/>
  </si>
  <si>
    <t>Ｒ６．４</t>
    <phoneticPr fontId="2"/>
  </si>
  <si>
    <t>職員数合計（常勤換算値、小数点第２位まで表示）</t>
    <phoneticPr fontId="2"/>
  </si>
  <si>
    <t>常勤換算Ａ／Ｂ（小数点第２位まで表示）</t>
    <phoneticPr fontId="2"/>
  </si>
  <si>
    <t>【このシートについて】</t>
    <phoneticPr fontId="2"/>
  </si>
  <si>
    <t>・令和6年度から、4・5歳児に対する職員配置基準が「30対1」から原則「25対1」に改善されました。</t>
    <rPh sb="1" eb="3">
      <t>レイワ</t>
    </rPh>
    <rPh sb="4" eb="6">
      <t>ネンド</t>
    </rPh>
    <rPh sb="12" eb="14">
      <t>サイジ</t>
    </rPh>
    <rPh sb="15" eb="16">
      <t>タイ</t>
    </rPh>
    <rPh sb="18" eb="20">
      <t>ショクイン</t>
    </rPh>
    <rPh sb="20" eb="22">
      <t>ハイチ</t>
    </rPh>
    <rPh sb="22" eb="24">
      <t>キジュン</t>
    </rPh>
    <rPh sb="28" eb="29">
      <t>タイ</t>
    </rPh>
    <rPh sb="33" eb="35">
      <t>ゲンソク</t>
    </rPh>
    <rPh sb="38" eb="39">
      <t>タイ</t>
    </rPh>
    <rPh sb="42" eb="44">
      <t>カイゼン</t>
    </rPh>
    <phoneticPr fontId="2"/>
  </si>
  <si>
    <t>・具体的には、4歳以上児に対する「25対1」の配置を行った場合、公定価格において「4歳以上児配置改善加算」が適用されます。</t>
    <rPh sb="1" eb="4">
      <t>グタイテキ</t>
    </rPh>
    <rPh sb="8" eb="9">
      <t>サイ</t>
    </rPh>
    <rPh sb="9" eb="11">
      <t>イジョウ</t>
    </rPh>
    <rPh sb="11" eb="12">
      <t>ジ</t>
    </rPh>
    <rPh sb="13" eb="14">
      <t>タイ</t>
    </rPh>
    <rPh sb="19" eb="20">
      <t>タイ</t>
    </rPh>
    <rPh sb="23" eb="25">
      <t>ハイチ</t>
    </rPh>
    <rPh sb="26" eb="27">
      <t>オコナ</t>
    </rPh>
    <rPh sb="29" eb="31">
      <t>バアイ</t>
    </rPh>
    <rPh sb="32" eb="34">
      <t>コウテイ</t>
    </rPh>
    <rPh sb="34" eb="36">
      <t>カカク</t>
    </rPh>
    <rPh sb="42" eb="45">
      <t>サイイジョウ</t>
    </rPh>
    <rPh sb="45" eb="46">
      <t>コ</t>
    </rPh>
    <rPh sb="46" eb="48">
      <t>ハイチ</t>
    </rPh>
    <rPh sb="48" eb="50">
      <t>カイゼン</t>
    </rPh>
    <rPh sb="50" eb="52">
      <t>カサン</t>
    </rPh>
    <rPh sb="54" eb="56">
      <t>テキヨウ</t>
    </rPh>
    <phoneticPr fontId="2"/>
  </si>
  <si>
    <t>（「4歳以上児配置改善加算」を適用しない場合は、配置基準は「30対1」で算出します）</t>
    <rPh sb="3" eb="4">
      <t>サイ</t>
    </rPh>
    <rPh sb="6" eb="7">
      <t>コ</t>
    </rPh>
    <rPh sb="7" eb="9">
      <t>ハイチ</t>
    </rPh>
    <rPh sb="9" eb="11">
      <t>カイゼン</t>
    </rPh>
    <rPh sb="11" eb="13">
      <t>カサン</t>
    </rPh>
    <rPh sb="15" eb="17">
      <t>テキヨウ</t>
    </rPh>
    <rPh sb="20" eb="22">
      <t>バアイ</t>
    </rPh>
    <rPh sb="24" eb="26">
      <t>ハイチ</t>
    </rPh>
    <rPh sb="26" eb="28">
      <t>キジュン</t>
    </rPh>
    <rPh sb="32" eb="33">
      <t>タイ</t>
    </rPh>
    <rPh sb="36" eb="38">
      <t>サンシュツ</t>
    </rPh>
    <phoneticPr fontId="2"/>
  </si>
  <si>
    <t>・ただし、この「4歳以上児配置改善加算」は、従来から運用されている「チーム保育加配加算」との併給ができない制度となっています。</t>
    <rPh sb="9" eb="10">
      <t>サイ</t>
    </rPh>
    <rPh sb="10" eb="12">
      <t>イジョウ</t>
    </rPh>
    <rPh sb="12" eb="13">
      <t>コ</t>
    </rPh>
    <rPh sb="13" eb="15">
      <t>ハイチ</t>
    </rPh>
    <rPh sb="15" eb="17">
      <t>カイゼン</t>
    </rPh>
    <rPh sb="17" eb="19">
      <t>カサン</t>
    </rPh>
    <rPh sb="22" eb="24">
      <t>ジュウライ</t>
    </rPh>
    <rPh sb="26" eb="28">
      <t>ウンヨウ</t>
    </rPh>
    <rPh sb="37" eb="39">
      <t>ホイク</t>
    </rPh>
    <rPh sb="39" eb="41">
      <t>カハイ</t>
    </rPh>
    <rPh sb="41" eb="43">
      <t>カサン</t>
    </rPh>
    <rPh sb="46" eb="48">
      <t>ヘイキュウ</t>
    </rPh>
    <rPh sb="53" eb="55">
      <t>セイド</t>
    </rPh>
    <phoneticPr fontId="2"/>
  </si>
  <si>
    <t>↓</t>
    <phoneticPr fontId="2"/>
  </si>
  <si>
    <t>★加算の適用状況により、1人の子どもに対して必要な職員数が「1/25人」や「1/30人」に変動する、複雑な制度となっています。</t>
    <rPh sb="1" eb="3">
      <t>カサン</t>
    </rPh>
    <rPh sb="4" eb="6">
      <t>テキヨウ</t>
    </rPh>
    <rPh sb="6" eb="8">
      <t>ジョウキョウ</t>
    </rPh>
    <rPh sb="13" eb="14">
      <t>ニン</t>
    </rPh>
    <rPh sb="15" eb="16">
      <t>コ</t>
    </rPh>
    <rPh sb="19" eb="20">
      <t>タイ</t>
    </rPh>
    <rPh sb="22" eb="24">
      <t>ヒツヨウ</t>
    </rPh>
    <rPh sb="25" eb="27">
      <t>ショクイン</t>
    </rPh>
    <rPh sb="27" eb="28">
      <t>スウ</t>
    </rPh>
    <rPh sb="34" eb="35">
      <t>ニン</t>
    </rPh>
    <rPh sb="42" eb="43">
      <t>ニン</t>
    </rPh>
    <rPh sb="45" eb="47">
      <t>ヘンドウ</t>
    </rPh>
    <rPh sb="50" eb="52">
      <t>フクザツ</t>
    </rPh>
    <rPh sb="53" eb="55">
      <t>セイド</t>
    </rPh>
    <phoneticPr fontId="2"/>
  </si>
  <si>
    <t>★そのため、このシートを使って整理をします。</t>
    <rPh sb="12" eb="13">
      <t>ツカ</t>
    </rPh>
    <rPh sb="15" eb="17">
      <t>セイリ</t>
    </rPh>
    <phoneticPr fontId="2"/>
  </si>
  <si>
    <t>対象職員数を記載
↓</t>
    <rPh sb="0" eb="2">
      <t>タイショウ</t>
    </rPh>
    <rPh sb="2" eb="5">
      <t>ショクインスウ</t>
    </rPh>
    <rPh sb="6" eb="8">
      <t>キサイ</t>
    </rPh>
    <phoneticPr fontId="2"/>
  </si>
  <si>
    <t>適用する場合「○」
↓</t>
    <rPh sb="0" eb="2">
      <t>テキヨウ</t>
    </rPh>
    <rPh sb="4" eb="6">
      <t>バアイ</t>
    </rPh>
    <phoneticPr fontId="2"/>
  </si>
  <si>
    <t>対象月</t>
    <rPh sb="0" eb="2">
      <t>タイショウ</t>
    </rPh>
    <rPh sb="2" eb="3">
      <t>ゲツ</t>
    </rPh>
    <phoneticPr fontId="2"/>
  </si>
  <si>
    <t>チーム保育
加配加算</t>
    <rPh sb="3" eb="5">
      <t>ホイク</t>
    </rPh>
    <rPh sb="6" eb="8">
      <t>カハイ</t>
    </rPh>
    <rPh sb="8" eb="10">
      <t>カサン</t>
    </rPh>
    <phoneticPr fontId="2"/>
  </si>
  <si>
    <t>4歳以上児
配置改善加算</t>
    <rPh sb="1" eb="2">
      <t>サイ</t>
    </rPh>
    <rPh sb="2" eb="4">
      <t>イジョウ</t>
    </rPh>
    <rPh sb="4" eb="5">
      <t>ジ</t>
    </rPh>
    <rPh sb="6" eb="8">
      <t>ハイチ</t>
    </rPh>
    <rPh sb="8" eb="10">
      <t>カイゼン</t>
    </rPh>
    <rPh sb="10" eb="12">
      <t>カサン</t>
    </rPh>
    <phoneticPr fontId="2"/>
  </si>
  <si>
    <t>3歳児配置
改善加算</t>
    <rPh sb="1" eb="3">
      <t>サイジ</t>
    </rPh>
    <rPh sb="3" eb="5">
      <t>ハイチ</t>
    </rPh>
    <rPh sb="6" eb="8">
      <t>カイゼン</t>
    </rPh>
    <rPh sb="8" eb="10">
      <t>カサン</t>
    </rPh>
    <phoneticPr fontId="2"/>
  </si>
  <si>
    <t>満3歳児対応
加配加算</t>
    <rPh sb="0" eb="1">
      <t>マン</t>
    </rPh>
    <rPh sb="2" eb="4">
      <t>サイジ</t>
    </rPh>
    <rPh sb="4" eb="6">
      <t>タイオウ</t>
    </rPh>
    <rPh sb="7" eb="9">
      <t>カハイ</t>
    </rPh>
    <rPh sb="9" eb="11">
      <t>カサン</t>
    </rPh>
    <phoneticPr fontId="2"/>
  </si>
  <si>
    <t>備考（エラーがあると表示されます）</t>
    <rPh sb="0" eb="2">
      <t>ビコウ</t>
    </rPh>
    <rPh sb="10" eb="12">
      <t>ヒョウジ</t>
    </rPh>
    <phoneticPr fontId="2"/>
  </si>
  <si>
    <t>分岐
（計算用）</t>
    <rPh sb="0" eb="2">
      <t>ブンキ</t>
    </rPh>
    <rPh sb="4" eb="6">
      <t>ケイサン</t>
    </rPh>
    <rPh sb="6" eb="7">
      <t>ヨウ</t>
    </rPh>
    <phoneticPr fontId="2"/>
  </si>
  <si>
    <t>定員</t>
    <rPh sb="0" eb="2">
      <t>テイイン</t>
    </rPh>
    <phoneticPr fontId="2"/>
  </si>
  <si>
    <t>職員数</t>
    <rPh sb="0" eb="3">
      <t>ショクインスウ</t>
    </rPh>
    <phoneticPr fontId="2"/>
  </si>
  <si>
    <t>上限※</t>
    <rPh sb="0" eb="2">
      <t>ジョウゲン</t>
    </rPh>
    <phoneticPr fontId="2"/>
  </si>
  <si>
    <t>5月</t>
  </si>
  <si>
    <t>6月</t>
  </si>
  <si>
    <t>7月</t>
  </si>
  <si>
    <t>8月</t>
  </si>
  <si>
    <t>9月</t>
  </si>
  <si>
    <t>10月</t>
  </si>
  <si>
    <t>11月</t>
  </si>
  <si>
    <t>12月</t>
  </si>
  <si>
    <t>1月</t>
  </si>
  <si>
    <t>2月</t>
  </si>
  <si>
    <t>3月</t>
  </si>
  <si>
    <t>※1号+2号の利用定員が</t>
    <rPh sb="2" eb="3">
      <t>ゴウ</t>
    </rPh>
    <rPh sb="5" eb="6">
      <t>ゴウ</t>
    </rPh>
    <rPh sb="7" eb="9">
      <t>リヨウ</t>
    </rPh>
    <rPh sb="9" eb="11">
      <t>テイイン</t>
    </rPh>
    <phoneticPr fontId="2"/>
  </si>
  <si>
    <t>45人以下</t>
    <rPh sb="2" eb="3">
      <t>ニン</t>
    </rPh>
    <rPh sb="3" eb="5">
      <t>イカ</t>
    </rPh>
    <phoneticPr fontId="2"/>
  </si>
  <si>
    <t>46～150人</t>
    <rPh sb="6" eb="7">
      <t>ニン</t>
    </rPh>
    <phoneticPr fontId="2"/>
  </si>
  <si>
    <t>151～240人</t>
    <rPh sb="7" eb="8">
      <t>ニン</t>
    </rPh>
    <phoneticPr fontId="2"/>
  </si>
  <si>
    <t>241～270人</t>
    <rPh sb="7" eb="8">
      <t>ニン</t>
    </rPh>
    <phoneticPr fontId="2"/>
  </si>
  <si>
    <t>271～300人</t>
    <rPh sb="7" eb="8">
      <t>ニン</t>
    </rPh>
    <phoneticPr fontId="2"/>
  </si>
  <si>
    <t>301～450人</t>
    <rPh sb="7" eb="8">
      <t>ニン</t>
    </rPh>
    <phoneticPr fontId="2"/>
  </si>
  <si>
    <t>451人～</t>
    <rPh sb="3" eb="4">
      <t>ニン</t>
    </rPh>
    <phoneticPr fontId="2"/>
  </si>
  <si>
    <r>
      <t xml:space="preserve">（参考）
条例基準上の必要教職員数
</t>
    </r>
    <r>
      <rPr>
        <sz val="8.5"/>
        <rFont val="ＭＳ Ｐゴシック"/>
        <family val="3"/>
        <charset val="128"/>
      </rPr>
      <t>（加算は満３歳児のみ考慮）</t>
    </r>
    <rPh sb="1" eb="3">
      <t>サンコウ</t>
    </rPh>
    <rPh sb="5" eb="7">
      <t>ジョウレイ</t>
    </rPh>
    <rPh sb="7" eb="9">
      <t>キジュン</t>
    </rPh>
    <rPh sb="13" eb="16">
      <t>キョウショクイン</t>
    </rPh>
    <rPh sb="24" eb="26">
      <t>サイジ</t>
    </rPh>
    <phoneticPr fontId="2"/>
  </si>
  <si>
    <r>
      <t xml:space="preserve">必要
教職員数
【年齢別
配置
基準】
</t>
    </r>
    <r>
      <rPr>
        <sz val="8.5"/>
        <rFont val="ＭＳ Ｐゴシック"/>
        <family val="3"/>
        <charset val="128"/>
      </rPr>
      <t>(歳児別の加算を考慮)</t>
    </r>
    <r>
      <rPr>
        <b/>
        <sz val="8.5"/>
        <rFont val="ＭＳ Ｐゴシック"/>
        <family val="3"/>
        <charset val="128"/>
      </rPr>
      <t xml:space="preserve">
②～⑤</t>
    </r>
    <r>
      <rPr>
        <b/>
        <sz val="9"/>
        <rFont val="ＭＳ Ｐゴシック"/>
        <family val="3"/>
        <charset val="128"/>
      </rPr>
      <t>の合計</t>
    </r>
    <rPh sb="36" eb="38">
      <t>ゴウケイ</t>
    </rPh>
    <phoneticPr fontId="2"/>
  </si>
  <si>
    <t>年齢別配置基準
※　4歳以上児、3歳児、満3歳児の加算取得状況に応じ、2・3号児童の条例基準部分補助金対象分を含む</t>
    <rPh sb="0" eb="2">
      <t>ネンレイ</t>
    </rPh>
    <rPh sb="2" eb="3">
      <t>ベツ</t>
    </rPh>
    <rPh sb="3" eb="5">
      <t>ハイチ</t>
    </rPh>
    <rPh sb="5" eb="7">
      <t>キジュン</t>
    </rPh>
    <rPh sb="11" eb="14">
      <t>サイイジョウ</t>
    </rPh>
    <rPh sb="14" eb="15">
      <t>ジ</t>
    </rPh>
    <rPh sb="17" eb="19">
      <t>サイジ</t>
    </rPh>
    <rPh sb="20" eb="21">
      <t>マン</t>
    </rPh>
    <rPh sb="22" eb="24">
      <t>サイジ</t>
    </rPh>
    <rPh sb="25" eb="27">
      <t>カサン</t>
    </rPh>
    <rPh sb="27" eb="29">
      <t>シュトク</t>
    </rPh>
    <rPh sb="29" eb="31">
      <t>ジョウキョウ</t>
    </rPh>
    <rPh sb="32" eb="33">
      <t>オウ</t>
    </rPh>
    <rPh sb="38" eb="39">
      <t>ゴウ</t>
    </rPh>
    <rPh sb="39" eb="41">
      <t>ジドウ</t>
    </rPh>
    <rPh sb="42" eb="44">
      <t>ジョウレイ</t>
    </rPh>
    <rPh sb="44" eb="46">
      <t>キジュン</t>
    </rPh>
    <rPh sb="46" eb="48">
      <t>ブブン</t>
    </rPh>
    <rPh sb="48" eb="51">
      <t>ホジョキン</t>
    </rPh>
    <rPh sb="51" eb="53">
      <t>タイショウ</t>
    </rPh>
    <rPh sb="53" eb="54">
      <t>フン</t>
    </rPh>
    <rPh sb="55" eb="56">
      <t>フク</t>
    </rPh>
    <phoneticPr fontId="2"/>
  </si>
  <si>
    <r>
      <t>必要
教職員数
【年齢別
配置基準</t>
    </r>
    <r>
      <rPr>
        <u/>
        <sz val="8.5"/>
        <rFont val="ＭＳ Ｐゴシック"/>
        <family val="3"/>
        <charset val="128"/>
      </rPr>
      <t>（歳児別の加算を考慮）</t>
    </r>
    <r>
      <rPr>
        <b/>
        <u/>
        <sz val="8.5"/>
        <rFont val="ＭＳ Ｐゴシック"/>
        <family val="3"/>
        <charset val="128"/>
      </rPr>
      <t xml:space="preserve">
+国加配】
⑥～⑨</t>
    </r>
    <r>
      <rPr>
        <b/>
        <u/>
        <sz val="9"/>
        <rFont val="ＭＳ Ｐゴシック"/>
        <family val="3"/>
        <charset val="128"/>
      </rPr>
      <t>の合計</t>
    </r>
    <rPh sb="0" eb="2">
      <t>ヒツヨウ</t>
    </rPh>
    <rPh sb="3" eb="5">
      <t>キョウショク</t>
    </rPh>
    <rPh sb="6" eb="7">
      <t>スウ</t>
    </rPh>
    <rPh sb="10" eb="12">
      <t>ネンレイ</t>
    </rPh>
    <rPh sb="12" eb="13">
      <t>ベツ</t>
    </rPh>
    <rPh sb="14" eb="16">
      <t>ハイチ</t>
    </rPh>
    <rPh sb="16" eb="18">
      <t>キジュン</t>
    </rPh>
    <rPh sb="31" eb="32">
      <t>クニ</t>
    </rPh>
    <rPh sb="32" eb="34">
      <t>カハイ</t>
    </rPh>
    <rPh sb="41" eb="43">
      <t>ゴウケイ</t>
    </rPh>
    <phoneticPr fontId="2"/>
  </si>
  <si>
    <r>
      <rPr>
        <b/>
        <sz val="8.5"/>
        <color indexed="30"/>
        <rFont val="ＭＳ Ｐゴシック"/>
        <family val="3"/>
        <charset val="128"/>
      </rPr>
      <t>最大</t>
    </r>
    <r>
      <rPr>
        <b/>
        <sz val="8.5"/>
        <rFont val="ＭＳ Ｐゴシック"/>
        <family val="3"/>
        <charset val="128"/>
      </rPr>
      <t>保育士数
【年齢別
配置基準</t>
    </r>
    <r>
      <rPr>
        <sz val="8.5"/>
        <rFont val="ＭＳ Ｐゴシック"/>
        <family val="3"/>
        <charset val="128"/>
      </rPr>
      <t>（歳児別の加算を考慮）</t>
    </r>
    <r>
      <rPr>
        <b/>
        <sz val="8.5"/>
        <rFont val="ＭＳ Ｐゴシック"/>
        <family val="3"/>
        <charset val="128"/>
      </rPr>
      <t xml:space="preserve">
+国加配
＋市独自加配】
⑥</t>
    </r>
    <r>
      <rPr>
        <b/>
        <sz val="9"/>
        <rFont val="ＭＳ Ｐゴシック"/>
        <family val="3"/>
        <charset val="128"/>
      </rPr>
      <t>～⑮の合計</t>
    </r>
    <rPh sb="0" eb="2">
      <t>サイダイ</t>
    </rPh>
    <rPh sb="2" eb="4">
      <t>ホイク</t>
    </rPh>
    <rPh sb="4" eb="6">
      <t>シスウ</t>
    </rPh>
    <rPh sb="8" eb="10">
      <t>ネンレイ</t>
    </rPh>
    <rPh sb="10" eb="11">
      <t>ベツ</t>
    </rPh>
    <rPh sb="12" eb="14">
      <t>ハイチ</t>
    </rPh>
    <rPh sb="14" eb="16">
      <t>キジュン</t>
    </rPh>
    <rPh sb="29" eb="30">
      <t>クニ</t>
    </rPh>
    <rPh sb="30" eb="32">
      <t>カハイ</t>
    </rPh>
    <rPh sb="34" eb="35">
      <t>シ</t>
    </rPh>
    <rPh sb="35" eb="37">
      <t>ドクジ</t>
    </rPh>
    <rPh sb="37" eb="39">
      <t>カハイ</t>
    </rPh>
    <rPh sb="47" eb="49">
      <t>ゴウケイ</t>
    </rPh>
    <phoneticPr fontId="2"/>
  </si>
  <si>
    <t>休憩保育士（利用定員90超）※90以下の場合は②で加配</t>
    <phoneticPr fontId="2"/>
  </si>
  <si>
    <r>
      <t xml:space="preserve">条例基準に基づく必要職員数との差
【C-（⑥´+⑦+⑧+⑨）】
</t>
    </r>
    <r>
      <rPr>
        <sz val="10"/>
        <rFont val="ＭＳ Ｐゴシック"/>
        <family val="3"/>
        <charset val="128"/>
      </rPr>
      <t>コメント
参照</t>
    </r>
    <r>
      <rPr>
        <b/>
        <sz val="10"/>
        <rFont val="ＭＳ Ｐゴシック"/>
        <family val="3"/>
        <charset val="128"/>
      </rPr>
      <t xml:space="preserve">
</t>
    </r>
    <rPh sb="37" eb="39">
      <t>サンショウ</t>
    </rPh>
    <phoneticPr fontId="2"/>
  </si>
  <si>
    <r>
      <t xml:space="preserve">必要
職員数
との差
</t>
    </r>
    <r>
      <rPr>
        <b/>
        <sz val="10"/>
        <rFont val="BIZ UDPゴシック"/>
        <family val="3"/>
        <charset val="128"/>
      </rPr>
      <t>【Ｃ－Ａ】</t>
    </r>
    <r>
      <rPr>
        <b/>
        <sz val="10"/>
        <rFont val="ＭＳ Ｐゴシック"/>
        <family val="3"/>
        <charset val="128"/>
      </rPr>
      <t xml:space="preserve">
</t>
    </r>
    <r>
      <rPr>
        <sz val="10"/>
        <rFont val="ＭＳ Ｐゴシック"/>
        <family val="3"/>
        <charset val="128"/>
      </rPr>
      <t>コメント
参照</t>
    </r>
    <rPh sb="0" eb="2">
      <t>ヒツヨウ</t>
    </rPh>
    <rPh sb="22" eb="24">
      <t>サンショウ</t>
    </rPh>
    <phoneticPr fontId="2"/>
  </si>
  <si>
    <t>必要
主幹保育教諭数</t>
    <rPh sb="0" eb="2">
      <t>ヒツヨウ</t>
    </rPh>
    <rPh sb="3" eb="5">
      <t>シュカン</t>
    </rPh>
    <rPh sb="5" eb="7">
      <t>ホイク</t>
    </rPh>
    <rPh sb="7" eb="9">
      <t>キョウユ</t>
    </rPh>
    <rPh sb="9" eb="10">
      <t>スウ</t>
    </rPh>
    <phoneticPr fontId="2"/>
  </si>
  <si>
    <t>保育士とみなすことができる人数（小数点第２位まで表示）【分園分】</t>
    <phoneticPr fontId="2"/>
  </si>
  <si>
    <t>保育士とみなすことができる人数（小数点第２位まで表示）【本園分】</t>
    <rPh sb="28" eb="29">
      <t>ホン</t>
    </rPh>
    <rPh sb="29" eb="30">
      <t>エン</t>
    </rPh>
    <rPh sb="30" eb="31">
      <t>ブン</t>
    </rPh>
    <phoneticPr fontId="2"/>
  </si>
  <si>
    <t>うち、非常勤講師等の数（該当する場合は1を入力）</t>
    <phoneticPr fontId="2"/>
  </si>
  <si>
    <t>※このシートで整理した内容は、様式１シートの『年齢別配置基準』（AG～AI列）と『チーム保育加配』（AL～AM列）に反映されます。</t>
    <rPh sb="7" eb="9">
      <t>セイリ</t>
    </rPh>
    <rPh sb="11" eb="13">
      <t>ナイヨウ</t>
    </rPh>
    <rPh sb="15" eb="17">
      <t>ヨウシキ</t>
    </rPh>
    <rPh sb="37" eb="38">
      <t>レツ</t>
    </rPh>
    <rPh sb="55" eb="56">
      <t>レツ</t>
    </rPh>
    <rPh sb="58" eb="60">
      <t>ハンエイ</t>
    </rPh>
    <phoneticPr fontId="2"/>
  </si>
  <si>
    <t>一時預かり事業を考慮した過不足
【C-A-⑳】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</si>
</sst>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 #,##0_ ;_ * \-#,##0_ ;_ * &quot;-&quot;_ ;_ @_ "/>
    <numFmt numFmtId="176" formatCode="0_ "/>
    <numFmt numFmtId="177" formatCode="0.0_ "/>
    <numFmt numFmtId="178" formatCode="0.0"/>
    <numFmt numFmtId="179" formatCode="0.000"/>
    <numFmt numFmtId="180" formatCode="0_);[Red]\(0\)"/>
    <numFmt numFmtId="181" formatCode="0.0_);[Red]\(0.0\)"/>
    <numFmt numFmtId="182" formatCode="#,###"/>
    <numFmt numFmtId="183" formatCode="#,##0_ "/>
    <numFmt numFmtId="184" formatCode="#,##0.0_ "/>
    <numFmt numFmtId="185" formatCode="0;\-0;;@"/>
    <numFmt numFmtId="186" formatCode="#,##0.0\ "/>
    <numFmt numFmtId="187" formatCode="#,##0.0;[Red]\-#,##0.0"/>
    <numFmt numFmtId="188" formatCode="#,##0&quot;人&quot;;&quot;△&quot;#,##0&quot;人&quot;"/>
    <numFmt numFmtId="189" formatCode="#,##0.00&quot;人&quot;;&quot;△&quot;#,##0.00&quot;人&quot;"/>
    <numFmt numFmtId="190" formatCode="_ * #,##0.0_ ;_ * \-#,##0.0_ ;_ * &quot;-&quot;?_ ;_ @_ "/>
    <numFmt numFmtId="191" formatCode="#,##0.0&quot;人&quot;;&quot;△&quot;#,##0.0&quot;人&quot;"/>
    <numFmt numFmtId="192" formatCode="#,##0.0;&quot;△&quot;#,##0.0"/>
    <numFmt numFmtId="193" formatCode="#,##0.0"/>
    <numFmt numFmtId="194" formatCode="0.0;&quot;▲ &quot;0.0"/>
    <numFmt numFmtId="195" formatCode="#&quot;月&quot;"/>
    <numFmt numFmtId="196" formatCode="0.00_);[Red]\(0.00\)"/>
    <numFmt numFmtId="197" formatCode="0.00_ "/>
  </numFmts>
  <fonts count="77">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b/>
      <sz val="9"/>
      <name val="ＭＳ Ｐゴシック"/>
      <family val="3"/>
      <charset val="128"/>
    </font>
    <font>
      <b/>
      <sz val="12"/>
      <name val="ＭＳ Ｐゴシック"/>
      <family val="3"/>
      <charset val="128"/>
    </font>
    <font>
      <b/>
      <sz val="16"/>
      <name val="ＭＳ Ｐゴシック"/>
      <family val="3"/>
      <charset val="128"/>
    </font>
    <font>
      <sz val="9"/>
      <name val="ＭＳ Ｐゴシック"/>
      <family val="3"/>
      <charset val="128"/>
    </font>
    <font>
      <b/>
      <sz val="14"/>
      <name val="ＭＳ Ｐゴシック"/>
      <family val="3"/>
      <charset val="128"/>
    </font>
    <font>
      <b/>
      <sz val="8"/>
      <name val="ＭＳ Ｐゴシック"/>
      <family val="3"/>
      <charset val="128"/>
    </font>
    <font>
      <sz val="8"/>
      <name val="ＭＳ Ｐゴシック"/>
      <family val="3"/>
      <charset val="128"/>
    </font>
    <font>
      <b/>
      <sz val="8.5"/>
      <name val="ＭＳ Ｐゴシック"/>
      <family val="3"/>
      <charset val="128"/>
    </font>
    <font>
      <sz val="8.5"/>
      <name val="ＭＳ Ｐゴシック"/>
      <family val="3"/>
      <charset val="128"/>
    </font>
    <font>
      <b/>
      <sz val="9"/>
      <color indexed="81"/>
      <name val="ＭＳ Ｐゴシック"/>
      <family val="3"/>
      <charset val="128"/>
    </font>
    <font>
      <b/>
      <sz val="12"/>
      <color indexed="81"/>
      <name val="ＭＳ Ｐゴシック"/>
      <family val="3"/>
      <charset val="128"/>
    </font>
    <font>
      <sz val="7"/>
      <name val="ＭＳ Ｐゴシック"/>
      <family val="3"/>
      <charset val="128"/>
    </font>
    <font>
      <b/>
      <sz val="11"/>
      <color indexed="81"/>
      <name val="ＭＳ Ｐゴシック"/>
      <family val="3"/>
      <charset val="128"/>
    </font>
    <font>
      <b/>
      <sz val="12"/>
      <color indexed="81"/>
      <name val="MS P ゴシック"/>
      <family val="3"/>
      <charset val="128"/>
    </font>
    <font>
      <b/>
      <sz val="12"/>
      <color indexed="10"/>
      <name val="MS P ゴシック"/>
      <family val="3"/>
      <charset val="128"/>
    </font>
    <font>
      <sz val="12"/>
      <name val="ＭＳ Ｐゴシック"/>
      <family val="3"/>
      <charset val="128"/>
    </font>
    <font>
      <b/>
      <sz val="9"/>
      <color indexed="81"/>
      <name val="MS P ゴシック"/>
      <family val="3"/>
      <charset val="128"/>
    </font>
    <font>
      <sz val="11"/>
      <color indexed="81"/>
      <name val="ＭＳ Ｐゴシック"/>
      <family val="3"/>
      <charset val="128"/>
    </font>
    <font>
      <sz val="10"/>
      <color indexed="81"/>
      <name val="MS P ゴシック"/>
      <family val="3"/>
      <charset val="128"/>
    </font>
    <font>
      <b/>
      <sz val="11"/>
      <color indexed="81"/>
      <name val="MS P ゴシック"/>
      <family val="3"/>
      <charset val="128"/>
    </font>
    <font>
      <sz val="11"/>
      <color indexed="81"/>
      <name val="MS P ゴシック"/>
      <family val="3"/>
      <charset val="128"/>
    </font>
    <font>
      <b/>
      <sz val="8"/>
      <color indexed="81"/>
      <name val="MS P ゴシック"/>
      <family val="3"/>
      <charset val="128"/>
    </font>
    <font>
      <b/>
      <sz val="8.5"/>
      <color indexed="30"/>
      <name val="ＭＳ Ｐゴシック"/>
      <family val="3"/>
      <charset val="128"/>
    </font>
    <font>
      <b/>
      <u/>
      <sz val="14"/>
      <name val="ＭＳ Ｐゴシック"/>
      <family val="3"/>
      <charset val="128"/>
    </font>
    <font>
      <sz val="9"/>
      <color indexed="81"/>
      <name val="MS P ゴシック"/>
      <family val="3"/>
      <charset val="128"/>
    </font>
    <font>
      <sz val="11"/>
      <color theme="1"/>
      <name val="ＭＳ Ｐゴシック"/>
      <family val="3"/>
      <charset val="128"/>
    </font>
    <font>
      <b/>
      <sz val="12"/>
      <color rgb="FFC00000"/>
      <name val="ＭＳ Ｐゴシック"/>
      <family val="3"/>
      <charset val="128"/>
    </font>
    <font>
      <sz val="12"/>
      <color rgb="FFC00000"/>
      <name val="ＭＳ Ｐゴシック"/>
      <family val="3"/>
      <charset val="128"/>
    </font>
    <font>
      <sz val="11"/>
      <color rgb="FFC00000"/>
      <name val="ＭＳ Ｐゴシック"/>
      <family val="3"/>
      <charset val="128"/>
    </font>
    <font>
      <sz val="8"/>
      <color rgb="FFFF0000"/>
      <name val="ＭＳ Ｐゴシック"/>
      <family val="3"/>
      <charset val="128"/>
    </font>
    <font>
      <sz val="11"/>
      <color theme="1"/>
      <name val="ＭＳ 明朝"/>
      <family val="1"/>
      <charset val="128"/>
    </font>
    <font>
      <sz val="12"/>
      <color theme="1"/>
      <name val="ＭＳ Ｐ明朝"/>
      <family val="1"/>
      <charset val="128"/>
    </font>
    <font>
      <b/>
      <sz val="12"/>
      <color rgb="FFFF0000"/>
      <name val="ＭＳ Ｐ明朝"/>
      <family val="1"/>
      <charset val="128"/>
    </font>
    <font>
      <sz val="12"/>
      <color rgb="FFFF0000"/>
      <name val="ＭＳ Ｐ明朝"/>
      <family val="1"/>
      <charset val="128"/>
    </font>
    <font>
      <sz val="12"/>
      <color theme="1"/>
      <name val="ＭＳ ゴシック"/>
      <family val="3"/>
      <charset val="128"/>
    </font>
    <font>
      <sz val="11"/>
      <color theme="1"/>
      <name val="ＭＳ Ｐゴシック"/>
      <family val="2"/>
      <charset val="128"/>
      <scheme val="minor"/>
    </font>
    <font>
      <sz val="6"/>
      <name val="ＭＳ Ｐゴシック"/>
      <family val="2"/>
      <charset val="128"/>
    </font>
    <font>
      <b/>
      <sz val="11"/>
      <color theme="1"/>
      <name val="ＭＳ 明朝"/>
      <family val="1"/>
      <charset val="128"/>
    </font>
    <font>
      <b/>
      <sz val="9"/>
      <color indexed="10"/>
      <name val="MS P ゴシック"/>
      <family val="3"/>
      <charset val="128"/>
    </font>
    <font>
      <b/>
      <sz val="10"/>
      <color indexed="81"/>
      <name val="ＭＳ Ｐゴシック"/>
      <family val="3"/>
      <charset val="128"/>
    </font>
    <font>
      <b/>
      <sz val="9"/>
      <color indexed="12"/>
      <name val="ＭＳ Ｐゴシック"/>
      <family val="3"/>
      <charset val="128"/>
    </font>
    <font>
      <b/>
      <sz val="10"/>
      <color rgb="FFFF0000"/>
      <name val="ＭＳ Ｐゴシック"/>
      <family val="3"/>
      <charset val="128"/>
    </font>
    <font>
      <sz val="12"/>
      <name val="ＭＳ Ｐ明朝"/>
      <family val="1"/>
      <charset val="128"/>
    </font>
    <font>
      <b/>
      <sz val="12"/>
      <name val="ＭＳ Ｐ明朝"/>
      <family val="1"/>
      <charset val="128"/>
    </font>
    <font>
      <b/>
      <sz val="14"/>
      <name val="ＭＳ Ｐ明朝"/>
      <family val="1"/>
      <charset val="128"/>
    </font>
    <font>
      <u/>
      <sz val="11"/>
      <name val="ＭＳ Ｐゴシック"/>
      <family val="3"/>
      <charset val="128"/>
    </font>
    <font>
      <b/>
      <u/>
      <sz val="11"/>
      <color indexed="10"/>
      <name val="ＭＳ Ｐゴシック"/>
      <family val="3"/>
      <charset val="128"/>
    </font>
    <font>
      <b/>
      <sz val="10"/>
      <color indexed="81"/>
      <name val="MS P ゴシック"/>
      <family val="3"/>
      <charset val="128"/>
    </font>
    <font>
      <b/>
      <sz val="16"/>
      <color indexed="81"/>
      <name val="MS P ゴシック"/>
      <family val="3"/>
      <charset val="128"/>
    </font>
    <font>
      <b/>
      <sz val="16"/>
      <color indexed="10"/>
      <name val="MS P ゴシック"/>
      <family val="3"/>
      <charset val="128"/>
    </font>
    <font>
      <sz val="16"/>
      <color theme="1"/>
      <name val="ＭＳ ゴシック"/>
      <family val="3"/>
      <charset val="128"/>
    </font>
    <font>
      <b/>
      <sz val="18"/>
      <name val="ＭＳ Ｐゴシック"/>
      <family val="3"/>
      <charset val="128"/>
    </font>
    <font>
      <b/>
      <sz val="18"/>
      <color rgb="FFFF0000"/>
      <name val="ＭＳ Ｐゴシック"/>
      <family val="3"/>
      <charset val="128"/>
    </font>
    <font>
      <b/>
      <sz val="18"/>
      <color indexed="10"/>
      <name val="MS P ゴシック"/>
      <family val="3"/>
      <charset val="128"/>
    </font>
    <font>
      <b/>
      <sz val="12"/>
      <color rgb="FFFF0000"/>
      <name val="ＭＳ Ｐゴシック"/>
      <family val="3"/>
      <charset val="128"/>
    </font>
    <font>
      <sz val="11"/>
      <color rgb="FFFF0000"/>
      <name val="ＭＳ Ｐゴシック"/>
      <family val="3"/>
      <charset val="128"/>
    </font>
    <font>
      <b/>
      <sz val="11"/>
      <color rgb="FFFF0000"/>
      <name val="ＭＳ Ｐゴシック"/>
      <family val="3"/>
      <charset val="128"/>
    </font>
    <font>
      <b/>
      <sz val="12"/>
      <color rgb="FFDA9694"/>
      <name val="ＭＳ Ｐゴシック"/>
      <family val="3"/>
      <charset val="128"/>
    </font>
    <font>
      <b/>
      <u/>
      <sz val="11"/>
      <color rgb="FFFF0000"/>
      <name val="ＭＳ Ｐゴシック"/>
      <family val="3"/>
      <charset val="128"/>
    </font>
    <font>
      <sz val="10"/>
      <name val="游ゴシック"/>
      <family val="3"/>
      <charset val="128"/>
    </font>
    <font>
      <sz val="9"/>
      <name val="游ゴシック"/>
      <family val="3"/>
      <charset val="128"/>
    </font>
    <font>
      <b/>
      <sz val="10"/>
      <name val="游ゴシック"/>
      <family val="3"/>
      <charset val="128"/>
    </font>
    <font>
      <sz val="12"/>
      <name val="游ゴシック"/>
      <family val="3"/>
      <charset val="128"/>
    </font>
    <font>
      <b/>
      <sz val="11"/>
      <color indexed="81"/>
      <name val="BIZ UDPゴシック"/>
      <family val="3"/>
      <charset val="128"/>
    </font>
    <font>
      <b/>
      <u/>
      <sz val="8.5"/>
      <name val="ＭＳ Ｐゴシック"/>
      <family val="3"/>
      <charset val="128"/>
    </font>
    <font>
      <u/>
      <sz val="8.5"/>
      <name val="ＭＳ Ｐゴシック"/>
      <family val="3"/>
      <charset val="128"/>
    </font>
    <font>
      <b/>
      <u/>
      <sz val="9"/>
      <name val="ＭＳ Ｐゴシック"/>
      <family val="3"/>
      <charset val="128"/>
    </font>
    <font>
      <b/>
      <sz val="10"/>
      <name val="BIZ UDPゴシック"/>
      <family val="3"/>
      <charset val="128"/>
    </font>
    <font>
      <b/>
      <u/>
      <sz val="11"/>
      <color indexed="10"/>
      <name val="BIZ UDPゴシック"/>
      <family val="3"/>
      <charset val="128"/>
    </font>
    <font>
      <b/>
      <u/>
      <sz val="9"/>
      <color indexed="10"/>
      <name val="BIZ UDPゴシック"/>
      <family val="3"/>
      <charset val="128"/>
    </font>
    <font>
      <b/>
      <sz val="12"/>
      <color indexed="81"/>
      <name val="BIZ UDPゴシック"/>
      <family val="3"/>
      <charset val="128"/>
    </font>
  </fonts>
  <fills count="14">
    <fill>
      <patternFill patternType="none"/>
    </fill>
    <fill>
      <patternFill patternType="gray125"/>
    </fill>
    <fill>
      <patternFill patternType="solid">
        <fgColor rgb="FFCCFFFF"/>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FF0000"/>
        <bgColor indexed="64"/>
      </patternFill>
    </fill>
    <fill>
      <patternFill patternType="solid">
        <fgColor rgb="FFD9D9D9"/>
        <bgColor indexed="64"/>
      </patternFill>
    </fill>
    <fill>
      <patternFill patternType="solid">
        <fgColor rgb="FFFDE9D9"/>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DAEEF3"/>
        <bgColor indexed="64"/>
      </patternFill>
    </fill>
  </fills>
  <borders count="2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ck">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dotted">
        <color indexed="64"/>
      </left>
      <right/>
      <top style="thin">
        <color indexed="64"/>
      </top>
      <bottom style="thin">
        <color indexed="64"/>
      </bottom>
      <diagonal/>
    </border>
    <border>
      <left style="dashed">
        <color indexed="64"/>
      </left>
      <right style="thick">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dott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diagonalUp="1">
      <left style="thin">
        <color indexed="64"/>
      </left>
      <right style="hair">
        <color indexed="64"/>
      </right>
      <top style="thin">
        <color indexed="64"/>
      </top>
      <bottom style="thin">
        <color indexed="64"/>
      </bottom>
      <diagonal style="thin">
        <color indexed="64"/>
      </diagonal>
    </border>
    <border>
      <left style="thin">
        <color indexed="64"/>
      </left>
      <right style="thick">
        <color indexed="64"/>
      </right>
      <top style="thin">
        <color indexed="64"/>
      </top>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ck">
        <color indexed="64"/>
      </left>
      <right style="thick">
        <color indexed="64"/>
      </right>
      <top/>
      <bottom style="thick">
        <color indexed="64"/>
      </bottom>
      <diagonal/>
    </border>
    <border>
      <left style="thin">
        <color indexed="64"/>
      </left>
      <right style="hair">
        <color indexed="64"/>
      </right>
      <top/>
      <bottom style="thin">
        <color indexed="64"/>
      </bottom>
      <diagonal/>
    </border>
    <border>
      <left style="dashed">
        <color indexed="64"/>
      </left>
      <right style="thick">
        <color indexed="64"/>
      </right>
      <top style="thin">
        <color indexed="64"/>
      </top>
      <bottom/>
      <diagonal/>
    </border>
    <border>
      <left style="dashed">
        <color indexed="64"/>
      </left>
      <right style="thick">
        <color indexed="64"/>
      </right>
      <top/>
      <bottom/>
      <diagonal/>
    </border>
    <border>
      <left style="dashed">
        <color indexed="64"/>
      </left>
      <right style="thick">
        <color indexed="64"/>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n">
        <color indexed="64"/>
      </left>
      <right style="medium">
        <color indexed="64"/>
      </right>
      <top/>
      <bottom style="thin">
        <color indexed="64"/>
      </bottom>
      <diagonal/>
    </border>
    <border>
      <left style="hair">
        <color indexed="64"/>
      </left>
      <right style="thick">
        <color indexed="64"/>
      </right>
      <top style="thin">
        <color indexed="64"/>
      </top>
      <bottom/>
      <diagonal/>
    </border>
    <border>
      <left style="hair">
        <color indexed="64"/>
      </left>
      <right style="thick">
        <color indexed="64"/>
      </right>
      <top/>
      <bottom/>
      <diagonal/>
    </border>
    <border>
      <left style="hair">
        <color indexed="64"/>
      </left>
      <right style="thick">
        <color indexed="64"/>
      </right>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ck">
        <color indexed="64"/>
      </right>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hair">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ck">
        <color indexed="64"/>
      </left>
      <right style="thick">
        <color indexed="64"/>
      </right>
      <top/>
      <bottom style="double">
        <color indexed="64"/>
      </bottom>
      <diagonal/>
    </border>
    <border>
      <left style="thin">
        <color indexed="64"/>
      </left>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dashed">
        <color indexed="64"/>
      </left>
      <right style="thick">
        <color indexed="64"/>
      </right>
      <top/>
      <bottom style="double">
        <color indexed="64"/>
      </bottom>
      <diagonal/>
    </border>
    <border diagonalUp="1">
      <left style="thin">
        <color indexed="64"/>
      </left>
      <right style="thin">
        <color indexed="64"/>
      </right>
      <top style="double">
        <color indexed="64"/>
      </top>
      <bottom/>
      <diagonal style="thin">
        <color indexed="64"/>
      </diagonal>
    </border>
    <border>
      <left/>
      <right style="thin">
        <color indexed="64"/>
      </right>
      <top style="thin">
        <color indexed="64"/>
      </top>
      <bottom style="double">
        <color indexed="64"/>
      </bottom>
      <diagonal/>
    </border>
    <border diagonalUp="1">
      <left/>
      <right style="thin">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ck">
        <color indexed="64"/>
      </right>
      <top style="double">
        <color indexed="64"/>
      </top>
      <bottom style="thin">
        <color indexed="64"/>
      </bottom>
      <diagonal/>
    </border>
    <border>
      <left style="thick">
        <color indexed="64"/>
      </left>
      <right style="thick">
        <color indexed="64"/>
      </right>
      <top style="double">
        <color indexed="64"/>
      </top>
      <bottom/>
      <diagonal/>
    </border>
    <border>
      <left style="thin">
        <color indexed="64"/>
      </left>
      <right style="thin">
        <color indexed="64"/>
      </right>
      <top style="double">
        <color indexed="64"/>
      </top>
      <bottom/>
      <diagonal/>
    </border>
    <border>
      <left style="thin">
        <color indexed="64"/>
      </left>
      <right style="thick">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top style="hair">
        <color indexed="64"/>
      </top>
      <bottom/>
      <diagonal/>
    </border>
    <border>
      <left/>
      <right/>
      <top style="double">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bottom style="thick">
        <color indexed="64"/>
      </bottom>
      <diagonal/>
    </border>
    <border>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double">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double">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diagonalUp="1">
      <left/>
      <right style="thin">
        <color indexed="64"/>
      </right>
      <top style="thin">
        <color indexed="64"/>
      </top>
      <bottom style="thick">
        <color indexed="64"/>
      </bottom>
      <diagonal style="thin">
        <color indexed="64"/>
      </diagonal>
    </border>
    <border>
      <left style="thin">
        <color indexed="64"/>
      </left>
      <right style="thick">
        <color indexed="64"/>
      </right>
      <top style="thin">
        <color indexed="64"/>
      </top>
      <bottom style="thick">
        <color indexed="64"/>
      </bottom>
      <diagonal/>
    </border>
    <border>
      <left style="hair">
        <color indexed="64"/>
      </left>
      <right style="thick">
        <color indexed="64"/>
      </right>
      <top style="double">
        <color indexed="64"/>
      </top>
      <bottom/>
      <diagonal/>
    </border>
    <border>
      <left style="hair">
        <color indexed="64"/>
      </left>
      <right style="thin">
        <color indexed="64"/>
      </right>
      <top style="double">
        <color indexed="64"/>
      </top>
      <bottom/>
      <diagonal/>
    </border>
    <border>
      <left style="medium">
        <color indexed="64"/>
      </left>
      <right style="thick">
        <color indexed="64"/>
      </right>
      <top style="thick">
        <color indexed="64"/>
      </top>
      <bottom/>
      <diagonal/>
    </border>
    <border>
      <left style="medium">
        <color indexed="64"/>
      </left>
      <right style="thick">
        <color indexed="64"/>
      </right>
      <top/>
      <bottom style="thin">
        <color indexed="64"/>
      </bottom>
      <diagonal/>
    </border>
    <border>
      <left style="medium">
        <color indexed="64"/>
      </left>
      <right style="thin">
        <color indexed="64"/>
      </right>
      <top style="thin">
        <color indexed="64"/>
      </top>
      <bottom/>
      <diagonal/>
    </border>
    <border diagonalUp="1">
      <left/>
      <right/>
      <top style="thin">
        <color indexed="64"/>
      </top>
      <bottom style="thin">
        <color indexed="64"/>
      </bottom>
      <diagonal style="thin">
        <color indexed="64"/>
      </diagonal>
    </border>
    <border diagonalUp="1">
      <left style="thick">
        <color indexed="64"/>
      </left>
      <right/>
      <top style="thin">
        <color indexed="64"/>
      </top>
      <bottom style="thin">
        <color indexed="64"/>
      </bottom>
      <diagonal style="thin">
        <color indexed="64"/>
      </diagonal>
    </border>
    <border diagonalUp="1">
      <left style="thick">
        <color indexed="64"/>
      </left>
      <right/>
      <top style="thin">
        <color indexed="64"/>
      </top>
      <bottom style="double">
        <color indexed="64"/>
      </bottom>
      <diagonal style="thin">
        <color indexed="64"/>
      </diagonal>
    </border>
    <border>
      <left style="thin">
        <color indexed="64"/>
      </left>
      <right style="hair">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31" fillId="0" borderId="0">
      <alignment vertical="center"/>
    </xf>
    <xf numFmtId="0" fontId="41" fillId="0" borderId="0">
      <alignment vertical="center"/>
    </xf>
  </cellStyleXfs>
  <cellXfs count="916">
    <xf numFmtId="0" fontId="0" fillId="0" borderId="0" xfId="0">
      <alignment vertical="center"/>
    </xf>
    <xf numFmtId="0" fontId="0" fillId="0" borderId="0" xfId="0" applyProtection="1">
      <alignment vertical="center"/>
    </xf>
    <xf numFmtId="0" fontId="5" fillId="0" borderId="1" xfId="0" applyFont="1" applyBorder="1" applyAlignment="1" applyProtection="1">
      <alignment horizontal="center" vertical="center"/>
      <protection locked="0"/>
    </xf>
    <xf numFmtId="0" fontId="0" fillId="0" borderId="0" xfId="0" applyBorder="1" applyProtection="1">
      <alignment vertical="center"/>
      <protection locked="0"/>
    </xf>
    <xf numFmtId="0" fontId="0" fillId="0" borderId="0" xfId="0" applyProtection="1">
      <alignment vertical="center"/>
      <protection locked="0"/>
    </xf>
    <xf numFmtId="0" fontId="9"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center" vertical="center"/>
    </xf>
    <xf numFmtId="0" fontId="10" fillId="0" borderId="0" xfId="0" applyFont="1" applyAlignment="1" applyProtection="1">
      <alignment horizontal="left" vertical="center"/>
    </xf>
    <xf numFmtId="0" fontId="7" fillId="0" borderId="0" xfId="0" applyFont="1" applyAlignment="1" applyProtection="1">
      <alignment horizontal="center" vertical="center"/>
    </xf>
    <xf numFmtId="0" fontId="8" fillId="0" borderId="0" xfId="0" applyFont="1" applyBorder="1" applyAlignment="1" applyProtection="1">
      <alignment vertical="center"/>
    </xf>
    <xf numFmtId="0" fontId="7" fillId="0" borderId="0" xfId="0" applyFont="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8" fillId="0" borderId="0" xfId="0" applyFont="1" applyProtection="1">
      <alignment vertical="center"/>
    </xf>
    <xf numFmtId="0" fontId="3" fillId="0" borderId="0" xfId="0" applyFont="1" applyProtection="1">
      <alignment vertical="center"/>
    </xf>
    <xf numFmtId="0" fontId="8" fillId="0" borderId="0" xfId="0" applyNumberFormat="1" applyFont="1" applyAlignment="1" applyProtection="1">
      <alignment horizontal="left" vertical="center"/>
    </xf>
    <xf numFmtId="0" fontId="10" fillId="0" borderId="0" xfId="0" applyFont="1" applyAlignment="1" applyProtection="1">
      <alignment horizontal="right" vertical="center"/>
    </xf>
    <xf numFmtId="0" fontId="7" fillId="0" borderId="0" xfId="0" applyFont="1" applyAlignment="1" applyProtection="1">
      <alignment horizontal="left" vertical="center"/>
    </xf>
    <xf numFmtId="0" fontId="0" fillId="0" borderId="0" xfId="0" applyAlignment="1" applyProtection="1">
      <alignment horizontal="right" vertical="center"/>
    </xf>
    <xf numFmtId="0" fontId="8" fillId="0" borderId="0" xfId="0" applyFont="1" applyAlignment="1" applyProtection="1">
      <alignment vertical="center"/>
    </xf>
    <xf numFmtId="0" fontId="0" fillId="0" borderId="1" xfId="0" applyBorder="1" applyAlignment="1" applyProtection="1">
      <alignment horizontal="center" vertical="center"/>
    </xf>
    <xf numFmtId="0" fontId="9" fillId="0" borderId="0" xfId="0" applyFont="1" applyBorder="1" applyAlignment="1" applyProtection="1">
      <alignment horizontal="center" vertical="center"/>
    </xf>
    <xf numFmtId="0" fontId="5" fillId="0" borderId="0" xfId="0" applyFont="1" applyFill="1" applyBorder="1" applyAlignment="1" applyProtection="1">
      <alignment vertical="center"/>
    </xf>
    <xf numFmtId="0" fontId="0" fillId="0" borderId="0" xfId="0" applyFill="1" applyBorder="1" applyProtection="1">
      <alignment vertical="center"/>
      <protection locked="0"/>
    </xf>
    <xf numFmtId="0" fontId="5" fillId="0" borderId="2" xfId="0" applyFont="1" applyBorder="1" applyProtection="1">
      <alignment vertical="center"/>
      <protection locked="0"/>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Protection="1">
      <alignment vertical="center"/>
      <protection locked="0"/>
    </xf>
    <xf numFmtId="0" fontId="5" fillId="0" borderId="4" xfId="0" applyFont="1" applyBorder="1" applyProtection="1">
      <alignment vertical="center"/>
      <protection locked="0"/>
    </xf>
    <xf numFmtId="0" fontId="5" fillId="0" borderId="5" xfId="0" applyFont="1" applyBorder="1" applyProtection="1">
      <alignment vertical="center"/>
      <protection locked="0"/>
    </xf>
    <xf numFmtId="0" fontId="5" fillId="0" borderId="6" xfId="0" applyFont="1" applyBorder="1" applyProtection="1">
      <alignment vertical="center"/>
      <protection locked="0"/>
    </xf>
    <xf numFmtId="176" fontId="3" fillId="2" borderId="7" xfId="0" applyNumberFormat="1" applyFont="1" applyFill="1" applyBorder="1" applyAlignment="1" applyProtection="1">
      <alignment vertical="center"/>
    </xf>
    <xf numFmtId="176" fontId="3" fillId="2" borderId="8" xfId="0" applyNumberFormat="1" applyFont="1" applyFill="1" applyBorder="1" applyAlignment="1" applyProtection="1">
      <alignment vertical="center"/>
    </xf>
    <xf numFmtId="0" fontId="5" fillId="2" borderId="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0" borderId="7" xfId="0" applyFont="1" applyBorder="1" applyProtection="1">
      <alignment vertical="center"/>
      <protection locked="0"/>
    </xf>
    <xf numFmtId="0" fontId="0" fillId="0" borderId="12" xfId="0" applyBorder="1" applyAlignment="1" applyProtection="1">
      <alignment vertical="center" wrapText="1"/>
    </xf>
    <xf numFmtId="0" fontId="0" fillId="0" borderId="13" xfId="0" applyBorder="1" applyAlignment="1" applyProtection="1">
      <alignment vertical="center" wrapText="1"/>
    </xf>
    <xf numFmtId="0" fontId="0" fillId="0" borderId="14" xfId="0" applyBorder="1" applyAlignment="1" applyProtection="1">
      <alignment vertical="center" wrapText="1"/>
    </xf>
    <xf numFmtId="0" fontId="0" fillId="0" borderId="15" xfId="0" applyBorder="1" applyAlignment="1" applyProtection="1">
      <alignment vertical="center" wrapText="1"/>
    </xf>
    <xf numFmtId="0" fontId="0" fillId="0" borderId="16" xfId="0" applyBorder="1" applyAlignment="1" applyProtection="1">
      <alignment vertical="center" wrapText="1"/>
    </xf>
    <xf numFmtId="0" fontId="32" fillId="0" borderId="17" xfId="0" applyNumberFormat="1" applyFont="1" applyBorder="1" applyAlignment="1" applyProtection="1">
      <alignment vertical="center" shrinkToFit="1"/>
    </xf>
    <xf numFmtId="0" fontId="32" fillId="0" borderId="0" xfId="0" applyNumberFormat="1" applyFont="1" applyBorder="1" applyAlignment="1" applyProtection="1">
      <alignment vertical="center" shrinkToFit="1"/>
    </xf>
    <xf numFmtId="176" fontId="3" fillId="2" borderId="11" xfId="0" applyNumberFormat="1" applyFont="1" applyFill="1" applyBorder="1" applyAlignment="1" applyProtection="1">
      <alignment vertical="center"/>
    </xf>
    <xf numFmtId="176" fontId="3" fillId="2" borderId="10" xfId="0" applyNumberFormat="1" applyFont="1" applyFill="1" applyBorder="1" applyAlignment="1" applyProtection="1">
      <alignment vertical="center"/>
    </xf>
    <xf numFmtId="0" fontId="5" fillId="2" borderId="4" xfId="0" applyFont="1" applyFill="1" applyBorder="1" applyAlignment="1" applyProtection="1">
      <alignment horizontal="center" vertical="center" wrapText="1"/>
    </xf>
    <xf numFmtId="176" fontId="3" fillId="2" borderId="4" xfId="0" applyNumberFormat="1" applyFont="1" applyFill="1" applyBorder="1" applyAlignment="1" applyProtection="1">
      <alignment vertical="center"/>
    </xf>
    <xf numFmtId="176" fontId="3" fillId="2" borderId="18" xfId="0" applyNumberFormat="1" applyFont="1" applyFill="1" applyBorder="1" applyAlignment="1" applyProtection="1">
      <alignment vertical="center"/>
    </xf>
    <xf numFmtId="176" fontId="3" fillId="2" borderId="19" xfId="0" applyNumberFormat="1" applyFont="1" applyFill="1" applyBorder="1" applyAlignment="1" applyProtection="1">
      <alignment vertical="center"/>
    </xf>
    <xf numFmtId="176" fontId="3" fillId="2" borderId="20" xfId="0" applyNumberFormat="1" applyFont="1" applyFill="1" applyBorder="1" applyAlignment="1" applyProtection="1">
      <alignment vertical="center"/>
    </xf>
    <xf numFmtId="176" fontId="3" fillId="2" borderId="21" xfId="0" applyNumberFormat="1" applyFont="1" applyFill="1" applyBorder="1" applyAlignment="1" applyProtection="1">
      <alignment vertical="center"/>
    </xf>
    <xf numFmtId="0" fontId="5" fillId="0" borderId="7" xfId="0" applyFont="1" applyBorder="1" applyAlignment="1" applyProtection="1">
      <alignment horizontal="center" vertical="center"/>
      <protection locked="0"/>
    </xf>
    <xf numFmtId="0" fontId="0" fillId="0" borderId="1" xfId="0" applyBorder="1" applyAlignment="1" applyProtection="1">
      <alignment vertical="center"/>
    </xf>
    <xf numFmtId="0" fontId="0" fillId="0" borderId="1" xfId="0" applyFont="1" applyFill="1" applyBorder="1" applyAlignment="1" applyProtection="1">
      <alignment horizontal="right" vertical="center"/>
      <protection locked="0"/>
    </xf>
    <xf numFmtId="182" fontId="3" fillId="2" borderId="23" xfId="0" applyNumberFormat="1" applyFont="1" applyFill="1" applyBorder="1" applyAlignment="1" applyProtection="1">
      <alignment horizontal="right" vertical="center" shrinkToFit="1"/>
    </xf>
    <xf numFmtId="182" fontId="3" fillId="2" borderId="2" xfId="0" applyNumberFormat="1" applyFont="1" applyFill="1" applyBorder="1" applyAlignment="1" applyProtection="1">
      <alignment horizontal="right" vertical="center" shrinkToFit="1"/>
    </xf>
    <xf numFmtId="0" fontId="7" fillId="0" borderId="0" xfId="0" applyFont="1" applyBorder="1" applyAlignment="1" applyProtection="1">
      <alignment horizontal="center" vertical="center"/>
    </xf>
    <xf numFmtId="0" fontId="0" fillId="0" borderId="0" xfId="0" applyBorder="1" applyAlignment="1" applyProtection="1">
      <alignment vertical="center"/>
    </xf>
    <xf numFmtId="0" fontId="7" fillId="0" borderId="16" xfId="0" applyFont="1" applyBorder="1" applyAlignment="1" applyProtection="1">
      <alignment vertical="center" shrinkToFit="1"/>
    </xf>
    <xf numFmtId="0" fontId="7" fillId="0" borderId="16" xfId="0" applyFont="1" applyBorder="1" applyAlignment="1" applyProtection="1">
      <alignment horizontal="center" vertical="center"/>
    </xf>
    <xf numFmtId="180" fontId="7" fillId="0" borderId="16" xfId="0" applyNumberFormat="1" applyFont="1" applyBorder="1" applyAlignment="1" applyProtection="1">
      <alignment horizontal="center" vertical="center"/>
    </xf>
    <xf numFmtId="0" fontId="5" fillId="0" borderId="0" xfId="0" applyFont="1" applyAlignment="1" applyProtection="1">
      <alignment horizontal="right" vertical="center"/>
    </xf>
    <xf numFmtId="0" fontId="4" fillId="0" borderId="8" xfId="0" applyFont="1" applyBorder="1" applyAlignment="1" applyProtection="1">
      <alignment horizontal="center" vertical="center" wrapText="1"/>
    </xf>
    <xf numFmtId="0" fontId="12" fillId="0" borderId="7" xfId="0" applyFont="1" applyFill="1" applyBorder="1" applyAlignment="1" applyProtection="1">
      <alignment horizontal="center" vertical="top" wrapText="1"/>
    </xf>
    <xf numFmtId="0" fontId="11" fillId="0" borderId="11" xfId="0" applyFont="1" applyFill="1" applyBorder="1" applyAlignment="1" applyProtection="1">
      <alignment horizontal="center" vertical="top" wrapText="1"/>
    </xf>
    <xf numFmtId="180" fontId="11" fillId="0" borderId="2" xfId="0" applyNumberFormat="1" applyFont="1" applyFill="1" applyBorder="1" applyAlignment="1" applyProtection="1">
      <alignment horizontal="center" vertical="top" wrapText="1"/>
    </xf>
    <xf numFmtId="180" fontId="17" fillId="0" borderId="28" xfId="0" applyNumberFormat="1" applyFont="1" applyFill="1" applyBorder="1" applyAlignment="1" applyProtection="1">
      <alignment vertical="top" wrapText="1"/>
    </xf>
    <xf numFmtId="0" fontId="0" fillId="0" borderId="2" xfId="0" applyFont="1" applyBorder="1" applyAlignment="1" applyProtection="1">
      <alignment horizontal="center" vertical="center"/>
    </xf>
    <xf numFmtId="0" fontId="0" fillId="3" borderId="29" xfId="0" applyFont="1" applyFill="1" applyBorder="1" applyAlignment="1" applyProtection="1">
      <alignment horizontal="right" vertical="center"/>
    </xf>
    <xf numFmtId="0" fontId="0" fillId="3" borderId="30" xfId="0" applyFont="1" applyFill="1" applyBorder="1" applyAlignment="1" applyProtection="1">
      <alignment horizontal="right" vertical="center"/>
    </xf>
    <xf numFmtId="0" fontId="0" fillId="0" borderId="1" xfId="0" applyFont="1" applyBorder="1" applyAlignment="1" applyProtection="1">
      <alignment horizontal="center" vertical="center"/>
    </xf>
    <xf numFmtId="0" fontId="0" fillId="4" borderId="30" xfId="0" applyFont="1" applyFill="1" applyBorder="1" applyAlignment="1" applyProtection="1">
      <alignment horizontal="right" vertical="center"/>
    </xf>
    <xf numFmtId="0" fontId="0" fillId="0" borderId="0" xfId="0" applyFont="1" applyProtection="1">
      <alignment vertical="center"/>
    </xf>
    <xf numFmtId="0" fontId="0" fillId="0" borderId="0" xfId="0" applyFont="1" applyAlignment="1" applyProtection="1">
      <alignment vertical="center" wrapText="1"/>
    </xf>
    <xf numFmtId="180" fontId="0" fillId="0" borderId="0" xfId="0" applyNumberFormat="1" applyProtection="1">
      <alignment vertical="center"/>
    </xf>
    <xf numFmtId="0" fontId="0" fillId="0" borderId="0" xfId="0" applyAlignment="1" applyProtection="1">
      <alignment horizontal="center" vertical="center"/>
    </xf>
    <xf numFmtId="0" fontId="0" fillId="0" borderId="1"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Protection="1">
      <alignment vertical="center"/>
    </xf>
    <xf numFmtId="0" fontId="5" fillId="0" borderId="7" xfId="0" applyFont="1" applyBorder="1" applyAlignment="1" applyProtection="1">
      <alignment vertical="center"/>
      <protection locked="0"/>
    </xf>
    <xf numFmtId="0" fontId="0" fillId="0" borderId="31" xfId="0" applyBorder="1" applyAlignment="1" applyProtection="1">
      <alignment horizontal="center" vertical="center"/>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0" borderId="7" xfId="0" applyFont="1" applyBorder="1" applyAlignment="1" applyProtection="1">
      <alignment horizontal="center" vertical="center"/>
    </xf>
    <xf numFmtId="0" fontId="7" fillId="0" borderId="16" xfId="0" applyFont="1" applyFill="1" applyBorder="1" applyAlignment="1" applyProtection="1">
      <alignment horizontal="left" vertical="center"/>
    </xf>
    <xf numFmtId="0" fontId="5" fillId="0" borderId="16" xfId="0" applyFont="1" applyFill="1" applyBorder="1" applyAlignment="1" applyProtection="1">
      <alignment horizontal="center" vertical="center"/>
    </xf>
    <xf numFmtId="0" fontId="5" fillId="0" borderId="16" xfId="0" applyFont="1" applyFill="1" applyBorder="1" applyProtection="1">
      <alignment vertical="center"/>
    </xf>
    <xf numFmtId="176" fontId="3" fillId="0" borderId="16" xfId="0" applyNumberFormat="1" applyFont="1" applyFill="1" applyBorder="1" applyAlignment="1" applyProtection="1">
      <alignment vertical="center"/>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33" xfId="0" applyBorder="1" applyAlignment="1" applyProtection="1">
      <alignment horizontal="center" vertical="center" wrapText="1"/>
    </xf>
    <xf numFmtId="0" fontId="7" fillId="0" borderId="0" xfId="0" applyNumberFormat="1" applyFont="1" applyAlignment="1" applyProtection="1">
      <alignment horizontal="right" vertical="center"/>
    </xf>
    <xf numFmtId="0" fontId="0" fillId="0" borderId="0" xfId="0" applyBorder="1" applyAlignment="1" applyProtection="1">
      <alignment horizontal="center" vertical="center" shrinkToFit="1"/>
    </xf>
    <xf numFmtId="185" fontId="7" fillId="0" borderId="0" xfId="0" applyNumberFormat="1" applyFont="1" applyBorder="1" applyAlignment="1" applyProtection="1">
      <alignment horizontal="center" vertical="center" shrinkToFit="1"/>
    </xf>
    <xf numFmtId="0" fontId="4" fillId="0" borderId="0" xfId="0" applyFont="1" applyBorder="1" applyAlignment="1" applyProtection="1">
      <alignment horizontal="center" vertical="center"/>
    </xf>
    <xf numFmtId="0" fontId="9" fillId="0" borderId="34" xfId="0" applyFont="1" applyBorder="1" applyAlignment="1" applyProtection="1">
      <alignment horizontal="center" vertical="center"/>
    </xf>
    <xf numFmtId="0" fontId="5" fillId="0" borderId="3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176" fontId="3" fillId="0" borderId="37" xfId="0" applyNumberFormat="1"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176" fontId="3" fillId="0" borderId="32" xfId="0" applyNumberFormat="1" applyFont="1" applyFill="1" applyBorder="1" applyAlignment="1" applyProtection="1">
      <alignment horizontal="center" vertical="center"/>
      <protection locked="0"/>
    </xf>
    <xf numFmtId="176" fontId="3" fillId="0" borderId="38" xfId="0" applyNumberFormat="1" applyFont="1" applyFill="1" applyBorder="1" applyAlignment="1" applyProtection="1">
      <alignment horizontal="center" vertical="center"/>
      <protection locked="0"/>
    </xf>
    <xf numFmtId="176" fontId="3" fillId="0" borderId="39" xfId="0" applyNumberFormat="1" applyFont="1" applyFill="1" applyBorder="1" applyAlignment="1" applyProtection="1">
      <alignment horizontal="center" vertical="center"/>
      <protection locked="0"/>
    </xf>
    <xf numFmtId="176" fontId="3" fillId="0" borderId="40" xfId="0" applyNumberFormat="1" applyFont="1" applyFill="1" applyBorder="1" applyAlignment="1" applyProtection="1">
      <alignment horizontal="center" vertical="center"/>
      <protection locked="0"/>
    </xf>
    <xf numFmtId="0" fontId="0" fillId="0" borderId="17" xfId="0" applyBorder="1" applyAlignment="1" applyProtection="1">
      <alignment horizontal="center" vertical="center" shrinkToFit="1"/>
    </xf>
    <xf numFmtId="0" fontId="0" fillId="0" borderId="22" xfId="0" applyBorder="1" applyAlignment="1" applyProtection="1">
      <alignment horizontal="center" vertical="center"/>
    </xf>
    <xf numFmtId="0" fontId="0" fillId="0" borderId="0" xfId="0" applyFont="1" applyFill="1" applyAlignment="1" applyProtection="1">
      <alignment horizontal="left" vertical="top" wrapText="1"/>
    </xf>
    <xf numFmtId="0" fontId="9" fillId="0" borderId="42" xfId="0" applyFont="1" applyBorder="1" applyAlignment="1" applyProtection="1">
      <alignment horizontal="center" vertical="center" wrapText="1"/>
    </xf>
    <xf numFmtId="0" fontId="5" fillId="0" borderId="43" xfId="0" applyFont="1" applyBorder="1" applyAlignment="1" applyProtection="1">
      <alignment horizontal="center" vertical="center"/>
      <protection locked="0"/>
    </xf>
    <xf numFmtId="180" fontId="3" fillId="2" borderId="44" xfId="0" applyNumberFormat="1" applyFont="1" applyFill="1" applyBorder="1" applyAlignment="1" applyProtection="1">
      <alignment vertical="center"/>
    </xf>
    <xf numFmtId="0" fontId="9" fillId="0" borderId="41" xfId="0" applyFont="1" applyBorder="1" applyAlignment="1" applyProtection="1">
      <alignment horizontal="center" vertical="center"/>
    </xf>
    <xf numFmtId="180" fontId="3" fillId="2" borderId="31" xfId="0" applyNumberFormat="1" applyFont="1" applyFill="1" applyBorder="1" applyAlignment="1" applyProtection="1">
      <alignment vertical="center"/>
    </xf>
    <xf numFmtId="177" fontId="0" fillId="0" borderId="0" xfId="0" applyNumberFormat="1" applyProtection="1">
      <alignment vertical="center"/>
    </xf>
    <xf numFmtId="0" fontId="21" fillId="0" borderId="0" xfId="0" applyFont="1" applyProtection="1">
      <alignment vertical="center"/>
    </xf>
    <xf numFmtId="0" fontId="21" fillId="0" borderId="0" xfId="0" applyFont="1" applyBorder="1" applyAlignment="1" applyProtection="1">
      <alignment horizontal="center" vertical="center"/>
    </xf>
    <xf numFmtId="0" fontId="7" fillId="0" borderId="0" xfId="0" applyFont="1" applyProtection="1">
      <alignment vertical="center"/>
    </xf>
    <xf numFmtId="177" fontId="33" fillId="0" borderId="2" xfId="0" applyNumberFormat="1" applyFont="1" applyBorder="1" applyProtection="1">
      <alignment vertical="center"/>
    </xf>
    <xf numFmtId="0" fontId="21" fillId="0" borderId="8" xfId="0" applyFont="1" applyBorder="1" applyProtection="1">
      <alignment vertical="center"/>
    </xf>
    <xf numFmtId="0" fontId="21" fillId="0" borderId="0" xfId="0" applyFont="1" applyFill="1" applyAlignment="1" applyProtection="1">
      <alignment vertical="top" wrapText="1"/>
    </xf>
    <xf numFmtId="176" fontId="3" fillId="2" borderId="48" xfId="0" applyNumberFormat="1" applyFont="1" applyFill="1" applyBorder="1" applyAlignment="1" applyProtection="1">
      <alignment vertical="center"/>
    </xf>
    <xf numFmtId="176" fontId="3" fillId="2" borderId="9" xfId="0" applyNumberFormat="1" applyFont="1" applyFill="1" applyBorder="1" applyAlignment="1" applyProtection="1">
      <alignment vertical="center"/>
    </xf>
    <xf numFmtId="176" fontId="3" fillId="2" borderId="49" xfId="0" applyNumberFormat="1" applyFont="1" applyFill="1" applyBorder="1" applyAlignment="1" applyProtection="1">
      <alignment vertical="center"/>
    </xf>
    <xf numFmtId="176" fontId="3" fillId="2" borderId="50" xfId="0" applyNumberFormat="1" applyFont="1" applyFill="1" applyBorder="1" applyAlignment="1" applyProtection="1">
      <alignment vertical="center"/>
    </xf>
    <xf numFmtId="176" fontId="3" fillId="2" borderId="51" xfId="0" applyNumberFormat="1" applyFont="1" applyFill="1" applyBorder="1" applyAlignment="1" applyProtection="1">
      <alignment vertical="center"/>
    </xf>
    <xf numFmtId="176" fontId="3" fillId="0" borderId="52" xfId="0" applyNumberFormat="1" applyFont="1" applyFill="1" applyBorder="1" applyAlignment="1" applyProtection="1">
      <alignment horizontal="center" vertical="center"/>
      <protection locked="0"/>
    </xf>
    <xf numFmtId="176" fontId="3" fillId="2" borderId="37" xfId="0" applyNumberFormat="1" applyFont="1" applyFill="1" applyBorder="1" applyAlignment="1" applyProtection="1">
      <alignment vertical="center"/>
      <protection locked="0"/>
    </xf>
    <xf numFmtId="176" fontId="3" fillId="2" borderId="53" xfId="0" applyNumberFormat="1" applyFont="1" applyFill="1" applyBorder="1" applyAlignment="1" applyProtection="1">
      <alignment vertical="center"/>
      <protection locked="0"/>
    </xf>
    <xf numFmtId="176" fontId="3" fillId="2" borderId="11" xfId="0" applyNumberFormat="1" applyFont="1" applyFill="1" applyBorder="1" applyAlignment="1" applyProtection="1">
      <alignment vertical="center"/>
      <protection locked="0"/>
    </xf>
    <xf numFmtId="176" fontId="3" fillId="2" borderId="8" xfId="0" applyNumberFormat="1" applyFont="1" applyFill="1" applyBorder="1" applyAlignment="1" applyProtection="1">
      <alignment vertical="center"/>
      <protection locked="0"/>
    </xf>
    <xf numFmtId="176" fontId="3" fillId="2" borderId="2" xfId="0" applyNumberFormat="1" applyFont="1" applyFill="1" applyBorder="1" applyAlignment="1" applyProtection="1">
      <alignment vertical="center"/>
      <protection locked="0"/>
    </xf>
    <xf numFmtId="176" fontId="3" fillId="2" borderId="10" xfId="0" applyNumberFormat="1" applyFont="1" applyFill="1" applyBorder="1" applyAlignment="1" applyProtection="1">
      <alignment vertical="center"/>
      <protection locked="0"/>
    </xf>
    <xf numFmtId="176" fontId="3" fillId="2" borderId="18" xfId="0" applyNumberFormat="1" applyFont="1" applyFill="1" applyBorder="1" applyAlignment="1" applyProtection="1">
      <alignment vertical="center"/>
      <protection locked="0"/>
    </xf>
    <xf numFmtId="176" fontId="3" fillId="2" borderId="38" xfId="0" applyNumberFormat="1" applyFont="1" applyFill="1" applyBorder="1" applyAlignment="1" applyProtection="1">
      <alignment vertical="center"/>
      <protection locked="0"/>
    </xf>
    <xf numFmtId="176" fontId="3" fillId="2" borderId="54" xfId="0" applyNumberFormat="1" applyFont="1" applyFill="1" applyBorder="1" applyAlignment="1" applyProtection="1">
      <alignment vertical="center"/>
      <protection locked="0"/>
    </xf>
    <xf numFmtId="176" fontId="3" fillId="2" borderId="39" xfId="0" applyNumberFormat="1" applyFont="1" applyFill="1" applyBorder="1" applyAlignment="1" applyProtection="1">
      <alignment vertical="center"/>
      <protection locked="0"/>
    </xf>
    <xf numFmtId="176" fontId="3" fillId="2" borderId="20" xfId="0" applyNumberFormat="1" applyFont="1" applyFill="1" applyBorder="1" applyAlignment="1" applyProtection="1">
      <alignment vertical="center"/>
      <protection locked="0"/>
    </xf>
    <xf numFmtId="176" fontId="3" fillId="2" borderId="40" xfId="0" applyNumberFormat="1" applyFont="1" applyFill="1" applyBorder="1" applyAlignment="1" applyProtection="1">
      <alignment vertical="center"/>
      <protection locked="0"/>
    </xf>
    <xf numFmtId="176" fontId="3" fillId="2" borderId="48" xfId="0" applyNumberFormat="1" applyFont="1" applyFill="1" applyBorder="1" applyAlignment="1" applyProtection="1">
      <alignment vertical="center"/>
      <protection locked="0"/>
    </xf>
    <xf numFmtId="176" fontId="3" fillId="2" borderId="21" xfId="0" applyNumberFormat="1" applyFont="1" applyFill="1" applyBorder="1" applyAlignment="1" applyProtection="1">
      <alignment vertical="center"/>
      <protection locked="0"/>
    </xf>
    <xf numFmtId="0" fontId="7" fillId="0" borderId="16" xfId="0" applyFont="1" applyBorder="1" applyAlignment="1" applyProtection="1">
      <alignment horizontal="center" vertical="center" shrinkToFit="1"/>
    </xf>
    <xf numFmtId="0" fontId="0" fillId="0" borderId="1" xfId="0" applyFont="1" applyBorder="1" applyAlignment="1" applyProtection="1">
      <alignment vertical="center"/>
    </xf>
    <xf numFmtId="0" fontId="7" fillId="0" borderId="56" xfId="0" applyFont="1" applyBorder="1" applyAlignment="1" applyProtection="1">
      <alignment vertical="center" shrinkToFit="1"/>
      <protection locked="0"/>
    </xf>
    <xf numFmtId="0" fontId="10" fillId="0" borderId="0" xfId="0" applyFont="1" applyAlignment="1">
      <alignment horizontal="right" vertical="center"/>
    </xf>
    <xf numFmtId="0" fontId="7" fillId="0" borderId="0" xfId="0" applyFont="1" applyAlignment="1">
      <alignment horizontal="right" vertical="center"/>
    </xf>
    <xf numFmtId="0" fontId="8" fillId="2" borderId="56" xfId="0" applyFont="1" applyFill="1" applyBorder="1">
      <alignment vertical="center"/>
    </xf>
    <xf numFmtId="0" fontId="0" fillId="5" borderId="8" xfId="0" applyFill="1" applyBorder="1" applyAlignment="1">
      <alignment vertical="top" textRotation="255"/>
    </xf>
    <xf numFmtId="0" fontId="0" fillId="5" borderId="1" xfId="0" applyFill="1" applyBorder="1" applyAlignment="1">
      <alignment vertical="top" textRotation="255"/>
    </xf>
    <xf numFmtId="0" fontId="34" fillId="2" borderId="1" xfId="0" applyFont="1" applyFill="1" applyBorder="1">
      <alignment vertical="center"/>
    </xf>
    <xf numFmtId="178" fontId="34" fillId="5" borderId="1" xfId="0" applyNumberFormat="1" applyFont="1" applyFill="1" applyBorder="1">
      <alignment vertical="center"/>
    </xf>
    <xf numFmtId="0" fontId="35" fillId="0" borderId="24" xfId="0" applyFont="1" applyBorder="1" applyAlignment="1" applyProtection="1">
      <alignment horizontal="center" vertical="center" wrapText="1"/>
    </xf>
    <xf numFmtId="0" fontId="0" fillId="0" borderId="57" xfId="0" applyBorder="1" applyAlignment="1" applyProtection="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46" xfId="0" applyBorder="1">
      <alignment vertical="center"/>
    </xf>
    <xf numFmtId="0" fontId="0" fillId="0" borderId="58" xfId="0" applyBorder="1">
      <alignment vertical="center"/>
    </xf>
    <xf numFmtId="0" fontId="0" fillId="0" borderId="59" xfId="0" applyBorder="1">
      <alignment vertical="center"/>
    </xf>
    <xf numFmtId="0" fontId="0" fillId="0" borderId="16" xfId="0" applyBorder="1">
      <alignment vertical="center"/>
    </xf>
    <xf numFmtId="0" fontId="0" fillId="0" borderId="0" xfId="0" applyFont="1" applyBorder="1" applyAlignment="1" applyProtection="1">
      <alignment vertical="center"/>
    </xf>
    <xf numFmtId="0" fontId="11" fillId="6" borderId="0" xfId="0" applyFont="1" applyFill="1" applyBorder="1" applyAlignment="1" applyProtection="1">
      <alignment horizontal="center" vertical="center" wrapText="1"/>
    </xf>
    <xf numFmtId="0" fontId="3" fillId="0" borderId="0" xfId="0" applyFont="1" applyAlignment="1">
      <alignment horizontal="center" vertical="center" wrapText="1"/>
    </xf>
    <xf numFmtId="179" fontId="36" fillId="2" borderId="0" xfId="0" applyNumberFormat="1" applyFont="1" applyFill="1">
      <alignment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2" xfId="0" applyBorder="1" applyAlignment="1">
      <alignment horizontal="center" vertical="center"/>
    </xf>
    <xf numFmtId="0" fontId="0" fillId="0" borderId="32" xfId="0" applyBorder="1" applyAlignment="1">
      <alignment horizontal="center" vertical="center" shrinkToFit="1"/>
    </xf>
    <xf numFmtId="0" fontId="0" fillId="0" borderId="33" xfId="0" applyBorder="1" applyAlignment="1">
      <alignment horizontal="center" vertical="center"/>
    </xf>
    <xf numFmtId="0" fontId="0" fillId="0" borderId="61" xfId="0" applyBorder="1" applyAlignment="1">
      <alignment horizontal="center" vertical="center"/>
    </xf>
    <xf numFmtId="0" fontId="0" fillId="0" borderId="24" xfId="0" applyBorder="1" applyAlignment="1">
      <alignment horizontal="center" vertical="center"/>
    </xf>
    <xf numFmtId="0" fontId="3" fillId="0" borderId="22" xfId="0" applyFont="1" applyBorder="1" applyAlignment="1">
      <alignment horizontal="center" vertical="center" shrinkToFit="1"/>
    </xf>
    <xf numFmtId="188" fontId="0" fillId="2" borderId="23" xfId="0" applyNumberFormat="1" applyFill="1" applyBorder="1">
      <alignment vertical="center"/>
    </xf>
    <xf numFmtId="188" fontId="0" fillId="2" borderId="62" xfId="0" applyNumberFormat="1" applyFill="1" applyBorder="1">
      <alignment vertical="center"/>
    </xf>
    <xf numFmtId="188" fontId="0" fillId="2" borderId="22" xfId="0" applyNumberFormat="1" applyFill="1" applyBorder="1">
      <alignment vertical="center"/>
    </xf>
    <xf numFmtId="188" fontId="3" fillId="0" borderId="0" xfId="0" applyNumberFormat="1" applyFont="1">
      <alignment vertical="center"/>
    </xf>
    <xf numFmtId="0" fontId="3" fillId="0" borderId="63" xfId="0" applyFont="1" applyBorder="1" applyAlignment="1">
      <alignment horizontal="center" vertical="center"/>
    </xf>
    <xf numFmtId="0" fontId="0" fillId="2" borderId="63" xfId="0" applyFill="1" applyBorder="1">
      <alignment vertical="center"/>
    </xf>
    <xf numFmtId="0" fontId="0" fillId="2" borderId="64" xfId="0" applyFill="1" applyBorder="1">
      <alignment vertical="center"/>
    </xf>
    <xf numFmtId="0" fontId="0" fillId="2" borderId="65" xfId="0" applyFill="1" applyBorder="1">
      <alignment vertical="center"/>
    </xf>
    <xf numFmtId="0" fontId="0" fillId="2" borderId="66" xfId="0" applyFill="1" applyBorder="1">
      <alignment vertical="center"/>
    </xf>
    <xf numFmtId="0" fontId="3" fillId="0" borderId="0" xfId="0" applyFont="1">
      <alignment vertical="center"/>
    </xf>
    <xf numFmtId="0" fontId="3" fillId="0" borderId="24" xfId="0" applyFont="1" applyBorder="1" applyAlignment="1">
      <alignment horizontal="center" vertical="center"/>
    </xf>
    <xf numFmtId="0" fontId="3" fillId="0" borderId="67" xfId="0" applyFont="1" applyBorder="1" applyAlignment="1">
      <alignment horizontal="center" vertical="center"/>
    </xf>
    <xf numFmtId="0" fontId="0" fillId="2" borderId="68" xfId="0" applyFill="1" applyBorder="1">
      <alignment vertical="center"/>
    </xf>
    <xf numFmtId="0" fontId="0" fillId="2" borderId="69" xfId="0" applyFill="1" applyBorder="1">
      <alignment vertical="center"/>
    </xf>
    <xf numFmtId="0" fontId="0" fillId="2" borderId="70" xfId="0" applyFill="1" applyBorder="1">
      <alignment vertical="center"/>
    </xf>
    <xf numFmtId="0" fontId="0" fillId="2" borderId="71" xfId="0" applyFill="1" applyBorder="1">
      <alignment vertical="center"/>
    </xf>
    <xf numFmtId="0" fontId="0" fillId="2" borderId="72" xfId="0" applyFill="1" applyBorder="1">
      <alignment vertical="center"/>
    </xf>
    <xf numFmtId="0" fontId="3" fillId="0" borderId="72" xfId="0" applyFont="1" applyBorder="1" applyAlignment="1">
      <alignment horizontal="center" vertical="center"/>
    </xf>
    <xf numFmtId="0" fontId="0" fillId="2" borderId="73" xfId="0" applyFill="1" applyBorder="1">
      <alignment vertical="center"/>
    </xf>
    <xf numFmtId="0" fontId="0" fillId="2" borderId="74" xfId="0" applyFill="1" applyBorder="1">
      <alignment vertical="center"/>
    </xf>
    <xf numFmtId="189" fontId="3" fillId="0" borderId="0" xfId="0" applyNumberFormat="1" applyFont="1">
      <alignment vertical="center"/>
    </xf>
    <xf numFmtId="188" fontId="0" fillId="2" borderId="75" xfId="0" applyNumberFormat="1" applyFill="1" applyBorder="1">
      <alignment vertical="center"/>
    </xf>
    <xf numFmtId="0" fontId="0" fillId="2" borderId="67"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12" fillId="6" borderId="0" xfId="0" applyFont="1" applyFill="1" applyBorder="1" applyAlignment="1" applyProtection="1">
      <alignment horizontal="center" vertical="center" wrapText="1"/>
    </xf>
    <xf numFmtId="177" fontId="3" fillId="6" borderId="0" xfId="0" applyNumberFormat="1" applyFont="1" applyFill="1" applyBorder="1" applyAlignment="1" applyProtection="1">
      <alignment horizontal="right" vertical="center"/>
    </xf>
    <xf numFmtId="0" fontId="37" fillId="0" borderId="0" xfId="2" applyFont="1">
      <alignment vertical="center"/>
    </xf>
    <xf numFmtId="0" fontId="37" fillId="0" borderId="0" xfId="2" applyFont="1" applyAlignment="1">
      <alignment horizontal="center" vertical="center" shrinkToFit="1"/>
    </xf>
    <xf numFmtId="0" fontId="37" fillId="0" borderId="0" xfId="2" applyFont="1" applyAlignment="1">
      <alignment horizontal="center" vertical="center"/>
    </xf>
    <xf numFmtId="190" fontId="37" fillId="0" borderId="0" xfId="2" applyNumberFormat="1" applyFont="1" applyAlignment="1">
      <alignment horizontal="center" vertical="center" shrinkToFit="1"/>
    </xf>
    <xf numFmtId="41" fontId="37" fillId="0" borderId="0" xfId="2" applyNumberFormat="1" applyFont="1" applyAlignment="1">
      <alignment horizontal="center" vertical="center" shrinkToFit="1"/>
    </xf>
    <xf numFmtId="0" fontId="0" fillId="0" borderId="0" xfId="0" applyAlignment="1"/>
    <xf numFmtId="182" fontId="3" fillId="4" borderId="76" xfId="0" applyNumberFormat="1" applyFont="1" applyFill="1" applyBorder="1" applyAlignment="1" applyProtection="1">
      <alignment horizontal="right" vertical="center" shrinkToFit="1"/>
    </xf>
    <xf numFmtId="188" fontId="0" fillId="0" borderId="22" xfId="0" applyNumberFormat="1" applyBorder="1" applyProtection="1">
      <alignment vertical="center"/>
      <protection locked="0"/>
    </xf>
    <xf numFmtId="188" fontId="0" fillId="0" borderId="75" xfId="0" applyNumberFormat="1" applyBorder="1" applyProtection="1">
      <alignment vertical="center"/>
      <protection locked="0"/>
    </xf>
    <xf numFmtId="0" fontId="12" fillId="0" borderId="77" xfId="0" applyFont="1" applyFill="1" applyBorder="1" applyAlignment="1">
      <alignment horizontal="center" vertical="center" wrapText="1"/>
    </xf>
    <xf numFmtId="0" fontId="3" fillId="0" borderId="75" xfId="0" applyFont="1" applyBorder="1" applyAlignment="1">
      <alignment horizontal="center" vertical="center" shrinkToFit="1"/>
    </xf>
    <xf numFmtId="191" fontId="3" fillId="0" borderId="0" xfId="0" applyNumberFormat="1" applyFont="1">
      <alignment vertical="center"/>
    </xf>
    <xf numFmtId="191" fontId="0" fillId="0" borderId="0" xfId="0" applyNumberFormat="1">
      <alignment vertical="center"/>
    </xf>
    <xf numFmtId="178" fontId="0" fillId="0" borderId="1" xfId="0" applyNumberFormat="1" applyBorder="1">
      <alignment vertical="center"/>
    </xf>
    <xf numFmtId="0" fontId="0" fillId="0" borderId="1" xfId="0" applyBorder="1" applyAlignment="1" applyProtection="1">
      <alignment horizontal="center" vertical="center"/>
    </xf>
    <xf numFmtId="0" fontId="0" fillId="0" borderId="57" xfId="0" applyBorder="1" applyAlignment="1" applyProtection="1">
      <alignment horizontal="center" vertical="center"/>
    </xf>
    <xf numFmtId="0" fontId="0" fillId="0" borderId="1" xfId="0" applyBorder="1" applyAlignment="1">
      <alignment horizontal="center" vertical="center"/>
    </xf>
    <xf numFmtId="0" fontId="3" fillId="0" borderId="0" xfId="0" applyFont="1" applyAlignment="1">
      <alignment horizontal="center" vertical="center"/>
    </xf>
    <xf numFmtId="0" fontId="0" fillId="0" borderId="0" xfId="0" applyBorder="1" applyAlignment="1" applyProtection="1">
      <alignment horizontal="center" vertical="center"/>
    </xf>
    <xf numFmtId="0" fontId="9" fillId="0" borderId="41" xfId="0" applyFont="1" applyBorder="1" applyAlignment="1">
      <alignment horizontal="center" vertical="center" wrapText="1"/>
    </xf>
    <xf numFmtId="0" fontId="9" fillId="0" borderId="34" xfId="0" applyFont="1" applyBorder="1" applyAlignment="1">
      <alignment horizontal="center" vertical="center"/>
    </xf>
    <xf numFmtId="0" fontId="0" fillId="0" borderId="1" xfId="0" applyBorder="1" applyAlignment="1" applyProtection="1">
      <alignment horizontal="right" vertical="center"/>
      <protection locked="0"/>
    </xf>
    <xf numFmtId="0" fontId="0" fillId="0" borderId="24" xfId="0" applyFont="1" applyBorder="1" applyAlignment="1" applyProtection="1">
      <alignment horizontal="center" vertical="center"/>
    </xf>
    <xf numFmtId="182" fontId="3" fillId="2" borderId="59" xfId="0" applyNumberFormat="1" applyFont="1" applyFill="1" applyBorder="1" applyAlignment="1" applyProtection="1">
      <alignment horizontal="right" vertical="center" shrinkToFit="1"/>
    </xf>
    <xf numFmtId="182" fontId="3" fillId="2" borderId="46" xfId="0" applyNumberFormat="1" applyFont="1" applyFill="1" applyBorder="1" applyAlignment="1" applyProtection="1">
      <alignment horizontal="right" vertical="center" shrinkToFit="1"/>
    </xf>
    <xf numFmtId="182" fontId="3" fillId="4" borderId="122" xfId="0" applyNumberFormat="1" applyFont="1" applyFill="1" applyBorder="1" applyAlignment="1" applyProtection="1">
      <alignment horizontal="right" vertical="center" shrinkToFit="1"/>
    </xf>
    <xf numFmtId="0" fontId="0" fillId="0" borderId="123" xfId="0" applyFont="1" applyBorder="1" applyAlignment="1" applyProtection="1">
      <alignment horizontal="center" vertical="center"/>
    </xf>
    <xf numFmtId="0" fontId="0" fillId="0" borderId="123" xfId="0" applyFont="1" applyFill="1" applyBorder="1" applyAlignment="1" applyProtection="1">
      <alignment horizontal="right" vertical="center"/>
      <protection locked="0"/>
    </xf>
    <xf numFmtId="0" fontId="0" fillId="4" borderId="124" xfId="0" applyFont="1" applyFill="1" applyBorder="1" applyAlignment="1" applyProtection="1">
      <alignment horizontal="right" vertical="center"/>
    </xf>
    <xf numFmtId="0" fontId="0" fillId="3" borderId="124" xfId="0" applyFont="1" applyFill="1" applyBorder="1" applyAlignment="1" applyProtection="1">
      <alignment horizontal="right" vertical="center"/>
    </xf>
    <xf numFmtId="182" fontId="3" fillId="2" borderId="126" xfId="0" applyNumberFormat="1" applyFont="1" applyFill="1" applyBorder="1" applyAlignment="1" applyProtection="1">
      <alignment horizontal="right" vertical="center" shrinkToFit="1"/>
    </xf>
    <xf numFmtId="0" fontId="0" fillId="3" borderId="121" xfId="0" applyFill="1" applyBorder="1" applyAlignment="1">
      <alignment horizontal="right" vertical="center"/>
    </xf>
    <xf numFmtId="0" fontId="0" fillId="2" borderId="24" xfId="0" applyFill="1" applyBorder="1" applyAlignment="1">
      <alignment horizontal="right" vertical="center"/>
    </xf>
    <xf numFmtId="178" fontId="0" fillId="2" borderId="136" xfId="0" applyNumberFormat="1" applyFill="1" applyBorder="1">
      <alignment vertical="center"/>
    </xf>
    <xf numFmtId="0" fontId="0" fillId="3" borderId="30" xfId="0" applyFill="1" applyBorder="1" applyAlignment="1">
      <alignment horizontal="right" vertical="center"/>
    </xf>
    <xf numFmtId="0" fontId="0" fillId="2" borderId="1" xfId="0" applyFill="1" applyBorder="1" applyAlignment="1">
      <alignment horizontal="right" vertical="center"/>
    </xf>
    <xf numFmtId="178" fontId="0" fillId="2" borderId="30" xfId="0" applyNumberFormat="1" applyFill="1" applyBorder="1">
      <alignment vertical="center"/>
    </xf>
    <xf numFmtId="0" fontId="0" fillId="4" borderId="30" xfId="0" applyFill="1" applyBorder="1" applyAlignment="1">
      <alignment horizontal="right" vertical="center"/>
    </xf>
    <xf numFmtId="178" fontId="0" fillId="2" borderId="121" xfId="0" applyNumberFormat="1" applyFill="1" applyBorder="1">
      <alignment vertical="center"/>
    </xf>
    <xf numFmtId="0" fontId="0" fillId="0" borderId="137" xfId="0" applyFont="1" applyFill="1" applyBorder="1" applyAlignment="1" applyProtection="1">
      <alignment horizontal="right" vertical="center"/>
      <protection locked="0"/>
    </xf>
    <xf numFmtId="0" fontId="0" fillId="3" borderId="138" xfId="0" applyFill="1" applyBorder="1" applyAlignment="1">
      <alignment horizontal="right" vertical="center"/>
    </xf>
    <xf numFmtId="0" fontId="0" fillId="3" borderId="29" xfId="0" applyFill="1" applyBorder="1" applyAlignment="1">
      <alignment horizontal="right" vertical="center"/>
    </xf>
    <xf numFmtId="0" fontId="0" fillId="2" borderId="8" xfId="0" applyFill="1" applyBorder="1" applyAlignment="1">
      <alignment horizontal="right" vertical="center"/>
    </xf>
    <xf numFmtId="0" fontId="0" fillId="2" borderId="140" xfId="0" applyFill="1" applyBorder="1">
      <alignment vertical="center"/>
    </xf>
    <xf numFmtId="0" fontId="0" fillId="2" borderId="75" xfId="0" applyFill="1" applyBorder="1">
      <alignment vertical="center"/>
    </xf>
    <xf numFmtId="177" fontId="3" fillId="6" borderId="17" xfId="0" applyNumberFormat="1" applyFont="1" applyFill="1" applyBorder="1" applyAlignment="1" applyProtection="1">
      <alignment horizontal="right" vertical="center"/>
    </xf>
    <xf numFmtId="0" fontId="11" fillId="0" borderId="144" xfId="0" applyFont="1" applyBorder="1" applyAlignment="1">
      <alignment vertical="center" wrapText="1"/>
    </xf>
    <xf numFmtId="0" fontId="0" fillId="0" borderId="1" xfId="0" applyBorder="1" applyAlignment="1">
      <alignment horizontal="center" vertical="center" wrapText="1"/>
    </xf>
    <xf numFmtId="193" fontId="3" fillId="8" borderId="148" xfId="0" applyNumberFormat="1" applyFont="1" applyFill="1" applyBorder="1" applyAlignment="1">
      <alignment horizontal="center" vertical="center"/>
    </xf>
    <xf numFmtId="0" fontId="0" fillId="3" borderId="150" xfId="0" applyFill="1" applyBorder="1" applyAlignment="1">
      <alignment horizontal="right" vertical="center"/>
    </xf>
    <xf numFmtId="0" fontId="0" fillId="3" borderId="139" xfId="0" applyFill="1" applyBorder="1" applyAlignment="1">
      <alignment horizontal="right" vertical="center"/>
    </xf>
    <xf numFmtId="0" fontId="7" fillId="2" borderId="56" xfId="0" applyFont="1" applyFill="1" applyBorder="1" applyAlignment="1" applyProtection="1">
      <alignment horizontal="center" vertical="center"/>
    </xf>
    <xf numFmtId="0" fontId="0" fillId="0" borderId="1" xfId="0" applyFont="1" applyBorder="1" applyAlignment="1" applyProtection="1">
      <alignment vertical="center"/>
      <protection locked="0"/>
    </xf>
    <xf numFmtId="0" fontId="0" fillId="0" borderId="8" xfId="0" applyFont="1" applyBorder="1" applyAlignment="1" applyProtection="1">
      <alignment vertical="center"/>
      <protection locked="0"/>
    </xf>
    <xf numFmtId="0" fontId="0" fillId="0" borderId="24" xfId="0" applyBorder="1" applyAlignment="1" applyProtection="1">
      <alignment vertical="center"/>
      <protection locked="0"/>
    </xf>
    <xf numFmtId="0" fontId="0" fillId="0" borderId="1" xfId="0" applyBorder="1" applyAlignment="1" applyProtection="1">
      <alignment vertical="center"/>
      <protection locked="0"/>
    </xf>
    <xf numFmtId="0" fontId="0" fillId="0" borderId="123" xfId="0" applyBorder="1" applyAlignment="1" applyProtection="1">
      <alignment vertical="center"/>
      <protection locked="0"/>
    </xf>
    <xf numFmtId="0" fontId="0" fillId="2" borderId="24" xfId="0" applyFill="1" applyBorder="1" applyAlignment="1">
      <alignment vertical="center"/>
    </xf>
    <xf numFmtId="0" fontId="7" fillId="0" borderId="0" xfId="0" applyFont="1" applyBorder="1" applyAlignment="1" applyProtection="1">
      <alignment horizontal="center" vertical="center"/>
    </xf>
    <xf numFmtId="0" fontId="37" fillId="0" borderId="0" xfId="2" applyFont="1" applyAlignment="1">
      <alignment horizontal="left" vertical="center" wrapText="1"/>
    </xf>
    <xf numFmtId="0" fontId="0" fillId="0" borderId="0" xfId="0" applyAlignment="1">
      <alignment horizontal="center" vertical="center"/>
    </xf>
    <xf numFmtId="0" fontId="40" fillId="0" borderId="0" xfId="2" applyFont="1" applyAlignment="1">
      <alignment horizontal="center" vertical="center"/>
    </xf>
    <xf numFmtId="0" fontId="40" fillId="0" borderId="0" xfId="2" applyFont="1" applyAlignment="1">
      <alignment horizontal="center" vertical="center"/>
    </xf>
    <xf numFmtId="192" fontId="39" fillId="2" borderId="22" xfId="2" applyNumberFormat="1" applyFont="1" applyFill="1" applyBorder="1" applyAlignment="1">
      <alignment horizontal="center" vertical="center" shrinkToFit="1"/>
    </xf>
    <xf numFmtId="192" fontId="39" fillId="2" borderId="117" xfId="2" applyNumberFormat="1" applyFont="1" applyFill="1" applyBorder="1" applyAlignment="1">
      <alignment horizontal="center" vertical="center" shrinkToFit="1"/>
    </xf>
    <xf numFmtId="192" fontId="39" fillId="2" borderId="146" xfId="2" applyNumberFormat="1" applyFont="1" applyFill="1" applyBorder="1" applyAlignment="1">
      <alignment horizontal="center" vertical="center" shrinkToFit="1"/>
    </xf>
    <xf numFmtId="192" fontId="39" fillId="2" borderId="24" xfId="2" applyNumberFormat="1" applyFont="1" applyFill="1" applyBorder="1" applyAlignment="1">
      <alignment horizontal="center" vertical="center" shrinkToFit="1"/>
    </xf>
    <xf numFmtId="0" fontId="12" fillId="0" borderId="24" xfId="0" applyFont="1" applyFill="1" applyBorder="1" applyAlignment="1">
      <alignment horizontal="center" vertical="center" wrapText="1"/>
    </xf>
    <xf numFmtId="192" fontId="38" fillId="2" borderId="75" xfId="2" applyNumberFormat="1" applyFont="1" applyFill="1" applyBorder="1" applyAlignment="1">
      <alignment horizontal="center" vertical="center" shrinkToFit="1"/>
    </xf>
    <xf numFmtId="192" fontId="38" fillId="2" borderId="159" xfId="2" applyNumberFormat="1" applyFont="1" applyFill="1" applyBorder="1" applyAlignment="1">
      <alignment horizontal="center" vertical="center" shrinkToFit="1"/>
    </xf>
    <xf numFmtId="192" fontId="38" fillId="2" borderId="117" xfId="2" applyNumberFormat="1" applyFont="1" applyFill="1" applyBorder="1" applyAlignment="1">
      <alignment horizontal="center" vertical="center" shrinkToFit="1"/>
    </xf>
    <xf numFmtId="192" fontId="38" fillId="2" borderId="161" xfId="2" applyNumberFormat="1" applyFont="1" applyFill="1" applyBorder="1" applyAlignment="1">
      <alignment horizontal="center" vertical="center" shrinkToFit="1"/>
    </xf>
    <xf numFmtId="192" fontId="38" fillId="2" borderId="146" xfId="2" applyNumberFormat="1" applyFont="1" applyFill="1" applyBorder="1" applyAlignment="1">
      <alignment horizontal="center" vertical="center" shrinkToFit="1"/>
    </xf>
    <xf numFmtId="192" fontId="38" fillId="2" borderId="163" xfId="2" applyNumberFormat="1" applyFont="1" applyFill="1" applyBorder="1" applyAlignment="1">
      <alignment horizontal="center" vertical="center" shrinkToFit="1"/>
    </xf>
    <xf numFmtId="192" fontId="38" fillId="2" borderId="164" xfId="2" applyNumberFormat="1" applyFont="1" applyFill="1" applyBorder="1" applyAlignment="1">
      <alignment horizontal="center" vertical="center" shrinkToFit="1"/>
    </xf>
    <xf numFmtId="192" fontId="38" fillId="2" borderId="45" xfId="2" applyNumberFormat="1" applyFont="1" applyFill="1" applyBorder="1" applyAlignment="1">
      <alignment horizontal="center" vertical="center" shrinkToFit="1"/>
    </xf>
    <xf numFmtId="0" fontId="48" fillId="9" borderId="7" xfId="2" applyFont="1" applyFill="1" applyBorder="1" applyAlignment="1">
      <alignment horizontal="center" vertical="center" shrinkToFit="1"/>
    </xf>
    <xf numFmtId="0" fontId="48" fillId="9" borderId="157" xfId="2" applyFont="1" applyFill="1" applyBorder="1" applyAlignment="1">
      <alignment horizontal="center" vertical="center" wrapText="1" shrinkToFit="1"/>
    </xf>
    <xf numFmtId="0" fontId="48" fillId="9" borderId="24" xfId="2" applyFont="1" applyFill="1" applyBorder="1" applyAlignment="1">
      <alignment horizontal="center" vertical="center" shrinkToFit="1"/>
    </xf>
    <xf numFmtId="0" fontId="48" fillId="9" borderId="59" xfId="2" applyFont="1" applyFill="1" applyBorder="1" applyAlignment="1">
      <alignment horizontal="center" vertical="center" shrinkToFit="1"/>
    </xf>
    <xf numFmtId="0" fontId="49" fillId="9" borderId="1" xfId="2" applyFont="1" applyFill="1" applyBorder="1" applyAlignment="1">
      <alignment horizontal="center" vertical="center" shrinkToFit="1"/>
    </xf>
    <xf numFmtId="0" fontId="49" fillId="9" borderId="32" xfId="2" applyFont="1" applyFill="1" applyBorder="1" applyAlignment="1">
      <alignment horizontal="center" vertical="center" shrinkToFit="1"/>
    </xf>
    <xf numFmtId="0" fontId="50" fillId="0" borderId="0" xfId="2" applyFont="1" applyFill="1">
      <alignment vertical="center"/>
    </xf>
    <xf numFmtId="0" fontId="48" fillId="0" borderId="0" xfId="2" applyFont="1" applyFill="1" applyAlignment="1">
      <alignment horizontal="center" vertical="center" shrinkToFit="1"/>
    </xf>
    <xf numFmtId="0" fontId="48" fillId="0" borderId="0" xfId="2" applyFont="1" applyFill="1" applyAlignment="1">
      <alignment horizontal="left" vertical="center"/>
    </xf>
    <xf numFmtId="0" fontId="48" fillId="0" borderId="0" xfId="2" applyFont="1" applyFill="1" applyAlignment="1">
      <alignment horizontal="center" vertical="center"/>
    </xf>
    <xf numFmtId="41" fontId="48" fillId="0" borderId="0" xfId="2" applyNumberFormat="1" applyFont="1" applyFill="1" applyAlignment="1">
      <alignment horizontal="center" vertical="center" shrinkToFit="1"/>
    </xf>
    <xf numFmtId="0" fontId="0" fillId="0" borderId="0" xfId="0" applyFont="1" applyFill="1">
      <alignment vertical="center"/>
    </xf>
    <xf numFmtId="0" fontId="0"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44" xfId="0" applyFont="1" applyFill="1" applyBorder="1" applyAlignment="1">
      <alignment horizontal="center" vertical="center" wrapText="1"/>
    </xf>
    <xf numFmtId="0" fontId="5" fillId="0" borderId="168" xfId="0" applyFont="1" applyFill="1" applyBorder="1" applyAlignment="1">
      <alignment horizontal="center" vertical="center" wrapText="1"/>
    </xf>
    <xf numFmtId="0" fontId="5" fillId="0" borderId="152" xfId="0" applyFont="1" applyFill="1" applyBorder="1" applyAlignment="1">
      <alignment horizontal="center" vertical="center" wrapText="1"/>
    </xf>
    <xf numFmtId="0" fontId="5" fillId="0" borderId="113" xfId="0" applyFont="1" applyFill="1" applyBorder="1" applyAlignment="1">
      <alignment horizontal="center" vertical="center" wrapText="1"/>
    </xf>
    <xf numFmtId="0" fontId="5" fillId="0" borderId="153" xfId="0" applyFont="1" applyFill="1" applyBorder="1" applyAlignment="1">
      <alignment horizontal="center" vertical="center" wrapText="1"/>
    </xf>
    <xf numFmtId="178" fontId="0" fillId="0" borderId="1" xfId="0" applyNumberFormat="1" applyFont="1" applyFill="1" applyBorder="1">
      <alignment vertical="center"/>
    </xf>
    <xf numFmtId="178" fontId="0" fillId="0" borderId="0" xfId="0" applyNumberFormat="1" applyFont="1" applyFill="1">
      <alignment vertical="center"/>
    </xf>
    <xf numFmtId="178" fontId="0" fillId="0" borderId="166" xfId="0" applyNumberFormat="1" applyFont="1" applyFill="1" applyBorder="1">
      <alignment vertical="center"/>
    </xf>
    <xf numFmtId="0" fontId="0" fillId="0" borderId="37" xfId="0" applyFont="1" applyFill="1" applyBorder="1">
      <alignment vertical="center"/>
    </xf>
    <xf numFmtId="0" fontId="0" fillId="0" borderId="33" xfId="0" applyFont="1" applyFill="1" applyBorder="1">
      <alignment vertical="center"/>
    </xf>
    <xf numFmtId="0" fontId="0" fillId="0" borderId="1" xfId="0" applyFont="1" applyFill="1" applyBorder="1">
      <alignment vertical="center"/>
    </xf>
    <xf numFmtId="0" fontId="0" fillId="0" borderId="32" xfId="0" applyFont="1" applyFill="1" applyBorder="1">
      <alignment vertical="center"/>
    </xf>
    <xf numFmtId="178" fontId="0" fillId="0" borderId="167" xfId="0" applyNumberFormat="1" applyFont="1" applyFill="1" applyBorder="1">
      <alignment vertical="center"/>
    </xf>
    <xf numFmtId="0" fontId="0" fillId="0" borderId="154" xfId="0" applyFont="1" applyFill="1" applyBorder="1">
      <alignment vertical="center"/>
    </xf>
    <xf numFmtId="0" fontId="0" fillId="0" borderId="155" xfId="0" applyFont="1" applyFill="1" applyBorder="1">
      <alignment vertical="center"/>
    </xf>
    <xf numFmtId="0" fontId="0" fillId="0" borderId="52" xfId="0" applyFont="1" applyFill="1" applyBorder="1">
      <alignment vertical="center"/>
    </xf>
    <xf numFmtId="192" fontId="38" fillId="2" borderId="170" xfId="2" applyNumberFormat="1" applyFont="1" applyFill="1" applyBorder="1" applyAlignment="1">
      <alignment horizontal="center" vertical="center" shrinkToFit="1"/>
    </xf>
    <xf numFmtId="184" fontId="0" fillId="0" borderId="2" xfId="0" applyNumberFormat="1" applyFont="1" applyFill="1" applyBorder="1">
      <alignment vertical="center"/>
    </xf>
    <xf numFmtId="193" fontId="3" fillId="8" borderId="171" xfId="0" applyNumberFormat="1" applyFont="1" applyFill="1" applyBorder="1" applyAlignment="1">
      <alignment horizontal="center" vertical="center"/>
    </xf>
    <xf numFmtId="0" fontId="0" fillId="0" borderId="1" xfId="0" applyBorder="1" applyAlignment="1">
      <alignment horizontal="center" vertical="center"/>
    </xf>
    <xf numFmtId="184" fontId="0" fillId="0" borderId="1" xfId="0" applyNumberFormat="1" applyBorder="1" applyProtection="1">
      <alignment vertical="center"/>
    </xf>
    <xf numFmtId="2" fontId="0" fillId="0" borderId="1" xfId="0" applyNumberFormat="1" applyBorder="1">
      <alignment vertical="center"/>
    </xf>
    <xf numFmtId="184" fontId="0" fillId="0" borderId="1" xfId="0" applyNumberFormat="1" applyBorder="1">
      <alignment vertical="center"/>
    </xf>
    <xf numFmtId="192" fontId="38" fillId="2" borderId="44" xfId="2" applyNumberFormat="1" applyFont="1" applyFill="1" applyBorder="1" applyAlignment="1">
      <alignment horizontal="center" vertical="center" shrinkToFit="1"/>
    </xf>
    <xf numFmtId="192" fontId="39" fillId="2" borderId="24" xfId="2" applyNumberFormat="1" applyFont="1" applyFill="1" applyBorder="1" applyAlignment="1">
      <alignment horizontal="center" vertical="center" shrinkToFit="1"/>
    </xf>
    <xf numFmtId="192" fontId="39" fillId="2" borderId="117" xfId="2" applyNumberFormat="1" applyFont="1" applyFill="1" applyBorder="1" applyAlignment="1">
      <alignment horizontal="center" vertical="center" shrinkToFit="1"/>
    </xf>
    <xf numFmtId="192" fontId="38" fillId="2" borderId="160" xfId="2" applyNumberFormat="1" applyFont="1" applyFill="1" applyBorder="1" applyAlignment="1">
      <alignment horizontal="center" vertical="center" shrinkToFit="1"/>
    </xf>
    <xf numFmtId="192" fontId="39" fillId="2" borderId="146" xfId="2" applyNumberFormat="1" applyFont="1" applyFill="1" applyBorder="1" applyAlignment="1">
      <alignment horizontal="center" vertical="center" shrinkToFit="1"/>
    </xf>
    <xf numFmtId="192" fontId="38" fillId="2" borderId="162" xfId="2" applyNumberFormat="1" applyFont="1" applyFill="1" applyBorder="1" applyAlignment="1">
      <alignment horizontal="center" vertical="center" shrinkToFit="1"/>
    </xf>
    <xf numFmtId="0" fontId="48" fillId="9" borderId="7" xfId="2" applyFont="1" applyFill="1" applyBorder="1" applyAlignment="1">
      <alignment horizontal="center" vertical="center"/>
    </xf>
    <xf numFmtId="192" fontId="38" fillId="2" borderId="165" xfId="2" applyNumberFormat="1" applyFont="1" applyFill="1" applyBorder="1" applyAlignment="1">
      <alignment horizontal="center" vertical="center" shrinkToFit="1"/>
    </xf>
    <xf numFmtId="192" fontId="39" fillId="2" borderId="22" xfId="2" applyNumberFormat="1" applyFont="1" applyFill="1" applyBorder="1" applyAlignment="1">
      <alignment horizontal="center" vertical="center" shrinkToFit="1"/>
    </xf>
    <xf numFmtId="180" fontId="12" fillId="0" borderId="27" xfId="0" applyNumberFormat="1" applyFont="1" applyFill="1" applyBorder="1" applyAlignment="1" applyProtection="1">
      <alignment vertical="top" wrapText="1"/>
    </xf>
    <xf numFmtId="0" fontId="48" fillId="9" borderId="7" xfId="2" applyFont="1" applyFill="1" applyBorder="1" applyAlignment="1">
      <alignment vertical="center"/>
    </xf>
    <xf numFmtId="0" fontId="8" fillId="0" borderId="0" xfId="0" applyFont="1" applyAlignment="1" applyProtection="1">
      <alignment horizontal="left" vertical="center"/>
    </xf>
    <xf numFmtId="0" fontId="57" fillId="0" borderId="0" xfId="0" applyFont="1" applyAlignment="1" applyProtection="1">
      <alignment horizontal="left" vertical="center"/>
    </xf>
    <xf numFmtId="0" fontId="0" fillId="0" borderId="55"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125"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123" xfId="0" applyFont="1" applyFill="1" applyBorder="1" applyAlignment="1" applyProtection="1">
      <alignment horizontal="center" vertical="center"/>
      <protection locked="0"/>
    </xf>
    <xf numFmtId="0" fontId="0" fillId="0" borderId="1" xfId="0" applyBorder="1" applyAlignment="1">
      <alignment vertical="top" textRotation="255"/>
    </xf>
    <xf numFmtId="0" fontId="21" fillId="0" borderId="0" xfId="0" applyFont="1">
      <alignment vertical="center"/>
    </xf>
    <xf numFmtId="0" fontId="60" fillId="0" borderId="154" xfId="0" applyFont="1" applyBorder="1" applyAlignment="1">
      <alignment horizontal="center" vertical="center"/>
    </xf>
    <xf numFmtId="0" fontId="3" fillId="0" borderId="0" xfId="0" applyFont="1" applyBorder="1" applyAlignment="1">
      <alignment horizontal="center" vertical="center" wrapText="1"/>
    </xf>
    <xf numFmtId="184" fontId="0" fillId="0" borderId="0" xfId="0" applyNumberFormat="1" applyBorder="1" applyAlignment="1" applyProtection="1">
      <alignment horizontal="right" vertical="center"/>
    </xf>
    <xf numFmtId="2" fontId="0" fillId="0" borderId="0" xfId="0" applyNumberFormat="1" applyBorder="1" applyAlignment="1">
      <alignment horizontal="right" vertical="center"/>
    </xf>
    <xf numFmtId="184" fontId="0" fillId="0" borderId="0" xfId="0" applyNumberFormat="1" applyBorder="1" applyAlignment="1">
      <alignment horizontal="right" vertical="center"/>
    </xf>
    <xf numFmtId="180" fontId="0" fillId="0" borderId="0" xfId="0" applyNumberFormat="1">
      <alignment vertical="center"/>
    </xf>
    <xf numFmtId="177" fontId="63" fillId="10" borderId="46" xfId="0" applyNumberFormat="1" applyFont="1" applyFill="1" applyBorder="1" applyAlignment="1">
      <alignment horizontal="center" vertical="center"/>
    </xf>
    <xf numFmtId="0" fontId="0" fillId="0" borderId="0" xfId="0" applyAlignment="1">
      <alignment vertical="center" wrapText="1"/>
    </xf>
    <xf numFmtId="0" fontId="0" fillId="5" borderId="201" xfId="0" applyFill="1" applyBorder="1" applyAlignment="1">
      <alignment horizontal="center" vertical="center" wrapText="1"/>
    </xf>
    <xf numFmtId="0" fontId="0" fillId="5" borderId="199" xfId="0" applyFill="1" applyBorder="1" applyAlignment="1">
      <alignment horizontal="center" vertical="center" wrapText="1"/>
    </xf>
    <xf numFmtId="0" fontId="0" fillId="5" borderId="202" xfId="0" applyFill="1" applyBorder="1" applyAlignment="1">
      <alignment horizontal="center" vertical="center" wrapText="1"/>
    </xf>
    <xf numFmtId="0" fontId="0" fillId="0" borderId="97" xfId="0" applyBorder="1">
      <alignment vertical="center"/>
    </xf>
    <xf numFmtId="180" fontId="0" fillId="0" borderId="58" xfId="0" applyNumberFormat="1" applyBorder="1">
      <alignment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148" xfId="0" applyFont="1" applyBorder="1" applyAlignment="1">
      <alignment horizontal="center" vertical="center"/>
    </xf>
    <xf numFmtId="0" fontId="0" fillId="0" borderId="17" xfId="0" applyBorder="1">
      <alignment vertical="center"/>
    </xf>
    <xf numFmtId="192" fontId="3" fillId="4" borderId="29" xfId="0" applyNumberFormat="1" applyFont="1" applyFill="1" applyBorder="1" applyAlignment="1">
      <alignment horizontal="center" vertical="center"/>
    </xf>
    <xf numFmtId="184" fontId="7" fillId="0" borderId="1" xfId="0" applyNumberFormat="1" applyFont="1" applyBorder="1" applyAlignment="1">
      <alignment horizontal="center" vertical="center"/>
    </xf>
    <xf numFmtId="184" fontId="7" fillId="0" borderId="148" xfId="0" applyNumberFormat="1" applyFont="1" applyBorder="1" applyAlignment="1">
      <alignment horizontal="center" vertical="center"/>
    </xf>
    <xf numFmtId="0" fontId="3" fillId="5" borderId="207" xfId="0" applyFont="1" applyFill="1" applyBorder="1" applyAlignment="1">
      <alignment horizontal="center" vertical="center" wrapText="1"/>
    </xf>
    <xf numFmtId="195" fontId="3" fillId="11" borderId="208" xfId="0" applyNumberFormat="1" applyFont="1" applyFill="1" applyBorder="1" applyAlignment="1" applyProtection="1">
      <alignment horizontal="center" vertical="center"/>
      <protection locked="0"/>
    </xf>
    <xf numFmtId="192" fontId="3" fillId="4" borderId="209" xfId="0" applyNumberFormat="1" applyFont="1" applyFill="1" applyBorder="1" applyAlignment="1">
      <alignment horizontal="center" vertical="center"/>
    </xf>
    <xf numFmtId="184" fontId="7" fillId="0" borderId="207" xfId="0" applyNumberFormat="1" applyFont="1" applyBorder="1" applyAlignment="1">
      <alignment horizontal="center" vertical="center"/>
    </xf>
    <xf numFmtId="184" fontId="7" fillId="0" borderId="210" xfId="0" applyNumberFormat="1" applyFont="1" applyBorder="1" applyAlignment="1">
      <alignment horizontal="center" vertical="center"/>
    </xf>
    <xf numFmtId="192" fontId="0" fillId="0" borderId="0" xfId="0" applyNumberFormat="1">
      <alignment vertical="center"/>
    </xf>
    <xf numFmtId="192" fontId="0" fillId="0" borderId="0" xfId="0" applyNumberFormat="1" applyAlignment="1">
      <alignment horizontal="center" vertical="center"/>
    </xf>
    <xf numFmtId="182" fontId="3" fillId="2" borderId="35" xfId="0" applyNumberFormat="1" applyFont="1" applyFill="1" applyBorder="1" applyAlignment="1" applyProtection="1">
      <alignment horizontal="right" vertical="center" shrinkToFit="1"/>
    </xf>
    <xf numFmtId="0" fontId="7" fillId="0" borderId="0" xfId="0" applyFont="1" applyBorder="1" applyAlignment="1" applyProtection="1">
      <alignment horizontal="center" vertical="center"/>
    </xf>
    <xf numFmtId="196" fontId="3" fillId="2" borderId="37" xfId="0" applyNumberFormat="1" applyFont="1" applyFill="1" applyBorder="1" applyAlignment="1" applyProtection="1">
      <alignment vertical="center"/>
    </xf>
    <xf numFmtId="196" fontId="62" fillId="2" borderId="33" xfId="0" applyNumberFormat="1" applyFont="1" applyFill="1" applyBorder="1">
      <alignment vertical="center"/>
    </xf>
    <xf numFmtId="196" fontId="62" fillId="2" borderId="1" xfId="0" applyNumberFormat="1" applyFont="1" applyFill="1" applyBorder="1">
      <alignment vertical="center"/>
    </xf>
    <xf numFmtId="196" fontId="62" fillId="2" borderId="32" xfId="0" applyNumberFormat="1" applyFont="1" applyFill="1" applyBorder="1">
      <alignment vertical="center"/>
    </xf>
    <xf numFmtId="0" fontId="65" fillId="0" borderId="0" xfId="0" applyFont="1">
      <alignment vertical="center"/>
    </xf>
    <xf numFmtId="0" fontId="66" fillId="0" borderId="0" xfId="0" applyFont="1" applyAlignment="1">
      <alignment horizontal="center" wrapText="1"/>
    </xf>
    <xf numFmtId="0" fontId="65" fillId="0" borderId="1" xfId="0" applyFont="1" applyBorder="1" applyAlignment="1">
      <alignment horizontal="center" vertical="center"/>
    </xf>
    <xf numFmtId="0" fontId="65" fillId="0" borderId="0" xfId="0" applyFont="1" applyAlignment="1">
      <alignment horizontal="center" vertical="center" wrapText="1"/>
    </xf>
    <xf numFmtId="0" fontId="65" fillId="0" borderId="0" xfId="0" applyFont="1" applyAlignment="1">
      <alignment horizontal="center" vertical="center"/>
    </xf>
    <xf numFmtId="0" fontId="67" fillId="0" borderId="1" xfId="0" applyFont="1" applyBorder="1" applyAlignment="1">
      <alignment horizontal="center" vertical="center" wrapText="1"/>
    </xf>
    <xf numFmtId="0" fontId="65" fillId="0" borderId="1" xfId="0" applyFont="1" applyBorder="1" applyAlignment="1">
      <alignment horizontal="center" vertical="center" wrapText="1"/>
    </xf>
    <xf numFmtId="0" fontId="67" fillId="0" borderId="1" xfId="0" applyFont="1" applyBorder="1" applyAlignment="1">
      <alignment horizontal="center" vertical="center"/>
    </xf>
    <xf numFmtId="0" fontId="65" fillId="12" borderId="1" xfId="0" applyFont="1" applyFill="1" applyBorder="1" applyAlignment="1">
      <alignment horizontal="center" vertical="center"/>
    </xf>
    <xf numFmtId="181" fontId="68" fillId="0" borderId="1" xfId="0" applyNumberFormat="1" applyFont="1" applyBorder="1" applyProtection="1">
      <alignment vertical="center"/>
      <protection locked="0"/>
    </xf>
    <xf numFmtId="0" fontId="21" fillId="0" borderId="1" xfId="0" applyFont="1" applyBorder="1" applyAlignment="1" applyProtection="1">
      <alignment horizontal="center" vertical="center"/>
      <protection locked="0"/>
    </xf>
    <xf numFmtId="0" fontId="65" fillId="12" borderId="1" xfId="0" applyFont="1" applyFill="1" applyBorder="1">
      <alignment vertical="center"/>
    </xf>
    <xf numFmtId="196" fontId="62" fillId="2" borderId="215" xfId="0" applyNumberFormat="1" applyFont="1" applyFill="1" applyBorder="1">
      <alignment vertical="center"/>
    </xf>
    <xf numFmtId="182" fontId="3" fillId="2" borderId="41" xfId="0" applyNumberFormat="1" applyFont="1" applyFill="1" applyBorder="1" applyAlignment="1" applyProtection="1">
      <alignment horizontal="right" vertical="center"/>
    </xf>
    <xf numFmtId="181" fontId="3" fillId="4" borderId="0" xfId="0" applyNumberFormat="1" applyFont="1" applyFill="1" applyBorder="1" applyAlignment="1" applyProtection="1">
      <alignment horizontal="right" vertical="center"/>
    </xf>
    <xf numFmtId="182" fontId="3" fillId="4" borderId="76" xfId="0" applyNumberFormat="1" applyFont="1" applyFill="1" applyBorder="1" applyAlignment="1" applyProtection="1">
      <alignment horizontal="right" vertical="center"/>
    </xf>
    <xf numFmtId="182" fontId="3" fillId="4" borderId="122" xfId="0" applyNumberFormat="1" applyFont="1" applyFill="1" applyBorder="1" applyAlignment="1" applyProtection="1">
      <alignment horizontal="right" vertical="center"/>
    </xf>
    <xf numFmtId="181" fontId="3" fillId="4" borderId="7" xfId="1" applyNumberFormat="1" applyFont="1" applyFill="1" applyBorder="1" applyAlignment="1" applyProtection="1">
      <alignment horizontal="right" vertical="center"/>
    </xf>
    <xf numFmtId="181" fontId="3" fillId="4" borderId="216" xfId="0" applyNumberFormat="1" applyFont="1" applyFill="1" applyBorder="1" applyAlignment="1">
      <alignment horizontal="center" vertical="center"/>
    </xf>
    <xf numFmtId="181" fontId="3" fillId="4" borderId="190" xfId="1" applyNumberFormat="1" applyFont="1" applyFill="1" applyBorder="1" applyAlignment="1" applyProtection="1">
      <alignment horizontal="right" vertical="center"/>
    </xf>
    <xf numFmtId="181" fontId="3" fillId="4" borderId="217" xfId="0" applyNumberFormat="1" applyFont="1" applyFill="1" applyBorder="1" applyAlignment="1">
      <alignment horizontal="center" vertical="center"/>
    </xf>
    <xf numFmtId="181" fontId="3" fillId="4" borderId="218" xfId="0" applyNumberFormat="1" applyFont="1" applyFill="1" applyBorder="1" applyAlignment="1">
      <alignment horizontal="center" vertical="center"/>
    </xf>
    <xf numFmtId="0" fontId="7" fillId="0" borderId="104" xfId="0" applyFont="1" applyFill="1" applyBorder="1" applyAlignment="1">
      <alignment horizontal="center" vertical="center" shrinkToFit="1"/>
    </xf>
    <xf numFmtId="0" fontId="0" fillId="0" borderId="0" xfId="0" applyFill="1" applyProtection="1">
      <alignment vertical="center"/>
    </xf>
    <xf numFmtId="0" fontId="6" fillId="0" borderId="35" xfId="0" applyFont="1" applyFill="1" applyBorder="1" applyAlignment="1" applyProtection="1">
      <alignment horizontal="center" vertical="center" wrapText="1"/>
    </xf>
    <xf numFmtId="0" fontId="6" fillId="0" borderId="86" xfId="0" applyFont="1" applyFill="1" applyBorder="1" applyAlignment="1" applyProtection="1">
      <alignment horizontal="center" vertical="center" wrapText="1"/>
    </xf>
    <xf numFmtId="182" fontId="3" fillId="2" borderId="219" xfId="0" applyNumberFormat="1" applyFont="1" applyFill="1" applyBorder="1" applyAlignment="1" applyProtection="1">
      <alignment horizontal="right" vertical="center"/>
    </xf>
    <xf numFmtId="0" fontId="65" fillId="13" borderId="1" xfId="0" applyFont="1" applyFill="1" applyBorder="1">
      <alignment vertical="center"/>
    </xf>
    <xf numFmtId="0" fontId="65" fillId="13" borderId="0" xfId="0" applyFont="1" applyFill="1" applyAlignment="1">
      <alignment horizontal="center" vertical="center"/>
    </xf>
    <xf numFmtId="181" fontId="68" fillId="13" borderId="1" xfId="0" applyNumberFormat="1" applyFont="1" applyFill="1" applyBorder="1">
      <alignment vertical="center"/>
    </xf>
    <xf numFmtId="186" fontId="3" fillId="4" borderId="35" xfId="0" applyNumberFormat="1" applyFont="1" applyFill="1" applyBorder="1" applyAlignment="1" applyProtection="1">
      <alignment horizontal="center" vertical="center"/>
    </xf>
    <xf numFmtId="0" fontId="37" fillId="2" borderId="0" xfId="2" applyFont="1" applyFill="1" applyBorder="1" applyAlignment="1">
      <alignment horizontal="center" vertical="center"/>
    </xf>
    <xf numFmtId="0" fontId="56" fillId="0" borderId="0" xfId="2" applyFont="1" applyAlignment="1">
      <alignment horizontal="center" vertical="center"/>
    </xf>
    <xf numFmtId="0" fontId="48" fillId="0" borderId="0" xfId="2" applyFont="1" applyFill="1" applyAlignment="1">
      <alignment horizontal="left" vertical="center" wrapText="1"/>
    </xf>
    <xf numFmtId="0" fontId="48" fillId="9" borderId="7" xfId="2" applyFont="1" applyFill="1" applyBorder="1" applyAlignment="1">
      <alignment horizontal="center" vertical="center"/>
    </xf>
    <xf numFmtId="0" fontId="37" fillId="0" borderId="117" xfId="2" applyFont="1" applyBorder="1" applyAlignment="1">
      <alignment horizontal="center" vertical="center"/>
    </xf>
    <xf numFmtId="192" fontId="39" fillId="2" borderId="117" xfId="2" applyNumberFormat="1" applyFont="1" applyFill="1" applyBorder="1" applyAlignment="1">
      <alignment horizontal="center" vertical="center" shrinkToFit="1"/>
    </xf>
    <xf numFmtId="0" fontId="37" fillId="0" borderId="75" xfId="2" applyFont="1" applyBorder="1" applyAlignment="1">
      <alignment horizontal="center" vertical="center"/>
    </xf>
    <xf numFmtId="192" fontId="39" fillId="2" borderId="22" xfId="2" applyNumberFormat="1" applyFont="1" applyFill="1" applyBorder="1" applyAlignment="1">
      <alignment horizontal="center" vertical="center" shrinkToFit="1"/>
    </xf>
    <xf numFmtId="192" fontId="39" fillId="2" borderId="146" xfId="2" applyNumberFormat="1" applyFont="1" applyFill="1" applyBorder="1" applyAlignment="1">
      <alignment horizontal="center" vertical="center" shrinkToFit="1"/>
    </xf>
    <xf numFmtId="0" fontId="48" fillId="9" borderId="23" xfId="2" applyFont="1" applyFill="1" applyBorder="1" applyAlignment="1">
      <alignment horizontal="center" vertical="center"/>
    </xf>
    <xf numFmtId="0" fontId="48" fillId="9" borderId="85" xfId="2" applyFont="1" applyFill="1" applyBorder="1" applyAlignment="1">
      <alignment horizontal="center" vertical="center"/>
    </xf>
    <xf numFmtId="0" fontId="48" fillId="9" borderId="46" xfId="2" applyFont="1" applyFill="1" applyBorder="1" applyAlignment="1">
      <alignment horizontal="center" vertical="center"/>
    </xf>
    <xf numFmtId="0" fontId="48" fillId="9" borderId="57" xfId="2" applyFont="1" applyFill="1" applyBorder="1" applyAlignment="1">
      <alignment horizontal="center" vertical="center"/>
    </xf>
    <xf numFmtId="0" fontId="48" fillId="9" borderId="59" xfId="2" applyFont="1" applyFill="1" applyBorder="1" applyAlignment="1">
      <alignment horizontal="center" vertical="center"/>
    </xf>
    <xf numFmtId="0" fontId="48" fillId="9" borderId="86" xfId="2" applyFont="1" applyFill="1" applyBorder="1" applyAlignment="1">
      <alignment horizontal="center" vertical="center"/>
    </xf>
    <xf numFmtId="0" fontId="48" fillId="9" borderId="7" xfId="2" applyFont="1" applyFill="1" applyBorder="1" applyAlignment="1">
      <alignment horizontal="center" vertical="center" shrinkToFit="1"/>
    </xf>
    <xf numFmtId="0" fontId="48" fillId="9" borderId="8" xfId="2" applyFont="1" applyFill="1" applyBorder="1" applyAlignment="1">
      <alignment horizontal="center" vertical="center" shrinkToFit="1"/>
    </xf>
    <xf numFmtId="0" fontId="48" fillId="9" borderId="22" xfId="2" applyFont="1" applyFill="1" applyBorder="1" applyAlignment="1">
      <alignment horizontal="center" vertical="center" wrapText="1" shrinkToFit="1"/>
    </xf>
    <xf numFmtId="0" fontId="48" fillId="9" borderId="24" xfId="2" applyFont="1" applyFill="1" applyBorder="1" applyAlignment="1">
      <alignment horizontal="center" vertical="center" wrapText="1" shrinkToFit="1"/>
    </xf>
    <xf numFmtId="0" fontId="48" fillId="9" borderId="2" xfId="2" applyFont="1" applyFill="1" applyBorder="1" applyAlignment="1">
      <alignment horizontal="center" vertical="center" shrinkToFit="1"/>
    </xf>
    <xf numFmtId="0" fontId="48" fillId="9" borderId="23" xfId="2" applyFont="1" applyFill="1" applyBorder="1" applyAlignment="1">
      <alignment horizontal="center" vertical="center" wrapText="1" shrinkToFit="1"/>
    </xf>
    <xf numFmtId="0" fontId="48" fillId="9" borderId="58" xfId="2" applyFont="1" applyFill="1" applyBorder="1" applyAlignment="1">
      <alignment horizontal="center" vertical="center" wrapText="1" shrinkToFit="1"/>
    </xf>
    <xf numFmtId="0" fontId="48" fillId="9" borderId="46" xfId="2" applyFont="1" applyFill="1" applyBorder="1" applyAlignment="1">
      <alignment horizontal="center" vertical="center" wrapText="1" shrinkToFit="1"/>
    </xf>
    <xf numFmtId="0" fontId="48" fillId="9" borderId="0" xfId="2" applyFont="1" applyFill="1" applyBorder="1" applyAlignment="1">
      <alignment horizontal="center" vertical="center" wrapText="1" shrinkToFit="1"/>
    </xf>
    <xf numFmtId="0" fontId="48" fillId="9" borderId="59" xfId="2" applyFont="1" applyFill="1" applyBorder="1" applyAlignment="1">
      <alignment horizontal="center" vertical="center" wrapText="1" shrinkToFit="1"/>
    </xf>
    <xf numFmtId="0" fontId="48" fillId="9" borderId="16" xfId="2" applyFont="1" applyFill="1" applyBorder="1" applyAlignment="1">
      <alignment horizontal="center" vertical="center" wrapText="1" shrinkToFit="1"/>
    </xf>
    <xf numFmtId="0" fontId="37" fillId="0" borderId="0" xfId="2" applyFont="1" applyAlignment="1">
      <alignment horizontal="center" vertical="center"/>
    </xf>
    <xf numFmtId="192" fontId="39" fillId="2" borderId="118" xfId="2" applyNumberFormat="1" applyFont="1" applyFill="1" applyBorder="1" applyAlignment="1">
      <alignment horizontal="center" vertical="center" shrinkToFit="1"/>
    </xf>
    <xf numFmtId="192" fontId="39" fillId="2" borderId="156" xfId="2" applyNumberFormat="1" applyFont="1" applyFill="1" applyBorder="1" applyAlignment="1">
      <alignment horizontal="center" vertical="center" shrinkToFit="1"/>
    </xf>
    <xf numFmtId="192" fontId="39" fillId="2" borderId="119" xfId="2" applyNumberFormat="1" applyFont="1" applyFill="1" applyBorder="1" applyAlignment="1">
      <alignment horizontal="center" vertical="center" shrinkToFit="1"/>
    </xf>
    <xf numFmtId="0" fontId="37" fillId="0" borderId="24" xfId="2" applyFont="1" applyBorder="1" applyAlignment="1">
      <alignment horizontal="center" vertical="center"/>
    </xf>
    <xf numFmtId="192" fontId="39" fillId="2" borderId="24" xfId="2" applyNumberFormat="1" applyFont="1" applyFill="1" applyBorder="1" applyAlignment="1">
      <alignment horizontal="center" vertical="center" shrinkToFit="1"/>
    </xf>
    <xf numFmtId="192" fontId="39" fillId="2" borderId="59" xfId="2" applyNumberFormat="1" applyFont="1" applyFill="1" applyBorder="1" applyAlignment="1">
      <alignment horizontal="center" vertical="center" shrinkToFit="1"/>
    </xf>
    <xf numFmtId="0" fontId="37" fillId="0" borderId="146" xfId="2" applyFont="1" applyBorder="1" applyAlignment="1">
      <alignment horizontal="center" vertical="center"/>
    </xf>
    <xf numFmtId="192" fontId="39" fillId="2" borderId="147" xfId="2" applyNumberFormat="1" applyFont="1" applyFill="1" applyBorder="1" applyAlignment="1">
      <alignment horizontal="center" vertical="center" shrinkToFit="1"/>
    </xf>
    <xf numFmtId="192" fontId="39" fillId="2" borderId="69" xfId="2" applyNumberFormat="1" applyFont="1" applyFill="1" applyBorder="1" applyAlignment="1">
      <alignment horizontal="center" vertical="center" shrinkToFit="1"/>
    </xf>
    <xf numFmtId="192" fontId="39" fillId="2" borderId="71" xfId="2" applyNumberFormat="1" applyFont="1" applyFill="1" applyBorder="1" applyAlignment="1">
      <alignment horizontal="center" vertical="center" shrinkToFit="1"/>
    </xf>
    <xf numFmtId="192" fontId="39" fillId="2" borderId="177" xfId="2" applyNumberFormat="1" applyFont="1" applyFill="1" applyBorder="1" applyAlignment="1">
      <alignment horizontal="center" vertical="center" shrinkToFit="1"/>
    </xf>
    <xf numFmtId="192" fontId="39" fillId="2" borderId="178" xfId="2" applyNumberFormat="1" applyFont="1" applyFill="1" applyBorder="1" applyAlignment="1">
      <alignment horizontal="center" vertical="center" shrinkToFit="1"/>
    </xf>
    <xf numFmtId="192" fontId="39" fillId="2" borderId="23" xfId="2" applyNumberFormat="1" applyFont="1" applyFill="1" applyBorder="1" applyAlignment="1">
      <alignment horizontal="center" vertical="center" shrinkToFit="1"/>
    </xf>
    <xf numFmtId="0" fontId="48" fillId="9" borderId="157" xfId="2" applyFont="1" applyFill="1" applyBorder="1" applyAlignment="1">
      <alignment horizontal="center" vertical="center" wrapText="1" shrinkToFit="1"/>
    </xf>
    <xf numFmtId="0" fontId="48" fillId="9" borderId="158" xfId="2" applyFont="1" applyFill="1" applyBorder="1" applyAlignment="1">
      <alignment horizontal="center" vertical="center" wrapText="1" shrinkToFit="1"/>
    </xf>
    <xf numFmtId="0" fontId="49" fillId="9" borderId="1" xfId="2" applyFont="1" applyFill="1" applyBorder="1" applyAlignment="1">
      <alignment horizontal="center" vertical="center" shrinkToFit="1"/>
    </xf>
    <xf numFmtId="0" fontId="49" fillId="9" borderId="32" xfId="2" applyFont="1" applyFill="1" applyBorder="1" applyAlignment="1">
      <alignment horizontal="center" vertical="center" shrinkToFit="1"/>
    </xf>
    <xf numFmtId="0" fontId="49" fillId="9" borderId="12" xfId="2" applyFont="1" applyFill="1" applyBorder="1" applyAlignment="1">
      <alignment horizontal="center" vertical="center" wrapText="1" shrinkToFit="1"/>
    </xf>
    <xf numFmtId="0" fontId="49" fillId="9" borderId="31" xfId="2" applyFont="1" applyFill="1" applyBorder="1" applyAlignment="1">
      <alignment horizontal="center" vertical="center" wrapText="1" shrinkToFit="1"/>
    </xf>
    <xf numFmtId="0" fontId="49" fillId="9" borderId="15" xfId="2" applyFont="1" applyFill="1" applyBorder="1" applyAlignment="1">
      <alignment horizontal="center" vertical="center" wrapText="1" shrinkToFit="1"/>
    </xf>
    <xf numFmtId="0" fontId="0" fillId="0" borderId="111" xfId="0" applyFont="1" applyFill="1" applyBorder="1" applyAlignment="1">
      <alignment horizontal="center" vertical="center"/>
    </xf>
    <xf numFmtId="0" fontId="0" fillId="0" borderId="169" xfId="0" applyFont="1" applyFill="1" applyBorder="1" applyAlignment="1">
      <alignment horizontal="center" vertical="center"/>
    </xf>
    <xf numFmtId="0" fontId="0" fillId="0" borderId="112" xfId="0" applyFont="1" applyFill="1" applyBorder="1" applyAlignment="1">
      <alignment horizontal="center" vertical="center"/>
    </xf>
    <xf numFmtId="0" fontId="48" fillId="9" borderId="23" xfId="2" applyFont="1" applyFill="1" applyBorder="1" applyAlignment="1">
      <alignment horizontal="center" vertical="center" shrinkToFit="1"/>
    </xf>
    <xf numFmtId="0" fontId="48" fillId="9" borderId="58" xfId="2" applyFont="1" applyFill="1" applyBorder="1" applyAlignment="1">
      <alignment horizontal="center" vertical="center" shrinkToFit="1"/>
    </xf>
    <xf numFmtId="0" fontId="48" fillId="9" borderId="85" xfId="2" applyFont="1" applyFill="1" applyBorder="1" applyAlignment="1">
      <alignment horizontal="center" vertical="center" shrinkToFit="1"/>
    </xf>
    <xf numFmtId="0" fontId="48" fillId="9" borderId="59" xfId="2" applyFont="1" applyFill="1" applyBorder="1" applyAlignment="1">
      <alignment horizontal="center" vertical="center" shrinkToFit="1"/>
    </xf>
    <xf numFmtId="0" fontId="48" fillId="9" borderId="16" xfId="2" applyFont="1" applyFill="1" applyBorder="1" applyAlignment="1">
      <alignment horizontal="center" vertical="center" shrinkToFit="1"/>
    </xf>
    <xf numFmtId="0" fontId="48" fillId="9" borderId="86" xfId="2" applyFont="1" applyFill="1" applyBorder="1" applyAlignment="1">
      <alignment horizontal="center" vertical="center" shrinkToFit="1"/>
    </xf>
    <xf numFmtId="0" fontId="49" fillId="9" borderId="22" xfId="2" applyFont="1" applyFill="1" applyBorder="1" applyAlignment="1">
      <alignment horizontal="center" vertical="center" wrapText="1" shrinkToFit="1"/>
    </xf>
    <xf numFmtId="0" fontId="49" fillId="9" borderId="24" xfId="2" applyFont="1" applyFill="1" applyBorder="1" applyAlignment="1">
      <alignment horizontal="center" vertical="center" shrinkToFit="1"/>
    </xf>
    <xf numFmtId="0" fontId="0" fillId="0" borderId="2"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0" xfId="0" applyAlignment="1">
      <alignment horizontal="center" vertical="center"/>
    </xf>
    <xf numFmtId="0" fontId="0" fillId="0" borderId="1" xfId="0" applyFont="1" applyFill="1" applyBorder="1" applyAlignment="1">
      <alignment horizontal="center" vertical="center"/>
    </xf>
    <xf numFmtId="0" fontId="0" fillId="0" borderId="85" xfId="0" applyFont="1" applyFill="1" applyBorder="1" applyAlignment="1">
      <alignment horizontal="center" vertical="center"/>
    </xf>
    <xf numFmtId="192" fontId="39" fillId="2" borderId="182" xfId="2" applyNumberFormat="1" applyFont="1" applyFill="1" applyBorder="1" applyAlignment="1">
      <alignment horizontal="center" vertical="center" shrinkToFit="1"/>
    </xf>
    <xf numFmtId="192" fontId="39" fillId="2" borderId="183" xfId="2" applyNumberFormat="1" applyFont="1" applyFill="1" applyBorder="1" applyAlignment="1">
      <alignment horizontal="center" vertical="center" shrinkToFit="1"/>
    </xf>
    <xf numFmtId="192" fontId="39" fillId="2" borderId="179" xfId="2" applyNumberFormat="1" applyFont="1" applyFill="1" applyBorder="1" applyAlignment="1">
      <alignment horizontal="center" vertical="center" shrinkToFit="1"/>
    </xf>
    <xf numFmtId="192" fontId="39" fillId="2" borderId="180" xfId="2" applyNumberFormat="1" applyFont="1" applyFill="1" applyBorder="1" applyAlignment="1">
      <alignment horizontal="center" vertical="center" shrinkToFit="1"/>
    </xf>
    <xf numFmtId="192" fontId="39" fillId="2" borderId="181" xfId="2" applyNumberFormat="1" applyFont="1" applyFill="1" applyBorder="1" applyAlignment="1">
      <alignment horizontal="center" vertical="center" shrinkToFit="1"/>
    </xf>
    <xf numFmtId="184" fontId="3" fillId="4" borderId="141" xfId="0" applyNumberFormat="1" applyFont="1" applyFill="1" applyBorder="1" applyAlignment="1" applyProtection="1">
      <alignment horizontal="center" vertical="center"/>
    </xf>
    <xf numFmtId="0" fontId="3" fillId="4" borderId="142" xfId="0" applyFont="1" applyFill="1" applyBorder="1" applyAlignment="1" applyProtection="1">
      <alignment horizontal="center" vertical="center"/>
    </xf>
    <xf numFmtId="0" fontId="3" fillId="4" borderId="145" xfId="0" applyFont="1" applyFill="1" applyBorder="1" applyAlignment="1" applyProtection="1">
      <alignment horizontal="center" vertical="center"/>
    </xf>
    <xf numFmtId="184" fontId="3" fillId="4" borderId="175" xfId="0" applyNumberFormat="1" applyFont="1" applyFill="1" applyBorder="1" applyAlignment="1" applyProtection="1">
      <alignment horizontal="center" vertical="center"/>
    </xf>
    <xf numFmtId="0" fontId="11" fillId="0" borderId="213" xfId="0" applyFont="1" applyFill="1" applyBorder="1" applyAlignment="1" applyProtection="1">
      <alignment horizontal="center" vertical="center" wrapText="1"/>
    </xf>
    <xf numFmtId="0" fontId="11" fillId="0" borderId="214" xfId="0" applyFont="1" applyFill="1" applyBorder="1" applyAlignment="1" applyProtection="1">
      <alignment horizontal="center" vertical="center" wrapText="1"/>
    </xf>
    <xf numFmtId="0" fontId="3" fillId="5" borderId="198" xfId="0" applyFont="1" applyFill="1" applyBorder="1" applyAlignment="1">
      <alignment horizontal="left" vertical="center" wrapText="1"/>
    </xf>
    <xf numFmtId="0" fontId="3" fillId="5" borderId="199" xfId="0" applyFont="1" applyFill="1" applyBorder="1" applyAlignment="1">
      <alignment horizontal="left" vertical="center"/>
    </xf>
    <xf numFmtId="0" fontId="3" fillId="5" borderId="200" xfId="0" applyFont="1" applyFill="1" applyBorder="1" applyAlignment="1">
      <alignment horizontal="left" vertical="center"/>
    </xf>
    <xf numFmtId="0" fontId="3" fillId="5" borderId="60"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203" xfId="0" applyFont="1" applyFill="1" applyBorder="1" applyAlignment="1">
      <alignment horizontal="left" vertical="center" wrapText="1"/>
    </xf>
    <xf numFmtId="0" fontId="3" fillId="5" borderId="204"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05" xfId="0" applyFont="1" applyFill="1" applyBorder="1" applyAlignment="1">
      <alignment horizontal="left" vertical="center" wrapText="1"/>
    </xf>
    <xf numFmtId="0" fontId="3" fillId="5" borderId="206" xfId="0" applyFont="1" applyFill="1" applyBorder="1" applyAlignment="1">
      <alignment horizontal="left" vertical="center" wrapText="1"/>
    </xf>
    <xf numFmtId="0" fontId="3" fillId="5" borderId="207" xfId="0" applyFont="1" applyFill="1" applyBorder="1" applyAlignment="1">
      <alignment horizontal="left" vertical="center" wrapText="1"/>
    </xf>
    <xf numFmtId="0" fontId="7" fillId="5" borderId="184" xfId="0" applyFont="1" applyFill="1" applyBorder="1" applyAlignment="1">
      <alignment horizontal="left" vertical="center"/>
    </xf>
    <xf numFmtId="0" fontId="7" fillId="5" borderId="185" xfId="0" applyFont="1" applyFill="1" applyBorder="1" applyAlignment="1">
      <alignment horizontal="left" vertical="center"/>
    </xf>
    <xf numFmtId="0" fontId="7" fillId="5" borderId="186" xfId="0" applyFont="1" applyFill="1" applyBorder="1" applyAlignment="1">
      <alignment horizontal="left" vertical="center"/>
    </xf>
    <xf numFmtId="0" fontId="7" fillId="5" borderId="187" xfId="0" applyFont="1" applyFill="1" applyBorder="1" applyAlignment="1">
      <alignment horizontal="left" vertical="center"/>
    </xf>
    <xf numFmtId="0" fontId="7" fillId="5" borderId="188" xfId="0" applyFont="1" applyFill="1" applyBorder="1" applyAlignment="1">
      <alignment horizontal="left" vertical="center"/>
    </xf>
    <xf numFmtId="0" fontId="7" fillId="5" borderId="189" xfId="0" applyFont="1" applyFill="1" applyBorder="1" applyAlignment="1">
      <alignment horizontal="left" vertical="center"/>
    </xf>
    <xf numFmtId="0" fontId="7" fillId="5" borderId="98" xfId="0" applyFont="1" applyFill="1" applyBorder="1" applyAlignment="1">
      <alignment horizontal="left" vertical="center"/>
    </xf>
    <xf numFmtId="0" fontId="7" fillId="5" borderId="16" xfId="0" applyFont="1" applyFill="1" applyBorder="1" applyAlignment="1">
      <alignment horizontal="left" vertical="center"/>
    </xf>
    <xf numFmtId="0" fontId="7" fillId="5" borderId="105" xfId="0" applyFont="1" applyFill="1" applyBorder="1" applyAlignment="1">
      <alignment horizontal="left" vertical="center"/>
    </xf>
    <xf numFmtId="0" fontId="21" fillId="5" borderId="190"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191" xfId="0" applyFont="1" applyFill="1" applyBorder="1" applyAlignment="1">
      <alignment horizontal="center" vertical="center"/>
    </xf>
    <xf numFmtId="194" fontId="7" fillId="2" borderId="192" xfId="0" applyNumberFormat="1" applyFont="1" applyFill="1" applyBorder="1" applyAlignment="1">
      <alignment horizontal="center" vertical="center" wrapText="1"/>
    </xf>
    <xf numFmtId="194" fontId="7" fillId="2" borderId="193" xfId="0" applyNumberFormat="1" applyFont="1" applyFill="1" applyBorder="1" applyAlignment="1">
      <alignment horizontal="center" vertical="center" wrapText="1"/>
    </xf>
    <xf numFmtId="194" fontId="7" fillId="2" borderId="194" xfId="0" applyNumberFormat="1" applyFont="1" applyFill="1" applyBorder="1" applyAlignment="1">
      <alignment horizontal="center" vertical="center" wrapText="1"/>
    </xf>
    <xf numFmtId="194" fontId="7" fillId="2" borderId="195" xfId="0" applyNumberFormat="1" applyFont="1" applyFill="1" applyBorder="1" applyAlignment="1">
      <alignment horizontal="center" vertical="center" wrapText="1"/>
    </xf>
    <xf numFmtId="194" fontId="7" fillId="2" borderId="193" xfId="0" applyNumberFormat="1" applyFont="1" applyFill="1" applyBorder="1" applyAlignment="1">
      <alignment horizontal="center" vertical="center"/>
    </xf>
    <xf numFmtId="194" fontId="7" fillId="2" borderId="196" xfId="0" applyNumberFormat="1" applyFont="1" applyFill="1" applyBorder="1" applyAlignment="1">
      <alignment horizontal="center" vertical="center"/>
    </xf>
    <xf numFmtId="194" fontId="0" fillId="5" borderId="192" xfId="0" applyNumberFormat="1" applyFill="1" applyBorder="1" applyAlignment="1">
      <alignment horizontal="center" vertical="center" wrapText="1"/>
    </xf>
    <xf numFmtId="194" fontId="0" fillId="5" borderId="193" xfId="0" applyNumberFormat="1" applyFill="1" applyBorder="1" applyAlignment="1">
      <alignment horizontal="center" vertical="center" wrapText="1"/>
    </xf>
    <xf numFmtId="194" fontId="0" fillId="5" borderId="197" xfId="0" applyNumberFormat="1" applyFill="1" applyBorder="1" applyAlignment="1">
      <alignment horizontal="center" vertical="center" wrapText="1"/>
    </xf>
    <xf numFmtId="0" fontId="3" fillId="0" borderId="22"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24" xfId="0" applyFont="1" applyBorder="1" applyAlignment="1">
      <alignment horizontal="center" vertical="center" wrapText="1"/>
    </xf>
    <xf numFmtId="0" fontId="0" fillId="0" borderId="1" xfId="0" applyBorder="1" applyAlignment="1">
      <alignment horizontal="center" vertical="center"/>
    </xf>
    <xf numFmtId="184" fontId="0" fillId="0" borderId="1" xfId="0" applyNumberFormat="1" applyBorder="1" applyAlignment="1">
      <alignment horizontal="right" vertical="center"/>
    </xf>
    <xf numFmtId="2" fontId="0" fillId="0" borderId="1" xfId="0" applyNumberFormat="1" applyBorder="1" applyAlignment="1">
      <alignment horizontal="right" vertical="center"/>
    </xf>
    <xf numFmtId="0" fontId="3" fillId="0" borderId="22" xfId="0" applyFont="1" applyBorder="1" applyAlignment="1">
      <alignment horizontal="center" vertical="center"/>
    </xf>
    <xf numFmtId="0" fontId="3" fillId="0" borderId="67" xfId="0" applyFont="1" applyBorder="1" applyAlignment="1">
      <alignment horizontal="center" vertical="center"/>
    </xf>
    <xf numFmtId="0" fontId="3" fillId="0" borderId="24" xfId="0" applyFont="1" applyBorder="1" applyAlignment="1">
      <alignment horizontal="center" vertical="center"/>
    </xf>
    <xf numFmtId="181" fontId="3" fillId="0" borderId="22" xfId="0" applyNumberFormat="1" applyFont="1" applyFill="1" applyBorder="1" applyAlignment="1" applyProtection="1">
      <alignment horizontal="right" vertical="center"/>
      <protection locked="0"/>
    </xf>
    <xf numFmtId="181" fontId="3" fillId="0" borderId="67" xfId="0" applyNumberFormat="1" applyFont="1" applyFill="1" applyBorder="1" applyAlignment="1" applyProtection="1">
      <alignment horizontal="right" vertical="center"/>
      <protection locked="0"/>
    </xf>
    <xf numFmtId="181" fontId="3" fillId="0" borderId="24" xfId="0" applyNumberFormat="1" applyFont="1" applyFill="1" applyBorder="1" applyAlignment="1" applyProtection="1">
      <alignment horizontal="right" vertical="center"/>
      <protection locked="0"/>
    </xf>
    <xf numFmtId="0" fontId="36" fillId="0" borderId="2" xfId="3" applyFont="1" applyBorder="1" applyAlignment="1">
      <alignment horizontal="center" vertical="top"/>
    </xf>
    <xf numFmtId="0" fontId="36" fillId="0" borderId="8" xfId="3" applyFont="1" applyBorder="1" applyAlignment="1">
      <alignment horizontal="center" vertical="top"/>
    </xf>
    <xf numFmtId="0" fontId="43" fillId="0" borderId="2" xfId="3" applyFont="1" applyBorder="1" applyAlignment="1">
      <alignment horizontal="center" vertical="top"/>
    </xf>
    <xf numFmtId="0" fontId="43" fillId="0" borderId="8" xfId="3" applyFont="1" applyBorder="1" applyAlignment="1">
      <alignment horizontal="center" vertical="top"/>
    </xf>
    <xf numFmtId="176" fontId="3" fillId="2" borderId="22" xfId="0" applyNumberFormat="1" applyFont="1" applyFill="1" applyBorder="1" applyAlignment="1">
      <alignment horizontal="right" vertical="center"/>
    </xf>
    <xf numFmtId="176" fontId="3" fillId="2" borderId="67" xfId="0" applyNumberFormat="1" applyFont="1" applyFill="1" applyBorder="1" applyAlignment="1">
      <alignment horizontal="right" vertical="center"/>
    </xf>
    <xf numFmtId="176" fontId="3" fillId="2" borderId="24" xfId="0" applyNumberFormat="1" applyFont="1" applyFill="1" applyBorder="1" applyAlignment="1">
      <alignment horizontal="right" vertical="center"/>
    </xf>
    <xf numFmtId="177" fontId="3" fillId="2" borderId="22" xfId="0" applyNumberFormat="1" applyFont="1" applyFill="1" applyBorder="1" applyAlignment="1" applyProtection="1">
      <alignment horizontal="right" vertical="center"/>
    </xf>
    <xf numFmtId="177" fontId="3" fillId="2" borderId="67" xfId="0" applyNumberFormat="1" applyFont="1" applyFill="1" applyBorder="1" applyAlignment="1" applyProtection="1">
      <alignment horizontal="right" vertical="center"/>
    </xf>
    <xf numFmtId="177" fontId="3" fillId="2" borderId="24" xfId="0" applyNumberFormat="1" applyFont="1" applyFill="1" applyBorder="1" applyAlignment="1" applyProtection="1">
      <alignment horizontal="right" vertical="center"/>
    </xf>
    <xf numFmtId="176" fontId="3" fillId="2" borderId="23" xfId="0" applyNumberFormat="1" applyFont="1" applyFill="1" applyBorder="1" applyAlignment="1">
      <alignment horizontal="right" vertical="center"/>
    </xf>
    <xf numFmtId="176" fontId="3" fillId="2" borderId="46" xfId="0" applyNumberFormat="1" applyFont="1" applyFill="1" applyBorder="1" applyAlignment="1">
      <alignment horizontal="right" vertical="center"/>
    </xf>
    <xf numFmtId="176" fontId="3" fillId="2" borderId="59" xfId="0" applyNumberFormat="1" applyFont="1" applyFill="1" applyBorder="1" applyAlignment="1">
      <alignment horizontal="right" vertical="center"/>
    </xf>
    <xf numFmtId="0" fontId="3" fillId="0" borderId="1" xfId="0" applyFont="1" applyBorder="1" applyAlignment="1" applyProtection="1">
      <alignment horizontal="center" vertical="center"/>
    </xf>
    <xf numFmtId="0" fontId="3" fillId="0" borderId="123" xfId="0" applyFont="1" applyBorder="1" applyAlignment="1" applyProtection="1">
      <alignment horizontal="center" vertical="center"/>
    </xf>
    <xf numFmtId="182" fontId="3" fillId="2" borderId="82" xfId="0" applyNumberFormat="1" applyFont="1" applyFill="1" applyBorder="1" applyAlignment="1" applyProtection="1">
      <alignment horizontal="center" vertical="center" shrinkToFit="1"/>
    </xf>
    <xf numFmtId="182" fontId="3" fillId="2" borderId="83" xfId="0" applyNumberFormat="1" applyFont="1" applyFill="1" applyBorder="1" applyAlignment="1" applyProtection="1">
      <alignment horizontal="center" vertical="center" shrinkToFit="1"/>
    </xf>
    <xf numFmtId="182" fontId="3" fillId="2" borderId="127" xfId="0" applyNumberFormat="1" applyFont="1" applyFill="1" applyBorder="1" applyAlignment="1" applyProtection="1">
      <alignment horizontal="center" vertical="center" shrinkToFit="1"/>
    </xf>
    <xf numFmtId="182" fontId="3" fillId="2" borderId="82" xfId="0" applyNumberFormat="1" applyFont="1" applyFill="1" applyBorder="1" applyAlignment="1" applyProtection="1">
      <alignment horizontal="right" vertical="center" shrinkToFit="1"/>
    </xf>
    <xf numFmtId="182" fontId="3" fillId="2" borderId="83" xfId="0" applyNumberFormat="1" applyFont="1" applyFill="1" applyBorder="1" applyAlignment="1" applyProtection="1">
      <alignment horizontal="right" vertical="center" shrinkToFit="1"/>
    </xf>
    <xf numFmtId="182" fontId="3" fillId="2" borderId="127" xfId="0" applyNumberFormat="1" applyFont="1" applyFill="1" applyBorder="1" applyAlignment="1" applyProtection="1">
      <alignment horizontal="right" vertical="center" shrinkToFit="1"/>
    </xf>
    <xf numFmtId="182" fontId="3" fillId="2" borderId="82" xfId="0" applyNumberFormat="1" applyFont="1" applyFill="1" applyBorder="1" applyAlignment="1" applyProtection="1">
      <alignment horizontal="right" vertical="center"/>
    </xf>
    <xf numFmtId="182" fontId="3" fillId="2" borderId="83" xfId="0" applyNumberFormat="1" applyFont="1" applyFill="1" applyBorder="1" applyAlignment="1" applyProtection="1">
      <alignment horizontal="right" vertical="center"/>
    </xf>
    <xf numFmtId="182" fontId="3" fillId="2" borderId="127" xfId="0" applyNumberFormat="1" applyFont="1" applyFill="1" applyBorder="1" applyAlignment="1" applyProtection="1">
      <alignment horizontal="right" vertical="center"/>
    </xf>
    <xf numFmtId="0" fontId="13" fillId="0" borderId="95" xfId="0" applyFont="1" applyFill="1" applyBorder="1" applyAlignment="1">
      <alignment horizontal="center" vertical="center" wrapText="1"/>
    </xf>
    <xf numFmtId="0" fontId="13" fillId="0" borderId="79" xfId="0" applyFont="1" applyFill="1" applyBorder="1" applyAlignment="1">
      <alignment horizontal="center" vertical="center" wrapText="1"/>
    </xf>
    <xf numFmtId="0" fontId="14" fillId="0" borderId="96" xfId="0" applyFont="1" applyFill="1" applyBorder="1">
      <alignment vertical="center"/>
    </xf>
    <xf numFmtId="176" fontId="3" fillId="2" borderId="23" xfId="0" applyNumberFormat="1" applyFont="1" applyFill="1" applyBorder="1" applyAlignment="1" applyProtection="1">
      <alignment horizontal="right" vertical="center"/>
    </xf>
    <xf numFmtId="176" fontId="3" fillId="2" borderId="46" xfId="0" applyNumberFormat="1" applyFont="1" applyFill="1" applyBorder="1" applyAlignment="1" applyProtection="1">
      <alignment horizontal="right" vertical="center"/>
    </xf>
    <xf numFmtId="176" fontId="3" fillId="2" borderId="59" xfId="0" applyNumberFormat="1" applyFont="1" applyFill="1" applyBorder="1" applyAlignment="1" applyProtection="1">
      <alignment horizontal="right" vertical="center"/>
    </xf>
    <xf numFmtId="177" fontId="3" fillId="2" borderId="78" xfId="0" applyNumberFormat="1" applyFont="1" applyFill="1" applyBorder="1" applyAlignment="1" applyProtection="1">
      <alignment horizontal="right" vertical="center"/>
    </xf>
    <xf numFmtId="177" fontId="3" fillId="2" borderId="26" xfId="0" applyNumberFormat="1" applyFont="1" applyFill="1" applyBorder="1" applyAlignment="1" applyProtection="1">
      <alignment horizontal="right" vertical="center"/>
    </xf>
    <xf numFmtId="177" fontId="3" fillId="2" borderId="79" xfId="0" applyNumberFormat="1" applyFont="1" applyFill="1" applyBorder="1" applyAlignment="1" applyProtection="1">
      <alignment horizontal="right" vertical="center"/>
    </xf>
    <xf numFmtId="0" fontId="12" fillId="0" borderId="46" xfId="0" applyFont="1" applyFill="1" applyBorder="1" applyAlignment="1">
      <alignment horizontal="center" vertical="center" wrapText="1"/>
    </xf>
    <xf numFmtId="0" fontId="12" fillId="0" borderId="59" xfId="0" applyFont="1" applyFill="1" applyBorder="1" applyAlignment="1">
      <alignment horizontal="center" vertical="center" wrapText="1"/>
    </xf>
    <xf numFmtId="176" fontId="3" fillId="2" borderId="132" xfId="0" applyNumberFormat="1" applyFont="1" applyFill="1" applyBorder="1" applyAlignment="1">
      <alignment horizontal="right" vertical="center"/>
    </xf>
    <xf numFmtId="177" fontId="3" fillId="2" borderId="131" xfId="0" applyNumberFormat="1" applyFont="1" applyFill="1" applyBorder="1" applyAlignment="1" applyProtection="1">
      <alignment horizontal="right" vertical="center"/>
    </xf>
    <xf numFmtId="0" fontId="13" fillId="6" borderId="57" xfId="0" applyFont="1" applyFill="1" applyBorder="1" applyAlignment="1" applyProtection="1">
      <alignment horizontal="center" vertical="center" wrapText="1"/>
    </xf>
    <xf numFmtId="0" fontId="14" fillId="6" borderId="57" xfId="0" applyFont="1" applyFill="1" applyBorder="1" applyAlignment="1" applyProtection="1">
      <alignment vertical="center"/>
    </xf>
    <xf numFmtId="184" fontId="3" fillId="6" borderId="57" xfId="0" applyNumberFormat="1" applyFont="1" applyFill="1" applyBorder="1" applyAlignment="1" applyProtection="1">
      <alignment horizontal="right" vertical="center"/>
    </xf>
    <xf numFmtId="0" fontId="12" fillId="0" borderId="22" xfId="0" applyFont="1" applyFill="1" applyBorder="1" applyAlignment="1">
      <alignment horizontal="center" vertical="center" wrapText="1"/>
    </xf>
    <xf numFmtId="0" fontId="12" fillId="0" borderId="67"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2"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187" fontId="3" fillId="8" borderId="67" xfId="1" applyNumberFormat="1" applyFont="1" applyFill="1" applyBorder="1" applyAlignment="1" applyProtection="1">
      <alignment horizontal="center" vertical="center"/>
    </xf>
    <xf numFmtId="187" fontId="3" fillId="8" borderId="24" xfId="1" applyNumberFormat="1" applyFont="1" applyFill="1" applyBorder="1" applyAlignment="1" applyProtection="1">
      <alignment horizontal="center" vertical="center"/>
    </xf>
    <xf numFmtId="182" fontId="3" fillId="4" borderId="22" xfId="0" applyNumberFormat="1" applyFont="1" applyFill="1" applyBorder="1" applyAlignment="1" applyProtection="1">
      <alignment horizontal="center" vertical="center"/>
    </xf>
    <xf numFmtId="182" fontId="3" fillId="4" borderId="67" xfId="0" applyNumberFormat="1" applyFont="1" applyFill="1" applyBorder="1" applyAlignment="1" applyProtection="1">
      <alignment horizontal="center" vertical="center"/>
    </xf>
    <xf numFmtId="182" fontId="3" fillId="4" borderId="24" xfId="0" applyNumberFormat="1" applyFont="1" applyFill="1" applyBorder="1" applyAlignment="1" applyProtection="1">
      <alignment horizontal="center" vertical="center"/>
    </xf>
    <xf numFmtId="0" fontId="70" fillId="0" borderId="95" xfId="0" applyFont="1" applyFill="1" applyBorder="1" applyAlignment="1">
      <alignment horizontal="center" vertical="center" wrapText="1"/>
    </xf>
    <xf numFmtId="0" fontId="70" fillId="0" borderId="96" xfId="0" applyFont="1" applyFill="1" applyBorder="1" applyAlignment="1">
      <alignment horizontal="center" vertical="center" wrapText="1"/>
    </xf>
    <xf numFmtId="0" fontId="71" fillId="0" borderId="96" xfId="0" applyFont="1" applyFill="1" applyBorder="1">
      <alignment vertical="center"/>
    </xf>
    <xf numFmtId="0" fontId="11" fillId="0" borderId="190"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1" fillId="0" borderId="191" xfId="0" applyFont="1" applyBorder="1" applyAlignment="1" applyProtection="1">
      <alignment horizontal="left" vertical="center" wrapText="1"/>
    </xf>
    <xf numFmtId="0" fontId="12" fillId="0" borderId="97" xfId="0" applyFont="1" applyFill="1" applyBorder="1" applyAlignment="1" applyProtection="1">
      <alignment horizontal="center" vertical="center" wrapText="1"/>
    </xf>
    <xf numFmtId="0" fontId="12" fillId="0" borderId="85" xfId="0" applyFont="1" applyFill="1" applyBorder="1" applyAlignment="1" applyProtection="1">
      <alignment horizontal="center" vertical="center" wrapText="1"/>
    </xf>
    <xf numFmtId="0" fontId="12" fillId="0" borderId="98" xfId="0" applyFont="1" applyFill="1" applyBorder="1" applyAlignment="1" applyProtection="1">
      <alignment horizontal="center" vertical="center" wrapText="1"/>
    </xf>
    <xf numFmtId="0" fontId="12" fillId="0" borderId="86" xfId="0" applyFont="1" applyFill="1" applyBorder="1" applyAlignment="1" applyProtection="1">
      <alignment horizontal="center" vertical="center" wrapText="1"/>
    </xf>
    <xf numFmtId="182" fontId="3" fillId="2" borderId="41" xfId="0" applyNumberFormat="1" applyFont="1" applyFill="1" applyBorder="1" applyAlignment="1" applyProtection="1">
      <alignment horizontal="right" vertical="center"/>
    </xf>
    <xf numFmtId="182" fontId="3" fillId="2" borderId="91" xfId="0" applyNumberFormat="1" applyFont="1" applyFill="1" applyBorder="1" applyAlignment="1" applyProtection="1">
      <alignment horizontal="right" vertical="center"/>
    </xf>
    <xf numFmtId="182" fontId="3" fillId="4" borderId="41" xfId="0" applyNumberFormat="1" applyFont="1" applyFill="1" applyBorder="1" applyAlignment="1" applyProtection="1">
      <alignment horizontal="right" vertical="center" shrinkToFit="1"/>
    </xf>
    <xf numFmtId="182" fontId="3" fillId="4" borderId="128" xfId="0" applyNumberFormat="1" applyFont="1" applyFill="1" applyBorder="1" applyAlignment="1" applyProtection="1">
      <alignment horizontal="right" vertical="center" shrinkToFit="1"/>
    </xf>
    <xf numFmtId="182" fontId="3" fillId="4" borderId="41" xfId="0" applyNumberFormat="1" applyFont="1" applyFill="1" applyBorder="1" applyAlignment="1" applyProtection="1">
      <alignment horizontal="right" vertical="center"/>
    </xf>
    <xf numFmtId="182" fontId="3" fillId="4" borderId="128" xfId="0" applyNumberFormat="1" applyFont="1" applyFill="1" applyBorder="1" applyAlignment="1" applyProtection="1">
      <alignment horizontal="right" vertical="center"/>
    </xf>
    <xf numFmtId="182" fontId="3" fillId="4" borderId="100" xfId="0" applyNumberFormat="1" applyFont="1" applyFill="1" applyBorder="1" applyAlignment="1" applyProtection="1">
      <alignment horizontal="center" vertical="center"/>
    </xf>
    <xf numFmtId="182" fontId="3" fillId="4" borderId="101" xfId="0" applyNumberFormat="1" applyFont="1" applyFill="1" applyBorder="1" applyAlignment="1" applyProtection="1">
      <alignment horizontal="center" vertical="center"/>
    </xf>
    <xf numFmtId="182" fontId="3" fillId="4" borderId="102" xfId="0" applyNumberFormat="1" applyFont="1" applyFill="1" applyBorder="1" applyAlignment="1" applyProtection="1">
      <alignment horizontal="center" vertical="center"/>
    </xf>
    <xf numFmtId="186" fontId="3" fillId="4" borderId="41" xfId="0" applyNumberFormat="1" applyFont="1" applyFill="1" applyBorder="1" applyAlignment="1" applyProtection="1">
      <alignment horizontal="center" vertical="center"/>
    </xf>
    <xf numFmtId="186" fontId="3" fillId="4" borderId="91" xfId="0" applyNumberFormat="1" applyFont="1" applyFill="1" applyBorder="1" applyAlignment="1" applyProtection="1">
      <alignment horizontal="center" vertical="center"/>
    </xf>
    <xf numFmtId="182" fontId="3" fillId="4" borderId="91" xfId="0" applyNumberFormat="1" applyFont="1" applyFill="1" applyBorder="1" applyAlignment="1" applyProtection="1">
      <alignment horizontal="right" vertical="center"/>
    </xf>
    <xf numFmtId="182" fontId="3" fillId="2" borderId="85" xfId="0" applyNumberFormat="1" applyFont="1" applyFill="1" applyBorder="1" applyAlignment="1" applyProtection="1">
      <alignment horizontal="right" vertical="center"/>
    </xf>
    <xf numFmtId="182" fontId="3" fillId="2" borderId="57" xfId="0" applyNumberFormat="1" applyFont="1" applyFill="1" applyBorder="1" applyAlignment="1" applyProtection="1">
      <alignment horizontal="right" vertical="center"/>
    </xf>
    <xf numFmtId="182" fontId="3" fillId="2" borderId="86" xfId="0" applyNumberFormat="1" applyFont="1" applyFill="1" applyBorder="1" applyAlignment="1" applyProtection="1">
      <alignment horizontal="right" vertical="center"/>
    </xf>
    <xf numFmtId="182" fontId="3" fillId="4" borderId="91" xfId="0" applyNumberFormat="1" applyFont="1" applyFill="1" applyBorder="1" applyAlignment="1" applyProtection="1">
      <alignment horizontal="right" vertical="center" shrinkToFit="1"/>
    </xf>
    <xf numFmtId="0" fontId="11" fillId="0" borderId="23" xfId="0" applyFont="1" applyBorder="1" applyAlignment="1" applyProtection="1">
      <alignment horizontal="center" vertical="center" wrapText="1"/>
    </xf>
    <xf numFmtId="0" fontId="11" fillId="0" borderId="85" xfId="0" applyFont="1" applyBorder="1" applyAlignment="1" applyProtection="1">
      <alignment horizontal="center" vertical="center" wrapText="1"/>
    </xf>
    <xf numFmtId="0" fontId="11" fillId="0" borderId="46" xfId="0" applyFont="1" applyBorder="1" applyAlignment="1" applyProtection="1">
      <alignment horizontal="center" vertical="center" wrapText="1"/>
    </xf>
    <xf numFmtId="0" fontId="11" fillId="0" borderId="57" xfId="0" applyFont="1" applyBorder="1" applyAlignment="1" applyProtection="1">
      <alignment horizontal="center" vertical="center" wrapText="1"/>
    </xf>
    <xf numFmtId="0" fontId="11" fillId="0" borderId="59" xfId="0" applyFont="1" applyBorder="1" applyAlignment="1" applyProtection="1">
      <alignment horizontal="center" vertical="center" wrapText="1"/>
    </xf>
    <xf numFmtId="0" fontId="11" fillId="0" borderId="86" xfId="0" applyFont="1" applyBorder="1" applyAlignment="1" applyProtection="1">
      <alignment horizontal="center" vertical="center" wrapText="1"/>
    </xf>
    <xf numFmtId="180" fontId="3" fillId="0" borderId="22" xfId="0" applyNumberFormat="1" applyFont="1" applyFill="1" applyBorder="1" applyAlignment="1" applyProtection="1">
      <alignment horizontal="right" vertical="center"/>
      <protection locked="0"/>
    </xf>
    <xf numFmtId="180" fontId="3" fillId="0" borderId="67" xfId="0" applyNumberFormat="1" applyFont="1" applyFill="1" applyBorder="1" applyAlignment="1" applyProtection="1">
      <alignment horizontal="right" vertical="center"/>
      <protection locked="0"/>
    </xf>
    <xf numFmtId="180" fontId="3" fillId="0" borderId="24" xfId="0" applyNumberFormat="1" applyFont="1" applyFill="1" applyBorder="1" applyAlignment="1" applyProtection="1">
      <alignment horizontal="right" vertical="center"/>
      <protection locked="0"/>
    </xf>
    <xf numFmtId="181" fontId="3" fillId="2" borderId="82" xfId="0" applyNumberFormat="1" applyFont="1" applyFill="1" applyBorder="1" applyAlignment="1" applyProtection="1">
      <alignment horizontal="right" vertical="center"/>
      <protection locked="0"/>
    </xf>
    <xf numFmtId="181" fontId="3" fillId="2" borderId="83" xfId="0" applyNumberFormat="1" applyFont="1" applyFill="1" applyBorder="1" applyAlignment="1" applyProtection="1">
      <alignment horizontal="right" vertical="center"/>
      <protection locked="0"/>
    </xf>
    <xf numFmtId="181" fontId="3" fillId="2" borderId="84" xfId="0" applyNumberFormat="1" applyFont="1" applyFill="1" applyBorder="1" applyAlignment="1" applyProtection="1">
      <alignment horizontal="right" vertical="center"/>
      <protection locked="0"/>
    </xf>
    <xf numFmtId="182" fontId="0" fillId="4" borderId="22" xfId="0" applyNumberFormat="1" applyFont="1" applyFill="1" applyBorder="1" applyAlignment="1" applyProtection="1">
      <alignment horizontal="center" vertical="center"/>
      <protection locked="0"/>
    </xf>
    <xf numFmtId="182" fontId="0" fillId="4" borderId="67" xfId="0" applyNumberFormat="1" applyFont="1" applyFill="1" applyBorder="1" applyAlignment="1" applyProtection="1">
      <alignment horizontal="center" vertical="center"/>
      <protection locked="0"/>
    </xf>
    <xf numFmtId="182" fontId="0" fillId="4" borderId="24" xfId="0" applyNumberFormat="1" applyFont="1" applyFill="1" applyBorder="1" applyAlignment="1" applyProtection="1">
      <alignment horizontal="center" vertical="center"/>
      <protection locked="0"/>
    </xf>
    <xf numFmtId="184" fontId="3" fillId="2" borderId="78" xfId="0" applyNumberFormat="1" applyFont="1" applyFill="1" applyBorder="1" applyAlignment="1" applyProtection="1">
      <alignment horizontal="right" vertical="center"/>
    </xf>
    <xf numFmtId="184" fontId="3" fillId="2" borderId="26" xfId="0" applyNumberFormat="1" applyFont="1" applyFill="1" applyBorder="1" applyAlignment="1" applyProtection="1">
      <alignment horizontal="right" vertical="center"/>
    </xf>
    <xf numFmtId="184" fontId="3" fillId="2" borderId="79" xfId="0" applyNumberFormat="1" applyFont="1" applyFill="1" applyBorder="1" applyAlignment="1" applyProtection="1">
      <alignment horizontal="right" vertical="center"/>
    </xf>
    <xf numFmtId="0" fontId="0" fillId="0" borderId="1" xfId="0" applyBorder="1" applyAlignment="1" applyProtection="1">
      <alignment horizontal="center" vertical="center"/>
    </xf>
    <xf numFmtId="0" fontId="0" fillId="0" borderId="97" xfId="0" applyBorder="1" applyAlignment="1">
      <alignment horizontal="left" vertical="center" wrapText="1"/>
    </xf>
    <xf numFmtId="0" fontId="0" fillId="0" borderId="58" xfId="0" applyBorder="1" applyAlignment="1">
      <alignment horizontal="left" vertical="center" wrapText="1"/>
    </xf>
    <xf numFmtId="0" fontId="0" fillId="0" borderId="85" xfId="0" applyBorder="1" applyAlignment="1">
      <alignment horizontal="left" vertical="center" wrapText="1"/>
    </xf>
    <xf numFmtId="176" fontId="0" fillId="2" borderId="87" xfId="0" applyNumberFormat="1" applyFont="1" applyFill="1" applyBorder="1" applyAlignment="1" applyProtection="1">
      <alignment horizontal="right" vertical="center"/>
    </xf>
    <xf numFmtId="176" fontId="0" fillId="2" borderId="88" xfId="0" applyNumberFormat="1" applyFont="1" applyFill="1" applyBorder="1" applyAlignment="1" applyProtection="1">
      <alignment horizontal="right" vertical="center"/>
    </xf>
    <xf numFmtId="176" fontId="0" fillId="2" borderId="89" xfId="0" applyNumberFormat="1" applyFont="1" applyFill="1" applyBorder="1" applyAlignment="1" applyProtection="1">
      <alignment horizontal="right" vertical="center"/>
    </xf>
    <xf numFmtId="182" fontId="3" fillId="0" borderId="58" xfId="0" applyNumberFormat="1" applyFont="1" applyFill="1" applyBorder="1" applyAlignment="1" applyProtection="1">
      <alignment horizontal="right" vertical="center"/>
      <protection locked="0"/>
    </xf>
    <xf numFmtId="182" fontId="3" fillId="0" borderId="0" xfId="0" applyNumberFormat="1" applyFont="1" applyFill="1" applyBorder="1" applyAlignment="1" applyProtection="1">
      <alignment horizontal="right" vertical="center"/>
      <protection locked="0"/>
    </xf>
    <xf numFmtId="182" fontId="3" fillId="0" borderId="16" xfId="0" applyNumberFormat="1" applyFont="1" applyFill="1" applyBorder="1" applyAlignment="1" applyProtection="1">
      <alignment horizontal="right" vertical="center"/>
      <protection locked="0"/>
    </xf>
    <xf numFmtId="182" fontId="3" fillId="0" borderId="22" xfId="0" applyNumberFormat="1" applyFont="1" applyFill="1" applyBorder="1" applyAlignment="1" applyProtection="1">
      <alignment horizontal="center" vertical="center"/>
      <protection locked="0"/>
    </xf>
    <xf numFmtId="182" fontId="3" fillId="0" borderId="67" xfId="0" applyNumberFormat="1" applyFont="1" applyFill="1" applyBorder="1" applyAlignment="1" applyProtection="1">
      <alignment horizontal="center" vertical="center"/>
      <protection locked="0"/>
    </xf>
    <xf numFmtId="182" fontId="3" fillId="0" borderId="130" xfId="0" applyNumberFormat="1" applyFont="1" applyFill="1" applyBorder="1" applyAlignment="1" applyProtection="1">
      <alignment horizontal="center" vertical="center"/>
      <protection locked="0"/>
    </xf>
    <xf numFmtId="182" fontId="3" fillId="4" borderId="130" xfId="0" applyNumberFormat="1" applyFont="1" applyFill="1" applyBorder="1" applyAlignment="1" applyProtection="1">
      <alignment horizontal="center" vertical="center"/>
    </xf>
    <xf numFmtId="0" fontId="13" fillId="0" borderId="96" xfId="0" applyFont="1" applyFill="1" applyBorder="1" applyAlignment="1">
      <alignment horizontal="center" vertical="center" wrapText="1"/>
    </xf>
    <xf numFmtId="182" fontId="3" fillId="0" borderId="24" xfId="0" applyNumberFormat="1" applyFont="1" applyFill="1" applyBorder="1" applyAlignment="1" applyProtection="1">
      <alignment horizontal="center" vertical="center"/>
      <protection locked="0"/>
    </xf>
    <xf numFmtId="180" fontId="3" fillId="2" borderId="22" xfId="0" applyNumberFormat="1" applyFont="1" applyFill="1" applyBorder="1" applyAlignment="1">
      <alignment horizontal="right" vertical="center"/>
    </xf>
    <xf numFmtId="180" fontId="3" fillId="2" borderId="67" xfId="0" applyNumberFormat="1" applyFont="1" applyFill="1" applyBorder="1" applyAlignment="1">
      <alignment horizontal="right" vertical="center"/>
    </xf>
    <xf numFmtId="180" fontId="3" fillId="2" borderId="24" xfId="0" applyNumberFormat="1" applyFont="1" applyFill="1" applyBorder="1" applyAlignment="1">
      <alignment horizontal="right" vertical="center"/>
    </xf>
    <xf numFmtId="0" fontId="11" fillId="0" borderId="58"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97"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103" xfId="0" applyFont="1" applyBorder="1" applyAlignment="1">
      <alignment horizontal="center" vertical="center" wrapText="1"/>
    </xf>
    <xf numFmtId="0" fontId="11" fillId="0" borderId="97" xfId="0" applyFont="1" applyFill="1" applyBorder="1" applyAlignment="1" applyProtection="1">
      <alignment horizontal="center" vertical="center" wrapText="1"/>
    </xf>
    <xf numFmtId="0" fontId="11" fillId="0" borderId="85"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11" fillId="0" borderId="57" xfId="0" applyFont="1" applyFill="1" applyBorder="1" applyAlignment="1" applyProtection="1">
      <alignment horizontal="center" vertical="center" wrapText="1"/>
    </xf>
    <xf numFmtId="0" fontId="11" fillId="0" borderId="98" xfId="0" applyFont="1" applyFill="1" applyBorder="1" applyAlignment="1" applyProtection="1">
      <alignment horizontal="center" vertical="center" wrapText="1"/>
    </xf>
    <xf numFmtId="0" fontId="11" fillId="0" borderId="86" xfId="0" applyFont="1" applyFill="1" applyBorder="1" applyAlignment="1" applyProtection="1">
      <alignment horizontal="center" vertical="center" wrapText="1"/>
    </xf>
    <xf numFmtId="184" fontId="0" fillId="0" borderId="22" xfId="0" applyNumberFormat="1" applyFont="1" applyFill="1" applyBorder="1" applyAlignment="1" applyProtection="1">
      <alignment horizontal="right" vertical="center"/>
      <protection locked="0"/>
    </xf>
    <xf numFmtId="184" fontId="0" fillId="0" borderId="67" xfId="0" applyNumberFormat="1" applyFont="1" applyFill="1" applyBorder="1" applyAlignment="1" applyProtection="1">
      <alignment horizontal="right" vertical="center"/>
      <protection locked="0"/>
    </xf>
    <xf numFmtId="184" fontId="0" fillId="0" borderId="24" xfId="0" applyNumberFormat="1" applyFont="1" applyFill="1" applyBorder="1" applyAlignment="1" applyProtection="1">
      <alignment horizontal="right" vertical="center"/>
      <protection locked="0"/>
    </xf>
    <xf numFmtId="0" fontId="3" fillId="0" borderId="24"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182" fontId="3" fillId="2" borderId="84" xfId="0" applyNumberFormat="1" applyFont="1" applyFill="1" applyBorder="1" applyAlignment="1" applyProtection="1">
      <alignment horizontal="right" vertical="center" shrinkToFit="1"/>
    </xf>
    <xf numFmtId="0" fontId="3" fillId="0" borderId="22" xfId="0" applyFont="1" applyBorder="1" applyAlignment="1" applyProtection="1">
      <alignment horizontal="center" vertical="center"/>
    </xf>
    <xf numFmtId="0" fontId="3" fillId="0" borderId="67" xfId="0" applyFont="1" applyBorder="1" applyAlignment="1" applyProtection="1">
      <alignment horizontal="center" vertical="center"/>
    </xf>
    <xf numFmtId="0" fontId="3" fillId="0" borderId="24" xfId="0" applyFont="1" applyBorder="1" applyAlignment="1" applyProtection="1">
      <alignment horizontal="center" vertical="center"/>
    </xf>
    <xf numFmtId="182" fontId="3" fillId="2" borderId="84" xfId="0" applyNumberFormat="1" applyFont="1" applyFill="1" applyBorder="1" applyAlignment="1" applyProtection="1">
      <alignment horizontal="center" vertical="center" shrinkToFit="1"/>
    </xf>
    <xf numFmtId="184" fontId="3" fillId="2" borderId="51" xfId="0" applyNumberFormat="1" applyFont="1" applyFill="1" applyBorder="1" applyAlignment="1" applyProtection="1">
      <alignment horizontal="right" vertical="center"/>
    </xf>
    <xf numFmtId="184" fontId="3" fillId="2" borderId="80" xfId="0" applyNumberFormat="1" applyFont="1" applyFill="1" applyBorder="1" applyAlignment="1" applyProtection="1">
      <alignment horizontal="right" vertical="center"/>
    </xf>
    <xf numFmtId="184" fontId="3" fillId="2" borderId="81" xfId="0" applyNumberFormat="1" applyFont="1" applyFill="1" applyBorder="1" applyAlignment="1" applyProtection="1">
      <alignment horizontal="right" vertical="center"/>
    </xf>
    <xf numFmtId="180" fontId="3" fillId="2" borderId="58" xfId="0" applyNumberFormat="1" applyFont="1" applyFill="1" applyBorder="1" applyAlignment="1" applyProtection="1">
      <alignment horizontal="right" vertical="center"/>
    </xf>
    <xf numFmtId="180" fontId="3" fillId="2" borderId="0" xfId="0" applyNumberFormat="1" applyFont="1" applyFill="1" applyBorder="1" applyAlignment="1" applyProtection="1">
      <alignment horizontal="right" vertical="center"/>
    </xf>
    <xf numFmtId="180" fontId="3" fillId="2" borderId="16" xfId="0" applyNumberFormat="1" applyFont="1" applyFill="1" applyBorder="1" applyAlignment="1" applyProtection="1">
      <alignment horizontal="right" vertical="center"/>
    </xf>
    <xf numFmtId="0" fontId="7" fillId="0" borderId="56" xfId="0" applyFont="1" applyBorder="1" applyAlignment="1" applyProtection="1">
      <alignment horizontal="center" vertical="center"/>
    </xf>
    <xf numFmtId="0" fontId="4" fillId="0" borderId="1" xfId="0" applyFont="1" applyBorder="1" applyAlignment="1" applyProtection="1">
      <alignment horizontal="center" vertical="top" wrapText="1"/>
    </xf>
    <xf numFmtId="0" fontId="4" fillId="0" borderId="1" xfId="0" applyFont="1" applyBorder="1" applyAlignment="1" applyProtection="1">
      <alignment horizontal="center" vertical="top"/>
    </xf>
    <xf numFmtId="0" fontId="7" fillId="0" borderId="56" xfId="0" applyFont="1" applyBorder="1" applyAlignment="1" applyProtection="1">
      <alignment horizontal="center" vertical="center" shrinkToFit="1"/>
      <protection locked="0"/>
    </xf>
    <xf numFmtId="0" fontId="6" fillId="0" borderId="67" xfId="0" applyFont="1" applyBorder="1" applyAlignment="1" applyProtection="1">
      <alignment horizontal="center" vertical="center"/>
    </xf>
    <xf numFmtId="0" fontId="9" fillId="0" borderId="67" xfId="0" applyFont="1" applyBorder="1" applyAlignment="1" applyProtection="1">
      <alignment horizontal="center" vertical="center"/>
    </xf>
    <xf numFmtId="0" fontId="9" fillId="0" borderId="24" xfId="0" applyFont="1" applyBorder="1" applyAlignment="1" applyProtection="1">
      <alignment horizontal="center" vertical="center"/>
    </xf>
    <xf numFmtId="0" fontId="6" fillId="0" borderId="22" xfId="0" applyFont="1" applyBorder="1" applyAlignment="1">
      <alignment horizontal="center" vertical="center" textRotation="255"/>
    </xf>
    <xf numFmtId="0" fontId="6" fillId="0" borderId="67"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0" borderId="22" xfId="0" applyFont="1" applyBorder="1" applyAlignment="1" applyProtection="1">
      <alignment horizontal="center" vertical="center" textRotation="255"/>
    </xf>
    <xf numFmtId="0" fontId="6" fillId="0" borderId="67" xfId="0" applyFont="1" applyBorder="1" applyAlignment="1" applyProtection="1">
      <alignment horizontal="center" vertical="center" textRotation="255"/>
    </xf>
    <xf numFmtId="0" fontId="6" fillId="0" borderId="24" xfId="0" applyFont="1" applyBorder="1" applyAlignment="1" applyProtection="1">
      <alignment horizontal="center" vertical="center" textRotation="255"/>
    </xf>
    <xf numFmtId="0" fontId="11" fillId="0" borderId="22" xfId="0" applyFont="1" applyBorder="1" applyAlignment="1" applyProtection="1">
      <alignment horizontal="center" vertical="center"/>
    </xf>
    <xf numFmtId="0" fontId="11" fillId="0" borderId="24" xfId="0" applyFont="1" applyBorder="1" applyAlignment="1" applyProtection="1">
      <alignment horizontal="center" vertical="center"/>
    </xf>
    <xf numFmtId="0" fontId="11" fillId="0" borderId="24" xfId="0" applyFont="1" applyBorder="1" applyAlignment="1" applyProtection="1">
      <alignment horizontal="center" vertical="center" wrapText="1"/>
    </xf>
    <xf numFmtId="0" fontId="11" fillId="0" borderId="22"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58" xfId="0" applyFont="1" applyBorder="1" applyAlignment="1" applyProtection="1">
      <alignment horizontal="center" vertical="center" wrapText="1"/>
    </xf>
    <xf numFmtId="0" fontId="11" fillId="0" borderId="142" xfId="0" applyFont="1" applyFill="1" applyBorder="1" applyAlignment="1">
      <alignment vertical="center" wrapText="1"/>
    </xf>
    <xf numFmtId="0" fontId="11" fillId="0" borderId="145" xfId="0" applyFont="1" applyFill="1" applyBorder="1" applyAlignment="1">
      <alignment vertical="center" wrapText="1"/>
    </xf>
    <xf numFmtId="0" fontId="11" fillId="0" borderId="67" xfId="0" applyFont="1" applyBorder="1" applyAlignment="1" applyProtection="1">
      <alignment horizontal="center" vertical="center" wrapText="1"/>
    </xf>
    <xf numFmtId="177" fontId="3" fillId="0" borderId="141" xfId="0" applyNumberFormat="1" applyFont="1" applyFill="1" applyBorder="1" applyAlignment="1" applyProtection="1">
      <alignment horizontal="right" vertical="center"/>
      <protection locked="0"/>
    </xf>
    <xf numFmtId="177" fontId="3" fillId="0" borderId="142" xfId="0" applyNumberFormat="1" applyFont="1" applyFill="1" applyBorder="1" applyAlignment="1" applyProtection="1">
      <alignment horizontal="right" vertical="center"/>
      <protection locked="0"/>
    </xf>
    <xf numFmtId="177" fontId="3" fillId="0" borderId="145" xfId="0" applyNumberFormat="1" applyFont="1" applyFill="1" applyBorder="1" applyAlignment="1" applyProtection="1">
      <alignment horizontal="right" vertical="center"/>
      <protection locked="0"/>
    </xf>
    <xf numFmtId="184" fontId="3" fillId="2" borderId="92" xfId="0" applyNumberFormat="1" applyFont="1" applyFill="1" applyBorder="1" applyAlignment="1" applyProtection="1">
      <alignment horizontal="right" vertical="center"/>
    </xf>
    <xf numFmtId="184" fontId="3" fillId="2" borderId="93" xfId="0" applyNumberFormat="1" applyFont="1" applyFill="1" applyBorder="1" applyAlignment="1" applyProtection="1">
      <alignment horizontal="right" vertical="center"/>
    </xf>
    <xf numFmtId="184" fontId="3" fillId="2" borderId="94" xfId="0" applyNumberFormat="1" applyFont="1" applyFill="1" applyBorder="1" applyAlignment="1" applyProtection="1">
      <alignment horizontal="right" vertical="center"/>
    </xf>
    <xf numFmtId="0" fontId="11" fillId="0" borderId="58"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5" xfId="0" applyFont="1" applyFill="1" applyBorder="1" applyAlignment="1" applyProtection="1">
      <alignment horizontal="center" vertical="top" wrapText="1"/>
    </xf>
    <xf numFmtId="0" fontId="11" fillId="0" borderId="26" xfId="0" applyFont="1" applyFill="1" applyBorder="1" applyAlignment="1" applyProtection="1">
      <alignment horizontal="center" vertical="top" wrapText="1"/>
    </xf>
    <xf numFmtId="0" fontId="11" fillId="0" borderId="79" xfId="0" applyFont="1" applyFill="1" applyBorder="1" applyAlignment="1" applyProtection="1">
      <alignment horizontal="center" vertical="top" wrapText="1"/>
    </xf>
    <xf numFmtId="0" fontId="11" fillId="0" borderId="23" xfId="0" applyFont="1" applyFill="1" applyBorder="1" applyAlignment="1">
      <alignment horizontal="center" vertical="center" wrapText="1"/>
    </xf>
    <xf numFmtId="0" fontId="11" fillId="0" borderId="58"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59" xfId="0" applyFont="1" applyFill="1" applyBorder="1" applyAlignment="1">
      <alignment horizontal="center" vertical="center" wrapText="1"/>
    </xf>
    <xf numFmtId="0" fontId="11" fillId="0" borderId="16" xfId="0" applyFont="1" applyFill="1" applyBorder="1" applyAlignment="1">
      <alignment horizontal="center" vertical="center" wrapText="1"/>
    </xf>
    <xf numFmtId="183" fontId="0" fillId="2" borderId="23" xfId="0" applyNumberFormat="1" applyFont="1" applyFill="1" applyBorder="1" applyAlignment="1" applyProtection="1">
      <alignment horizontal="right" vertical="center"/>
    </xf>
    <xf numFmtId="183" fontId="0" fillId="2" borderId="46" xfId="0" applyNumberFormat="1" applyFont="1" applyFill="1" applyBorder="1" applyAlignment="1" applyProtection="1">
      <alignment horizontal="right" vertical="center"/>
    </xf>
    <xf numFmtId="183" fontId="0" fillId="2" borderId="59" xfId="0" applyNumberFormat="1" applyFont="1" applyFill="1" applyBorder="1" applyAlignment="1" applyProtection="1">
      <alignment horizontal="right" vertical="center"/>
    </xf>
    <xf numFmtId="0" fontId="0" fillId="0" borderId="57" xfId="0" applyBorder="1" applyAlignment="1" applyProtection="1">
      <alignment horizontal="center" vertical="center"/>
    </xf>
    <xf numFmtId="0" fontId="0" fillId="0" borderId="1" xfId="0" applyBorder="1" applyAlignment="1" applyProtection="1">
      <alignment horizontal="center" vertical="center" wrapText="1"/>
    </xf>
    <xf numFmtId="181" fontId="3" fillId="2" borderId="127" xfId="0" applyNumberFormat="1" applyFont="1" applyFill="1" applyBorder="1" applyAlignment="1" applyProtection="1">
      <alignment horizontal="right" vertical="center"/>
      <protection locked="0"/>
    </xf>
    <xf numFmtId="180" fontId="3" fillId="0" borderId="130" xfId="0" applyNumberFormat="1" applyFont="1" applyFill="1" applyBorder="1" applyAlignment="1" applyProtection="1">
      <alignment horizontal="right" vertical="center"/>
      <protection locked="0"/>
    </xf>
    <xf numFmtId="182" fontId="3" fillId="2" borderId="128" xfId="0" applyNumberFormat="1" applyFont="1" applyFill="1" applyBorder="1" applyAlignment="1" applyProtection="1">
      <alignment horizontal="right" vertical="center"/>
    </xf>
    <xf numFmtId="182" fontId="3" fillId="2" borderId="212" xfId="0" applyNumberFormat="1" applyFont="1" applyFill="1" applyBorder="1" applyAlignment="1" applyProtection="1">
      <alignment horizontal="right" vertical="center"/>
    </xf>
    <xf numFmtId="182" fontId="3" fillId="2" borderId="84" xfId="0" applyNumberFormat="1" applyFont="1" applyFill="1" applyBorder="1" applyAlignment="1" applyProtection="1">
      <alignment horizontal="right" vertical="center"/>
    </xf>
    <xf numFmtId="186" fontId="3" fillId="4" borderId="128" xfId="0" applyNumberFormat="1" applyFont="1" applyFill="1" applyBorder="1" applyAlignment="1" applyProtection="1">
      <alignment horizontal="center" vertical="center"/>
    </xf>
    <xf numFmtId="184" fontId="3" fillId="2" borderId="78" xfId="0" applyNumberFormat="1" applyFont="1" applyFill="1" applyBorder="1" applyAlignment="1" applyProtection="1">
      <alignment horizontal="center" vertical="center"/>
    </xf>
    <xf numFmtId="184" fontId="3" fillId="2" borderId="26" xfId="0" applyNumberFormat="1" applyFont="1" applyFill="1" applyBorder="1" applyAlignment="1" applyProtection="1">
      <alignment horizontal="center" vertical="center"/>
    </xf>
    <xf numFmtId="184" fontId="3" fillId="2" borderId="79" xfId="0" applyNumberFormat="1" applyFont="1" applyFill="1" applyBorder="1" applyAlignment="1" applyProtection="1">
      <alignment horizontal="center" vertical="center"/>
    </xf>
    <xf numFmtId="184" fontId="3" fillId="2" borderId="172" xfId="0" applyNumberFormat="1" applyFont="1" applyFill="1" applyBorder="1" applyAlignment="1" applyProtection="1">
      <alignment horizontal="right" vertical="center"/>
    </xf>
    <xf numFmtId="184" fontId="3" fillId="2" borderId="90" xfId="0" applyNumberFormat="1" applyFont="1" applyFill="1" applyBorder="1" applyAlignment="1" applyProtection="1">
      <alignment horizontal="right" vertical="center"/>
    </xf>
    <xf numFmtId="181" fontId="3" fillId="2" borderId="173" xfId="0" applyNumberFormat="1" applyFont="1" applyFill="1" applyBorder="1" applyAlignment="1">
      <alignment horizontal="right" vertical="center"/>
    </xf>
    <xf numFmtId="181" fontId="3" fillId="2" borderId="67" xfId="0" applyNumberFormat="1" applyFont="1" applyFill="1" applyBorder="1" applyAlignment="1">
      <alignment horizontal="right" vertical="center"/>
    </xf>
    <xf numFmtId="181" fontId="3" fillId="2" borderId="24" xfId="0" applyNumberFormat="1" applyFont="1" applyFill="1" applyBorder="1" applyAlignment="1">
      <alignment horizontal="right" vertical="center"/>
    </xf>
    <xf numFmtId="177" fontId="3" fillId="2" borderId="175" xfId="0" applyNumberFormat="1" applyFont="1" applyFill="1" applyBorder="1" applyAlignment="1">
      <alignment horizontal="right" vertical="center"/>
    </xf>
    <xf numFmtId="177" fontId="3" fillId="2" borderId="142" xfId="0" applyNumberFormat="1" applyFont="1" applyFill="1" applyBorder="1" applyAlignment="1">
      <alignment horizontal="right" vertical="center"/>
    </xf>
    <xf numFmtId="177" fontId="3" fillId="2" borderId="176" xfId="0" applyNumberFormat="1" applyFont="1" applyFill="1" applyBorder="1" applyAlignment="1">
      <alignment horizontal="right" vertical="center"/>
    </xf>
    <xf numFmtId="177" fontId="3" fillId="2" borderId="172" xfId="0" applyNumberFormat="1" applyFont="1" applyFill="1" applyBorder="1" applyAlignment="1" applyProtection="1">
      <alignment horizontal="right" vertical="center"/>
    </xf>
    <xf numFmtId="177" fontId="3" fillId="2" borderId="90" xfId="0" applyNumberFormat="1" applyFont="1" applyFill="1" applyBorder="1" applyAlignment="1" applyProtection="1">
      <alignment horizontal="right" vertical="center"/>
    </xf>
    <xf numFmtId="184" fontId="0" fillId="2" borderId="67" xfId="0" applyNumberFormat="1" applyFill="1" applyBorder="1" applyAlignment="1">
      <alignment horizontal="right" vertical="center"/>
    </xf>
    <xf numFmtId="184" fontId="0" fillId="2" borderId="24" xfId="0" applyNumberFormat="1" applyFill="1" applyBorder="1" applyAlignment="1">
      <alignment horizontal="right" vertical="center"/>
    </xf>
    <xf numFmtId="0" fontId="0" fillId="3" borderId="136" xfId="0" applyFill="1" applyBorder="1" applyAlignment="1">
      <alignment horizontal="center" vertical="center"/>
    </xf>
    <xf numFmtId="0" fontId="0" fillId="3" borderId="151" xfId="0" applyFill="1" applyBorder="1" applyAlignment="1">
      <alignment horizontal="center" vertical="center"/>
    </xf>
    <xf numFmtId="0" fontId="0" fillId="3" borderId="121" xfId="0" applyFill="1" applyBorder="1" applyAlignment="1">
      <alignment horizontal="center" vertical="center"/>
    </xf>
    <xf numFmtId="184" fontId="3" fillId="2" borderId="131" xfId="0" applyNumberFormat="1" applyFont="1" applyFill="1" applyBorder="1" applyAlignment="1" applyProtection="1">
      <alignment horizontal="right" vertical="center"/>
    </xf>
    <xf numFmtId="181" fontId="3" fillId="0" borderId="130" xfId="0" applyNumberFormat="1" applyFont="1" applyFill="1" applyBorder="1" applyAlignment="1" applyProtection="1">
      <alignment horizontal="right" vertical="center"/>
      <protection locked="0"/>
    </xf>
    <xf numFmtId="187" fontId="3" fillId="8" borderId="149" xfId="1" applyNumberFormat="1" applyFont="1" applyFill="1" applyBorder="1" applyAlignment="1" applyProtection="1">
      <alignment horizontal="center" vertical="center"/>
    </xf>
    <xf numFmtId="187" fontId="3" fillId="8" borderId="174" xfId="1" applyNumberFormat="1" applyFont="1" applyFill="1" applyBorder="1" applyAlignment="1" applyProtection="1">
      <alignment horizontal="center" vertical="center"/>
    </xf>
    <xf numFmtId="187" fontId="3" fillId="8" borderId="120" xfId="1" applyNumberFormat="1" applyFont="1" applyFill="1" applyBorder="1" applyAlignment="1" applyProtection="1">
      <alignment horizontal="center" vertical="center"/>
    </xf>
    <xf numFmtId="184" fontId="3" fillId="2" borderId="93" xfId="0" applyNumberFormat="1" applyFont="1" applyFill="1" applyBorder="1" applyAlignment="1">
      <alignment horizontal="right" vertical="center"/>
    </xf>
    <xf numFmtId="184" fontId="3" fillId="2" borderId="94" xfId="0" applyNumberFormat="1" applyFont="1" applyFill="1" applyBorder="1" applyAlignment="1">
      <alignment horizontal="right" vertical="center"/>
    </xf>
    <xf numFmtId="180" fontId="3" fillId="2" borderId="129" xfId="0" applyNumberFormat="1" applyFont="1" applyFill="1" applyBorder="1" applyAlignment="1" applyProtection="1">
      <alignment horizontal="right" vertical="center"/>
    </xf>
    <xf numFmtId="176" fontId="0" fillId="2" borderId="133" xfId="0" applyNumberFormat="1" applyFont="1" applyFill="1" applyBorder="1" applyAlignment="1" applyProtection="1">
      <alignment horizontal="right" vertical="center"/>
    </xf>
    <xf numFmtId="184" fontId="3" fillId="2" borderId="134" xfId="0" applyNumberFormat="1" applyFont="1" applyFill="1" applyBorder="1" applyAlignment="1" applyProtection="1">
      <alignment horizontal="right" vertical="center"/>
    </xf>
    <xf numFmtId="184" fontId="0" fillId="0" borderId="130" xfId="0" applyNumberFormat="1" applyFont="1" applyFill="1" applyBorder="1" applyAlignment="1" applyProtection="1">
      <alignment horizontal="right" vertical="center"/>
      <protection locked="0"/>
    </xf>
    <xf numFmtId="183" fontId="0" fillId="2" borderId="132" xfId="0" applyNumberFormat="1" applyFont="1" applyFill="1" applyBorder="1" applyAlignment="1" applyProtection="1">
      <alignment horizontal="right" vertical="center"/>
    </xf>
    <xf numFmtId="184" fontId="3" fillId="2" borderId="135" xfId="0" applyNumberFormat="1" applyFont="1" applyFill="1" applyBorder="1" applyAlignment="1" applyProtection="1">
      <alignment horizontal="right" vertical="center"/>
    </xf>
    <xf numFmtId="177" fontId="3" fillId="2" borderId="130" xfId="0" applyNumberFormat="1" applyFont="1" applyFill="1" applyBorder="1" applyAlignment="1" applyProtection="1">
      <alignment horizontal="right" vertical="center"/>
    </xf>
    <xf numFmtId="176" fontId="3" fillId="2" borderId="130" xfId="0" applyNumberFormat="1" applyFont="1" applyFill="1" applyBorder="1" applyAlignment="1">
      <alignment horizontal="right" vertical="center"/>
    </xf>
    <xf numFmtId="182" fontId="0" fillId="4" borderId="173" xfId="0" applyNumberFormat="1" applyFont="1" applyFill="1" applyBorder="1" applyAlignment="1" applyProtection="1">
      <alignment horizontal="center" vertical="center"/>
    </xf>
    <xf numFmtId="182" fontId="0" fillId="4" borderId="67" xfId="0" applyNumberFormat="1" applyFont="1" applyFill="1" applyBorder="1" applyAlignment="1" applyProtection="1">
      <alignment horizontal="center" vertical="center"/>
    </xf>
    <xf numFmtId="182" fontId="0" fillId="4" borderId="24" xfId="0" applyNumberFormat="1" applyFont="1" applyFill="1" applyBorder="1" applyAlignment="1" applyProtection="1">
      <alignment horizontal="center" vertical="center"/>
    </xf>
    <xf numFmtId="181" fontId="3" fillId="2" borderId="83" xfId="0" applyNumberFormat="1" applyFont="1" applyFill="1" applyBorder="1" applyAlignment="1">
      <alignment horizontal="right" vertical="center"/>
    </xf>
    <xf numFmtId="181" fontId="3" fillId="2" borderId="84" xfId="0" applyNumberFormat="1" applyFont="1" applyFill="1" applyBorder="1" applyAlignment="1">
      <alignment horizontal="right" vertical="center"/>
    </xf>
    <xf numFmtId="182" fontId="3" fillId="4" borderId="211" xfId="0" applyNumberFormat="1" applyFont="1" applyFill="1" applyBorder="1" applyAlignment="1" applyProtection="1">
      <alignment horizontal="center" vertical="center"/>
    </xf>
    <xf numFmtId="177" fontId="3" fillId="0" borderId="143" xfId="0" applyNumberFormat="1" applyFont="1" applyFill="1" applyBorder="1" applyAlignment="1" applyProtection="1">
      <alignment horizontal="right" vertical="center"/>
      <protection locked="0"/>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4" fillId="0" borderId="46"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57" xfId="0" applyFont="1" applyBorder="1" applyAlignment="1" applyProtection="1">
      <alignment horizontal="center" vertical="center" wrapText="1"/>
    </xf>
    <xf numFmtId="0" fontId="11" fillId="0" borderId="85" xfId="0" applyFont="1" applyBorder="1" applyAlignment="1" applyProtection="1">
      <alignment horizontal="center" vertical="center"/>
    </xf>
    <xf numFmtId="0" fontId="11" fillId="0" borderId="86" xfId="0" applyFont="1" applyBorder="1" applyAlignment="1" applyProtection="1">
      <alignment horizontal="center" vertical="center"/>
    </xf>
    <xf numFmtId="0" fontId="12" fillId="0" borderId="55" xfId="0" applyFont="1" applyBorder="1" applyAlignment="1" applyProtection="1">
      <alignment horizontal="center" vertical="center" wrapText="1"/>
    </xf>
    <xf numFmtId="0" fontId="12" fillId="0" borderId="47" xfId="0" applyFont="1" applyBorder="1" applyAlignment="1" applyProtection="1">
      <alignment horizontal="center" vertical="center" wrapText="1"/>
    </xf>
    <xf numFmtId="0" fontId="12" fillId="0" borderId="99" xfId="0" applyFont="1" applyBorder="1" applyAlignment="1" applyProtection="1">
      <alignment horizontal="center" vertical="center" wrapText="1"/>
    </xf>
    <xf numFmtId="0" fontId="11" fillId="0" borderId="23" xfId="0" applyFont="1" applyFill="1" applyBorder="1" applyAlignment="1" applyProtection="1">
      <alignment horizontal="center" vertical="center" wrapText="1"/>
    </xf>
    <xf numFmtId="0" fontId="11" fillId="0" borderId="46" xfId="0" applyFont="1" applyFill="1" applyBorder="1" applyAlignment="1" applyProtection="1">
      <alignment horizontal="center" vertical="center" wrapText="1"/>
    </xf>
    <xf numFmtId="0" fontId="11" fillId="0" borderId="59" xfId="0" applyFont="1" applyFill="1" applyBorder="1" applyAlignment="1" applyProtection="1">
      <alignment horizontal="center" vertical="center" wrapText="1"/>
    </xf>
    <xf numFmtId="0" fontId="11" fillId="0" borderId="23" xfId="0" applyFont="1" applyFill="1" applyBorder="1" applyAlignment="1">
      <alignment vertical="center" wrapText="1"/>
    </xf>
    <xf numFmtId="0" fontId="11" fillId="0" borderId="85" xfId="0" applyFont="1" applyFill="1" applyBorder="1" applyAlignment="1">
      <alignment vertical="center" wrapText="1"/>
    </xf>
    <xf numFmtId="0" fontId="11" fillId="0" borderId="46" xfId="0" applyFont="1" applyFill="1" applyBorder="1" applyAlignment="1">
      <alignment vertical="center" wrapText="1"/>
    </xf>
    <xf numFmtId="0" fontId="11" fillId="0" borderId="57" xfId="0" applyFont="1" applyFill="1" applyBorder="1" applyAlignment="1">
      <alignment vertical="center" wrapText="1"/>
    </xf>
    <xf numFmtId="0" fontId="11" fillId="0" borderId="59" xfId="0" applyFont="1" applyFill="1" applyBorder="1" applyAlignment="1">
      <alignment vertical="center" wrapText="1"/>
    </xf>
    <xf numFmtId="0" fontId="11" fillId="0" borderId="86" xfId="0" applyFont="1" applyFill="1" applyBorder="1" applyAlignment="1">
      <alignment vertical="center" wrapText="1"/>
    </xf>
    <xf numFmtId="0" fontId="3" fillId="0" borderId="0" xfId="0" applyFont="1" applyAlignment="1">
      <alignment horizontal="center" vertical="center"/>
    </xf>
    <xf numFmtId="0" fontId="12" fillId="0" borderId="23" xfId="0" applyFont="1" applyBorder="1" applyAlignment="1" applyProtection="1">
      <alignment horizontal="center" vertical="center" wrapText="1"/>
    </xf>
    <xf numFmtId="0" fontId="12" fillId="0" borderId="46" xfId="0" applyFont="1" applyBorder="1" applyAlignment="1" applyProtection="1">
      <alignment horizontal="center" vertical="center" wrapText="1"/>
    </xf>
    <xf numFmtId="0" fontId="12" fillId="0" borderId="59" xfId="0" applyFont="1" applyBorder="1" applyAlignment="1" applyProtection="1">
      <alignment horizontal="center" vertical="center" wrapText="1"/>
    </xf>
    <xf numFmtId="0" fontId="4" fillId="0" borderId="8" xfId="0" applyFont="1" applyBorder="1" applyAlignment="1" applyProtection="1">
      <alignment horizontal="center" vertical="top" wrapText="1"/>
    </xf>
    <xf numFmtId="184" fontId="0" fillId="0" borderId="1" xfId="0" applyNumberFormat="1" applyBorder="1" applyAlignment="1" applyProtection="1">
      <alignment horizontal="right" vertical="center"/>
    </xf>
    <xf numFmtId="0" fontId="3" fillId="0" borderId="1" xfId="0" applyFont="1" applyBorder="1" applyAlignment="1">
      <alignment horizontal="center" vertical="center"/>
    </xf>
    <xf numFmtId="184" fontId="3" fillId="2" borderId="172" xfId="0" applyNumberFormat="1" applyFont="1" applyFill="1" applyBorder="1" applyAlignment="1" applyProtection="1">
      <alignment horizontal="center" vertical="center"/>
    </xf>
    <xf numFmtId="184" fontId="3" fillId="2" borderId="90" xfId="0" applyNumberFormat="1" applyFont="1" applyFill="1" applyBorder="1" applyAlignment="1" applyProtection="1">
      <alignment horizontal="center" vertical="center"/>
    </xf>
    <xf numFmtId="0" fontId="4" fillId="0" borderId="26" xfId="0" applyFont="1" applyFill="1" applyBorder="1" applyAlignment="1">
      <alignment horizontal="center" vertical="center" wrapText="1"/>
    </xf>
    <xf numFmtId="0" fontId="4" fillId="0" borderId="79" xfId="0" applyFont="1" applyFill="1" applyBorder="1" applyAlignment="1">
      <alignment horizontal="center" vertical="center" wrapText="1"/>
    </xf>
    <xf numFmtId="0" fontId="7" fillId="0" borderId="108" xfId="0" applyFont="1" applyBorder="1" applyAlignment="1" applyProtection="1">
      <alignment horizontal="center" vertical="center" wrapText="1"/>
    </xf>
    <xf numFmtId="0" fontId="7" fillId="0" borderId="110" xfId="0" applyFont="1" applyBorder="1" applyAlignment="1" applyProtection="1">
      <alignment horizontal="center" vertical="center" wrapText="1"/>
    </xf>
    <xf numFmtId="0" fontId="4" fillId="0" borderId="25"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horizontal="center" vertical="center" wrapText="1"/>
    </xf>
    <xf numFmtId="180" fontId="3" fillId="2" borderId="0" xfId="0" applyNumberFormat="1" applyFont="1" applyFill="1" applyAlignment="1">
      <alignment horizontal="right" vertical="center"/>
    </xf>
    <xf numFmtId="180" fontId="3" fillId="2" borderId="16" xfId="0" applyNumberFormat="1" applyFont="1" applyFill="1" applyBorder="1" applyAlignment="1">
      <alignment horizontal="right" vertical="center"/>
    </xf>
    <xf numFmtId="0" fontId="65" fillId="0" borderId="22" xfId="0" applyFont="1" applyBorder="1" applyAlignment="1">
      <alignment horizontal="center" vertical="center"/>
    </xf>
    <xf numFmtId="0" fontId="65" fillId="0" borderId="24" xfId="0" applyFont="1" applyBorder="1" applyAlignment="1">
      <alignment horizontal="center" vertical="center"/>
    </xf>
    <xf numFmtId="0" fontId="67" fillId="0" borderId="1" xfId="0" applyFont="1" applyBorder="1" applyAlignment="1">
      <alignment horizontal="center" vertical="center" wrapText="1"/>
    </xf>
    <xf numFmtId="0" fontId="67" fillId="0" borderId="22" xfId="0" applyFont="1" applyBorder="1" applyAlignment="1">
      <alignment horizontal="center" vertical="center" wrapText="1"/>
    </xf>
    <xf numFmtId="0" fontId="67" fillId="0" borderId="24" xfId="0" applyFont="1" applyBorder="1" applyAlignment="1">
      <alignment horizontal="center" vertical="center" wrapText="1"/>
    </xf>
    <xf numFmtId="184" fontId="0" fillId="0" borderId="0" xfId="0" applyNumberFormat="1" applyAlignment="1">
      <alignment horizontal="center" vertical="center"/>
    </xf>
    <xf numFmtId="0" fontId="3" fillId="0" borderId="106" xfId="0" applyFont="1" applyBorder="1" applyAlignment="1">
      <alignment horizontal="center" vertical="center"/>
    </xf>
    <xf numFmtId="0" fontId="3" fillId="0" borderId="107" xfId="0" applyFont="1" applyBorder="1" applyAlignment="1">
      <alignment horizontal="center" vertical="center"/>
    </xf>
    <xf numFmtId="0" fontId="3" fillId="0" borderId="13" xfId="0" applyFont="1" applyBorder="1" applyAlignment="1">
      <alignment horizontal="center" vertical="center"/>
    </xf>
    <xf numFmtId="0" fontId="3" fillId="0" borderId="23" xfId="0" applyFont="1" applyBorder="1" applyAlignment="1">
      <alignment horizontal="center" vertical="center"/>
    </xf>
    <xf numFmtId="0" fontId="3" fillId="0" borderId="46" xfId="0" applyFont="1" applyBorder="1" applyAlignment="1">
      <alignment horizontal="center" vertical="center"/>
    </xf>
    <xf numFmtId="189" fontId="0" fillId="2" borderId="55" xfId="0" applyNumberFormat="1" applyFill="1" applyBorder="1" applyAlignment="1">
      <alignment horizontal="center" vertical="center"/>
    </xf>
    <xf numFmtId="189" fontId="0" fillId="2" borderId="99" xfId="0" applyNumberFormat="1" applyFill="1" applyBorder="1" applyAlignment="1">
      <alignment horizontal="center" vertical="center"/>
    </xf>
    <xf numFmtId="189" fontId="0" fillId="2" borderId="45" xfId="0" applyNumberFormat="1" applyFill="1" applyBorder="1" applyAlignment="1">
      <alignment horizontal="center" vertical="center"/>
    </xf>
    <xf numFmtId="0" fontId="3" fillId="0" borderId="59" xfId="0" applyFont="1" applyBorder="1" applyAlignment="1">
      <alignment horizontal="center" vertical="center"/>
    </xf>
    <xf numFmtId="0" fontId="0" fillId="0" borderId="37"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wrapText="1"/>
    </xf>
    <xf numFmtId="0" fontId="4" fillId="0" borderId="0" xfId="0" applyFont="1" applyAlignment="1">
      <alignment horizontal="center" vertical="center" wrapText="1"/>
    </xf>
    <xf numFmtId="0" fontId="3" fillId="2" borderId="23" xfId="0" applyFont="1" applyFill="1" applyBorder="1" applyAlignment="1">
      <alignment horizontal="left" vertical="center" wrapText="1"/>
    </xf>
    <xf numFmtId="0" fontId="3" fillId="2" borderId="58" xfId="0" applyFont="1" applyFill="1" applyBorder="1" applyAlignment="1">
      <alignment horizontal="left" vertical="center" wrapText="1"/>
    </xf>
    <xf numFmtId="0" fontId="3" fillId="2" borderId="85" xfId="0" applyFont="1" applyFill="1" applyBorder="1" applyAlignment="1">
      <alignment horizontal="left" vertical="center" wrapText="1"/>
    </xf>
    <xf numFmtId="0" fontId="3" fillId="2" borderId="59"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86" xfId="0" applyFont="1" applyFill="1" applyBorder="1" applyAlignment="1">
      <alignment horizontal="left" vertical="center" wrapText="1"/>
    </xf>
    <xf numFmtId="0" fontId="0" fillId="0" borderId="23" xfId="0" applyBorder="1" applyAlignment="1">
      <alignment horizontal="center" vertical="center"/>
    </xf>
    <xf numFmtId="0" fontId="0" fillId="0" borderId="85" xfId="0" applyBorder="1" applyAlignment="1">
      <alignment horizontal="center" vertical="center"/>
    </xf>
    <xf numFmtId="0" fontId="0" fillId="0" borderId="59" xfId="0" applyBorder="1" applyAlignment="1">
      <alignment horizontal="center" vertical="center"/>
    </xf>
    <xf numFmtId="0" fontId="0" fillId="0" borderId="86"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21" fillId="0" borderId="0" xfId="0" applyFont="1" applyFill="1" applyAlignment="1">
      <alignment horizontal="center" vertical="center"/>
    </xf>
    <xf numFmtId="0" fontId="10" fillId="7" borderId="0" xfId="0" applyFont="1" applyFill="1" applyAlignment="1">
      <alignment horizontal="center" vertical="center"/>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185" fontId="7" fillId="2" borderId="108" xfId="0" applyNumberFormat="1" applyFont="1" applyFill="1" applyBorder="1" applyAlignment="1" applyProtection="1">
      <alignment horizontal="center" vertical="center" shrinkToFit="1"/>
    </xf>
    <xf numFmtId="0" fontId="0" fillId="2" borderId="109" xfId="0" applyFill="1" applyBorder="1" applyAlignment="1" applyProtection="1">
      <alignment horizontal="center" vertical="center" shrinkToFit="1"/>
    </xf>
    <xf numFmtId="0" fontId="0" fillId="2" borderId="110" xfId="0" applyFill="1" applyBorder="1" applyAlignment="1" applyProtection="1">
      <alignment horizontal="center" vertical="center" shrinkToFit="1"/>
    </xf>
    <xf numFmtId="0" fontId="0" fillId="0" borderId="0" xfId="0" applyBorder="1" applyAlignment="1" applyProtection="1">
      <alignment horizontal="center" vertical="center"/>
    </xf>
    <xf numFmtId="0" fontId="4" fillId="0" borderId="22" xfId="0" applyFont="1" applyBorder="1" applyAlignment="1" applyProtection="1">
      <alignment horizontal="center" vertical="center"/>
    </xf>
    <xf numFmtId="0" fontId="5" fillId="0" borderId="67" xfId="0" applyFont="1" applyBorder="1" applyAlignment="1" applyProtection="1">
      <alignment horizontal="center" vertical="center"/>
    </xf>
    <xf numFmtId="0" fontId="4" fillId="0" borderId="23" xfId="0" applyFont="1" applyBorder="1" applyAlignment="1" applyProtection="1">
      <alignment horizontal="center" vertical="center"/>
    </xf>
    <xf numFmtId="0" fontId="0" fillId="0" borderId="85" xfId="0" applyBorder="1" applyAlignment="1" applyProtection="1">
      <alignment horizontal="center" vertical="center"/>
    </xf>
    <xf numFmtId="0" fontId="0" fillId="0" borderId="59" xfId="0" applyBorder="1" applyAlignment="1" applyProtection="1">
      <alignment horizontal="center" vertical="center"/>
    </xf>
    <xf numFmtId="0" fontId="0" fillId="0" borderId="86" xfId="0" applyBorder="1" applyAlignment="1" applyProtection="1">
      <alignment horizontal="center" vertical="center"/>
    </xf>
    <xf numFmtId="0" fontId="4" fillId="0" borderId="2"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12"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7" xfId="0" applyFont="1" applyBorder="1" applyAlignment="1" applyProtection="1">
      <alignment horizontal="center" vertical="center"/>
    </xf>
    <xf numFmtId="0" fontId="0" fillId="0" borderId="23" xfId="0" applyBorder="1" applyAlignment="1" applyProtection="1">
      <alignment horizontal="center" vertical="center"/>
      <protection locked="0"/>
    </xf>
    <xf numFmtId="0" fontId="0" fillId="0" borderId="85" xfId="0" applyBorder="1" applyAlignment="1" applyProtection="1">
      <alignment horizontal="center" vertical="center"/>
      <protection locked="0"/>
    </xf>
    <xf numFmtId="0" fontId="21" fillId="0" borderId="1" xfId="0" applyFont="1" applyBorder="1" applyAlignment="1" applyProtection="1">
      <alignment horizontal="center" vertical="center" wrapText="1"/>
    </xf>
    <xf numFmtId="0" fontId="60" fillId="0" borderId="2" xfId="0" applyFont="1" applyBorder="1" applyAlignment="1">
      <alignment horizontal="center" vertical="center"/>
    </xf>
    <xf numFmtId="0" fontId="60" fillId="0" borderId="7" xfId="0" applyFont="1" applyBorder="1" applyAlignment="1">
      <alignment horizontal="center" vertical="center"/>
    </xf>
    <xf numFmtId="0" fontId="60" fillId="0" borderId="18" xfId="0" applyFont="1" applyBorder="1" applyAlignment="1">
      <alignment horizontal="center" vertical="center"/>
    </xf>
    <xf numFmtId="0" fontId="61" fillId="0" borderId="7" xfId="0" applyFont="1" applyBorder="1" applyAlignment="1">
      <alignment horizontal="center" vertical="center"/>
    </xf>
    <xf numFmtId="0" fontId="7" fillId="0" borderId="0" xfId="0" applyNumberFormat="1" applyFont="1" applyAlignment="1" applyProtection="1">
      <alignment horizontal="right" vertical="center"/>
    </xf>
    <xf numFmtId="0" fontId="7" fillId="0" borderId="104" xfId="0" applyNumberFormat="1" applyFont="1" applyBorder="1" applyAlignment="1" applyProtection="1">
      <alignment horizontal="right" vertical="center"/>
    </xf>
    <xf numFmtId="185" fontId="7" fillId="2" borderId="109" xfId="0" applyNumberFormat="1" applyFont="1" applyFill="1" applyBorder="1" applyAlignment="1" applyProtection="1">
      <alignment horizontal="center" vertical="center" shrinkToFit="1"/>
    </xf>
    <xf numFmtId="185" fontId="7" fillId="2" borderId="110" xfId="0" applyNumberFormat="1" applyFont="1" applyFill="1" applyBorder="1" applyAlignment="1" applyProtection="1">
      <alignment horizontal="center" vertical="center" shrinkToFit="1"/>
    </xf>
    <xf numFmtId="0" fontId="0" fillId="0" borderId="33"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8" xfId="0" applyBorder="1" applyAlignment="1" applyProtection="1">
      <alignment horizontal="center" vertical="center" wrapText="1"/>
    </xf>
    <xf numFmtId="0" fontId="5" fillId="0" borderId="24" xfId="0" applyFont="1" applyBorder="1" applyAlignment="1" applyProtection="1">
      <alignment horizontal="center" vertical="center"/>
    </xf>
    <xf numFmtId="0" fontId="4" fillId="0" borderId="22" xfId="0" applyFont="1" applyBorder="1" applyAlignment="1" applyProtection="1">
      <alignment horizontal="center" vertical="center" wrapText="1"/>
    </xf>
    <xf numFmtId="0" fontId="5" fillId="0" borderId="67" xfId="0" applyFont="1" applyBorder="1" applyAlignment="1" applyProtection="1">
      <alignment vertical="center"/>
    </xf>
    <xf numFmtId="0" fontId="5" fillId="0" borderId="24" xfId="0" applyFont="1" applyBorder="1" applyAlignment="1" applyProtection="1">
      <alignment vertical="center"/>
    </xf>
    <xf numFmtId="0" fontId="4" fillId="0" borderId="114" xfId="0" applyFont="1" applyBorder="1" applyAlignment="1" applyProtection="1">
      <alignment horizontal="center" vertical="center" wrapText="1"/>
    </xf>
    <xf numFmtId="0" fontId="4" fillId="0" borderId="1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16" xfId="0" applyFont="1" applyBorder="1" applyAlignment="1" applyProtection="1">
      <alignment horizontal="center" vertical="center" wrapText="1"/>
    </xf>
    <xf numFmtId="0" fontId="0" fillId="0" borderId="12"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32" xfId="0" applyBorder="1" applyAlignment="1" applyProtection="1">
      <alignment horizontal="center" vertical="center" wrapText="1"/>
    </xf>
    <xf numFmtId="177" fontId="3" fillId="2" borderId="59" xfId="0" applyNumberFormat="1" applyFont="1" applyFill="1" applyBorder="1" applyAlignment="1" applyProtection="1">
      <alignment vertical="center"/>
    </xf>
    <xf numFmtId="177" fontId="3" fillId="2" borderId="86" xfId="0" applyNumberFormat="1" applyFont="1" applyFill="1" applyBorder="1" applyAlignment="1" applyProtection="1">
      <alignment vertical="center"/>
    </xf>
    <xf numFmtId="0" fontId="7" fillId="0" borderId="2"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7" fillId="0" borderId="18" xfId="0" applyFont="1" applyBorder="1" applyAlignment="1" applyProtection="1">
      <alignment horizontal="center" vertical="center" shrinkToFit="1"/>
    </xf>
    <xf numFmtId="177" fontId="3" fillId="0" borderId="111" xfId="0" applyNumberFormat="1" applyFont="1" applyBorder="1" applyProtection="1">
      <alignment vertical="center"/>
      <protection locked="0"/>
    </xf>
    <xf numFmtId="177" fontId="3" fillId="0" borderId="112" xfId="0" applyNumberFormat="1" applyFont="1" applyBorder="1" applyProtection="1">
      <alignment vertical="center"/>
      <protection locked="0"/>
    </xf>
    <xf numFmtId="177" fontId="3" fillId="2" borderId="7" xfId="0" applyNumberFormat="1" applyFont="1" applyFill="1" applyBorder="1" applyAlignment="1" applyProtection="1">
      <alignment vertical="center"/>
    </xf>
    <xf numFmtId="177" fontId="3" fillId="2" borderId="8" xfId="0" applyNumberFormat="1" applyFont="1" applyFill="1" applyBorder="1" applyAlignment="1" applyProtection="1">
      <alignment vertical="center"/>
    </xf>
    <xf numFmtId="177" fontId="3" fillId="2" borderId="2" xfId="0" applyNumberFormat="1" applyFont="1" applyFill="1" applyBorder="1" applyAlignment="1" applyProtection="1">
      <alignment vertical="center"/>
    </xf>
    <xf numFmtId="177" fontId="3" fillId="2" borderId="24" xfId="0" applyNumberFormat="1" applyFont="1" applyFill="1" applyBorder="1" applyAlignment="1" applyProtection="1">
      <alignment vertical="center"/>
    </xf>
    <xf numFmtId="0" fontId="7" fillId="0" borderId="46"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57" xfId="0" applyFont="1" applyBorder="1" applyAlignment="1" applyProtection="1">
      <alignment horizontal="center" vertical="center"/>
    </xf>
    <xf numFmtId="177" fontId="3" fillId="2" borderId="46" xfId="0" applyNumberFormat="1" applyFont="1" applyFill="1" applyBorder="1" applyAlignment="1" applyProtection="1">
      <alignment vertical="center"/>
    </xf>
    <xf numFmtId="177" fontId="3" fillId="2" borderId="57" xfId="0" applyNumberFormat="1" applyFont="1" applyFill="1" applyBorder="1" applyAlignment="1" applyProtection="1">
      <alignment vertical="center"/>
    </xf>
    <xf numFmtId="177" fontId="3" fillId="2" borderId="2" xfId="0" applyNumberFormat="1" applyFont="1" applyFill="1" applyBorder="1" applyAlignment="1" applyProtection="1">
      <alignment horizontal="right" vertical="center"/>
    </xf>
    <xf numFmtId="177" fontId="3" fillId="2" borderId="8" xfId="0" applyNumberFormat="1" applyFont="1" applyFill="1" applyBorder="1" applyAlignment="1" applyProtection="1">
      <alignment horizontal="right" vertical="center"/>
    </xf>
    <xf numFmtId="177" fontId="3" fillId="2" borderId="1" xfId="0" applyNumberFormat="1" applyFont="1" applyFill="1" applyBorder="1" applyAlignment="1" applyProtection="1">
      <alignment vertical="center"/>
    </xf>
    <xf numFmtId="197" fontId="3" fillId="2" borderId="59" xfId="0" applyNumberFormat="1" applyFont="1" applyFill="1" applyBorder="1" applyAlignment="1" applyProtection="1">
      <alignment vertical="center"/>
    </xf>
    <xf numFmtId="197" fontId="3" fillId="2" borderId="86" xfId="0" applyNumberFormat="1" applyFont="1" applyFill="1" applyBorder="1" applyAlignment="1" applyProtection="1">
      <alignment vertical="center"/>
    </xf>
    <xf numFmtId="0" fontId="7" fillId="0" borderId="59"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7" fillId="0" borderId="86" xfId="0" applyFont="1" applyBorder="1" applyAlignment="1" applyProtection="1">
      <alignment horizontal="center" vertical="center" shrinkToFit="1"/>
    </xf>
    <xf numFmtId="177" fontId="3" fillId="2" borderId="16" xfId="0" applyNumberFormat="1" applyFont="1" applyFill="1" applyBorder="1" applyAlignment="1" applyProtection="1">
      <alignment vertical="center"/>
    </xf>
    <xf numFmtId="177" fontId="3" fillId="2" borderId="113" xfId="0" applyNumberFormat="1" applyFont="1" applyFill="1" applyBorder="1" applyAlignment="1" applyProtection="1">
      <alignment horizontal="right" vertical="center"/>
    </xf>
    <xf numFmtId="177" fontId="3" fillId="2" borderId="1" xfId="0" applyNumberFormat="1" applyFont="1" applyFill="1" applyBorder="1" applyAlignment="1" applyProtection="1">
      <alignment horizontal="right" vertical="center"/>
    </xf>
    <xf numFmtId="177" fontId="3" fillId="2" borderId="2" xfId="0" applyNumberFormat="1" applyFont="1" applyFill="1" applyBorder="1" applyAlignment="1" applyProtection="1">
      <alignment vertical="center"/>
      <protection locked="0"/>
    </xf>
    <xf numFmtId="177" fontId="3" fillId="2" borderId="8" xfId="0" applyNumberFormat="1" applyFont="1" applyFill="1" applyBorder="1" applyAlignment="1" applyProtection="1">
      <alignment vertical="center"/>
      <protection locked="0"/>
    </xf>
    <xf numFmtId="177" fontId="3" fillId="2" borderId="7" xfId="0" applyNumberFormat="1" applyFont="1" applyFill="1" applyBorder="1" applyAlignment="1" applyProtection="1">
      <alignment vertical="center"/>
      <protection locked="0"/>
    </xf>
    <xf numFmtId="177" fontId="3" fillId="2" borderId="2" xfId="0" applyNumberFormat="1" applyFont="1" applyFill="1" applyBorder="1" applyAlignment="1" applyProtection="1">
      <alignment horizontal="right" vertical="center"/>
      <protection locked="0"/>
    </xf>
    <xf numFmtId="177" fontId="3" fillId="2" borderId="8" xfId="0" applyNumberFormat="1" applyFont="1" applyFill="1" applyBorder="1" applyAlignment="1" applyProtection="1">
      <alignment horizontal="right" vertical="center"/>
      <protection locked="0"/>
    </xf>
    <xf numFmtId="177" fontId="3" fillId="0" borderId="111" xfId="0" applyNumberFormat="1" applyFont="1" applyBorder="1" applyAlignment="1" applyProtection="1">
      <alignment vertical="center"/>
      <protection locked="0"/>
    </xf>
    <xf numFmtId="177" fontId="3" fillId="0" borderId="112" xfId="0" applyNumberFormat="1" applyFont="1" applyBorder="1" applyAlignment="1" applyProtection="1">
      <alignment vertical="center"/>
      <protection locked="0"/>
    </xf>
    <xf numFmtId="0" fontId="0" fillId="0" borderId="16" xfId="0" applyBorder="1" applyAlignment="1" applyProtection="1">
      <alignment horizontal="center" vertical="center" wrapText="1"/>
    </xf>
    <xf numFmtId="0" fontId="0" fillId="0" borderId="116" xfId="0" applyBorder="1" applyAlignment="1" applyProtection="1">
      <alignment horizontal="center" vertical="center" wrapText="1"/>
    </xf>
    <xf numFmtId="0" fontId="5" fillId="2" borderId="2"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0" fillId="0" borderId="0" xfId="0" applyBorder="1" applyAlignment="1" applyProtection="1">
      <alignment horizontal="center" vertical="center"/>
      <protection locked="0"/>
    </xf>
    <xf numFmtId="0" fontId="4" fillId="0" borderId="23" xfId="0" applyFont="1" applyBorder="1" applyAlignment="1" applyProtection="1">
      <alignment horizontal="center" vertical="center" wrapText="1"/>
    </xf>
    <xf numFmtId="0" fontId="4" fillId="0" borderId="59" xfId="0" applyFont="1" applyBorder="1" applyAlignment="1" applyProtection="1">
      <alignment horizontal="center" vertical="center" wrapText="1"/>
    </xf>
    <xf numFmtId="185" fontId="7" fillId="0" borderId="108" xfId="0" applyNumberFormat="1" applyFont="1" applyBorder="1" applyAlignment="1" applyProtection="1">
      <alignment horizontal="center" vertical="center" shrinkToFit="1"/>
    </xf>
    <xf numFmtId="185" fontId="7" fillId="0" borderId="109" xfId="0" applyNumberFormat="1" applyFont="1" applyBorder="1" applyAlignment="1" applyProtection="1">
      <alignment horizontal="center" vertical="center" shrinkToFit="1"/>
    </xf>
    <xf numFmtId="185" fontId="7" fillId="0" borderId="110" xfId="0" applyNumberFormat="1" applyFont="1" applyBorder="1" applyAlignment="1" applyProtection="1">
      <alignment horizontal="center" vertical="center" shrinkToFit="1"/>
    </xf>
  </cellXfs>
  <cellStyles count="4">
    <cellStyle name="桁区切り" xfId="1" builtinId="6"/>
    <cellStyle name="標準" xfId="0" builtinId="0"/>
    <cellStyle name="標準 2" xfId="3" xr:uid="{91A5394A-07E5-4E86-A343-569B82DDF3BE}"/>
    <cellStyle name="標準 6" xfId="2" xr:uid="{00000000-0005-0000-0000-000002000000}"/>
  </cellStyles>
  <dxfs count="35">
    <dxf>
      <font>
        <color rgb="FF9C0006"/>
      </font>
      <fill>
        <patternFill>
          <bgColor rgb="FFFFC7CE"/>
        </patternFill>
      </fill>
    </dxf>
    <dxf>
      <font>
        <color rgb="FF9C0006"/>
      </font>
      <fill>
        <patternFill>
          <bgColor rgb="FFFFC7CE"/>
        </patternFill>
      </fill>
    </dxf>
    <dxf>
      <font>
        <b/>
        <i val="0"/>
        <color rgb="FF9C0006"/>
      </font>
      <fill>
        <patternFill>
          <bgColor rgb="FFFFC7CE"/>
        </patternFill>
      </fill>
    </dxf>
    <dxf>
      <font>
        <b/>
        <i val="0"/>
        <color theme="1"/>
      </font>
      <fill>
        <patternFill>
          <bgColor theme="8" tint="0.79998168889431442"/>
        </patternFill>
      </fill>
    </dxf>
    <dxf>
      <font>
        <b/>
        <i val="0"/>
        <color rgb="FF9C0006"/>
      </font>
      <fill>
        <patternFill>
          <bgColor rgb="FFFFC7CE"/>
        </patternFill>
      </fill>
    </dxf>
    <dxf>
      <font>
        <b/>
        <i val="0"/>
        <color theme="1"/>
      </font>
      <fill>
        <patternFill>
          <bgColor theme="8" tint="0.79998168889431442"/>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FF"/>
      <color rgb="FFDAEEF3"/>
      <color rgb="FFCCECFF"/>
      <color rgb="FFFDE9D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43</xdr:col>
      <xdr:colOff>92393</xdr:colOff>
      <xdr:row>5</xdr:row>
      <xdr:rowOff>657701</xdr:rowOff>
    </xdr:from>
    <xdr:to>
      <xdr:col>43</xdr:col>
      <xdr:colOff>647570</xdr:colOff>
      <xdr:row>6</xdr:row>
      <xdr:rowOff>7243</xdr:rowOff>
    </xdr:to>
    <xdr:sp macro="" textlink="">
      <xdr:nvSpPr>
        <xdr:cNvPr id="30721" name="Text Box 1">
          <a:extLst>
            <a:ext uri="{FF2B5EF4-FFF2-40B4-BE49-F238E27FC236}">
              <a16:creationId xmlns:a16="http://schemas.microsoft.com/office/drawing/2014/main" id="{D921860C-AFC6-4772-ABFF-4EB5935E4CC2}"/>
            </a:ext>
          </a:extLst>
        </xdr:cNvPr>
        <xdr:cNvSpPr txBox="1">
          <a:spLocks noChangeArrowheads="1"/>
        </xdr:cNvSpPr>
      </xdr:nvSpPr>
      <xdr:spPr bwMode="auto">
        <a:xfrm>
          <a:off x="11546206" y="2574607"/>
          <a:ext cx="555177" cy="278230"/>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61</xdr:col>
      <xdr:colOff>40005</xdr:colOff>
      <xdr:row>5</xdr:row>
      <xdr:rowOff>645795</xdr:rowOff>
    </xdr:from>
    <xdr:to>
      <xdr:col>61</xdr:col>
      <xdr:colOff>643299</xdr:colOff>
      <xdr:row>5</xdr:row>
      <xdr:rowOff>924025</xdr:rowOff>
    </xdr:to>
    <xdr:sp macro="" textlink="">
      <xdr:nvSpPr>
        <xdr:cNvPr id="30722" name="Text Box 2">
          <a:extLst>
            <a:ext uri="{FF2B5EF4-FFF2-40B4-BE49-F238E27FC236}">
              <a16:creationId xmlns:a16="http://schemas.microsoft.com/office/drawing/2014/main" id="{0E5F07D1-6C1B-41A8-8BD3-727E115F31A6}"/>
            </a:ext>
          </a:extLst>
        </xdr:cNvPr>
        <xdr:cNvSpPr txBox="1">
          <a:spLocks noChangeArrowheads="1"/>
        </xdr:cNvSpPr>
      </xdr:nvSpPr>
      <xdr:spPr bwMode="auto">
        <a:xfrm>
          <a:off x="8858250" y="3105150"/>
          <a:ext cx="600075" cy="285750"/>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C</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56</xdr:col>
      <xdr:colOff>253047</xdr:colOff>
      <xdr:row>5</xdr:row>
      <xdr:rowOff>562768</xdr:rowOff>
    </xdr:from>
    <xdr:to>
      <xdr:col>57</xdr:col>
      <xdr:colOff>432593</xdr:colOff>
      <xdr:row>5</xdr:row>
      <xdr:rowOff>858358</xdr:rowOff>
    </xdr:to>
    <xdr:sp macro="" textlink="">
      <xdr:nvSpPr>
        <xdr:cNvPr id="30724" name="Text Box 4">
          <a:extLst>
            <a:ext uri="{FF2B5EF4-FFF2-40B4-BE49-F238E27FC236}">
              <a16:creationId xmlns:a16="http://schemas.microsoft.com/office/drawing/2014/main" id="{6F0CE292-13F2-4968-99EE-7DB561C29B34}"/>
            </a:ext>
          </a:extLst>
        </xdr:cNvPr>
        <xdr:cNvSpPr txBox="1">
          <a:spLocks noChangeArrowheads="1"/>
        </xdr:cNvSpPr>
      </xdr:nvSpPr>
      <xdr:spPr bwMode="auto">
        <a:xfrm>
          <a:off x="23124953" y="3015456"/>
          <a:ext cx="810578" cy="295590"/>
        </a:xfrm>
        <a:prstGeom prst="rect">
          <a:avLst/>
        </a:prstGeom>
        <a:noFill/>
        <a:ln>
          <a:noFill/>
        </a:ln>
      </xdr:spPr>
      <xdr:txBody>
        <a:bodyPr vertOverflow="clip" wrap="square" lIns="27432" tIns="18288" rIns="27432" bIns="0" anchor="t" upright="1"/>
        <a:lstStyle/>
        <a:p>
          <a:pPr algn="ctr" rtl="0">
            <a:lnSpc>
              <a:spcPts val="1200"/>
            </a:lnSpc>
            <a:defRPr sz="1000"/>
          </a:pPr>
          <a:r>
            <a:rPr lang="ja-JP" altLang="en-US" sz="1000" b="1" i="0" u="none" strike="noStrike" baseline="0">
              <a:solidFill>
                <a:srgbClr val="000000"/>
              </a:solidFill>
              <a:latin typeface="ＭＳ Ｐゴシック"/>
              <a:ea typeface="ＭＳ Ｐゴシック"/>
            </a:rPr>
            <a:t>(様式３)</a:t>
          </a:r>
          <a:endParaRPr lang="ja-JP" altLang="en-US"/>
        </a:p>
      </xdr:txBody>
    </xdr:sp>
    <xdr:clientData/>
  </xdr:twoCellAnchor>
  <xdr:twoCellAnchor>
    <xdr:from>
      <xdr:col>61</xdr:col>
      <xdr:colOff>35719</xdr:colOff>
      <xdr:row>5</xdr:row>
      <xdr:rowOff>352902</xdr:rowOff>
    </xdr:from>
    <xdr:to>
      <xdr:col>62</xdr:col>
      <xdr:colOff>24396</xdr:colOff>
      <xdr:row>5</xdr:row>
      <xdr:rowOff>695802</xdr:rowOff>
    </xdr:to>
    <xdr:sp macro="" textlink="">
      <xdr:nvSpPr>
        <xdr:cNvPr id="30725" name="Text Box 5">
          <a:extLst>
            <a:ext uri="{FF2B5EF4-FFF2-40B4-BE49-F238E27FC236}">
              <a16:creationId xmlns:a16="http://schemas.microsoft.com/office/drawing/2014/main" id="{1D823955-8290-404E-B7A4-ECCD1605188A}"/>
            </a:ext>
          </a:extLst>
        </xdr:cNvPr>
        <xdr:cNvSpPr txBox="1">
          <a:spLocks noChangeArrowheads="1"/>
        </xdr:cNvSpPr>
      </xdr:nvSpPr>
      <xdr:spPr bwMode="auto">
        <a:xfrm>
          <a:off x="15073313" y="2269808"/>
          <a:ext cx="643521" cy="342900"/>
        </a:xfrm>
        <a:prstGeom prst="rect">
          <a:avLst/>
        </a:prstGeom>
        <a:noFill/>
        <a:ln>
          <a:noFill/>
        </a:ln>
      </xdr:spPr>
      <xdr:txBody>
        <a:bodyPr vertOverflow="clip" wrap="square" lIns="27432" tIns="18288" rIns="27432" bIns="0" anchor="t"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ja-JP" altLang="ja-JP" sz="1000" b="1" i="0" baseline="0">
              <a:effectLst/>
              <a:latin typeface="+mn-lt"/>
              <a:ea typeface="+mn-ea"/>
              <a:cs typeface="+mn-cs"/>
            </a:rPr>
            <a:t>⑯</a:t>
          </a:r>
          <a:r>
            <a:rPr lang="ja-JP" altLang="en-US" sz="900" b="1" i="0" u="none" strike="noStrike" baseline="0">
              <a:solidFill>
                <a:srgbClr val="000000"/>
              </a:solidFill>
              <a:latin typeface="ＭＳ Ｐゴシック"/>
              <a:ea typeface="ＭＳ Ｐゴシック"/>
            </a:rPr>
            <a:t>～</a:t>
          </a:r>
          <a:r>
            <a:rPr lang="ja-JP" altLang="ja-JP" sz="1000" b="1" i="0" baseline="0">
              <a:effectLst/>
              <a:latin typeface="+mn-lt"/>
              <a:ea typeface="+mn-ea"/>
              <a:cs typeface="+mn-cs"/>
            </a:rPr>
            <a:t>⑲</a:t>
          </a:r>
          <a:endParaRPr lang="ja-JP" altLang="ja-JP" sz="900">
            <a:effectLst/>
          </a:endParaRPr>
        </a:p>
        <a:p>
          <a:pPr marL="0" marR="0" lvl="0" indent="0" algn="ctr" defTabSz="914400" rtl="0" eaLnBrk="1" fontAlgn="auto" latinLnBrk="0" hangingPunct="1">
            <a:lnSpc>
              <a:spcPts val="1000"/>
            </a:lnSpc>
            <a:spcBef>
              <a:spcPts val="0"/>
            </a:spcBef>
            <a:spcAft>
              <a:spcPts val="0"/>
            </a:spcAft>
            <a:buClrTx/>
            <a:buSzTx/>
            <a:buFontTx/>
            <a:buNone/>
            <a:tabLst/>
            <a:defRPr sz="1000"/>
          </a:pPr>
          <a:r>
            <a:rPr lang="ja-JP" altLang="en-US" sz="900" b="1" i="0" u="none" strike="noStrike" baseline="0">
              <a:solidFill>
                <a:srgbClr val="000000"/>
              </a:solidFill>
              <a:latin typeface="ＭＳ Ｐゴシック"/>
              <a:ea typeface="ＭＳ Ｐゴシック"/>
            </a:rPr>
            <a:t>の合計</a:t>
          </a:r>
          <a:endParaRPr lang="ja-JP" altLang="en-US"/>
        </a:p>
      </xdr:txBody>
    </xdr:sp>
    <xdr:clientData/>
  </xdr:twoCellAnchor>
  <xdr:twoCellAnchor>
    <xdr:from>
      <xdr:col>46</xdr:col>
      <xdr:colOff>20955</xdr:colOff>
      <xdr:row>5</xdr:row>
      <xdr:rowOff>695325</xdr:rowOff>
    </xdr:from>
    <xdr:to>
      <xdr:col>46</xdr:col>
      <xdr:colOff>499599</xdr:colOff>
      <xdr:row>6</xdr:row>
      <xdr:rowOff>0</xdr:rowOff>
    </xdr:to>
    <xdr:sp macro="" textlink="">
      <xdr:nvSpPr>
        <xdr:cNvPr id="30730" name="Text Box 10">
          <a:extLst>
            <a:ext uri="{FF2B5EF4-FFF2-40B4-BE49-F238E27FC236}">
              <a16:creationId xmlns:a16="http://schemas.microsoft.com/office/drawing/2014/main" id="{741D56E3-8199-4F2C-914A-6C42C57B088E}"/>
            </a:ext>
          </a:extLst>
        </xdr:cNvPr>
        <xdr:cNvSpPr txBox="1">
          <a:spLocks noChangeArrowheads="1"/>
        </xdr:cNvSpPr>
      </xdr:nvSpPr>
      <xdr:spPr bwMode="auto">
        <a:xfrm>
          <a:off x="10620375" y="3162300"/>
          <a:ext cx="476250" cy="238125"/>
        </a:xfrm>
        <a:prstGeom prst="rect">
          <a:avLst/>
        </a:prstGeom>
        <a:noFill/>
        <a:ln>
          <a:noFill/>
        </a:ln>
      </xdr:spPr>
      <xdr:txBody>
        <a:bodyPr vertOverflow="clip" wrap="square" lIns="36576" tIns="18288" rIns="36576" bIns="0" anchor="t" upright="1"/>
        <a:lstStyle/>
        <a:p>
          <a:pPr algn="ctr" rtl="0">
            <a:defRPr sz="1000"/>
          </a:pPr>
          <a:endParaRPr lang="ja-JP" altLang="en-US"/>
        </a:p>
      </xdr:txBody>
    </xdr:sp>
    <xdr:clientData/>
  </xdr:twoCellAnchor>
  <xdr:twoCellAnchor>
    <xdr:from>
      <xdr:col>22</xdr:col>
      <xdr:colOff>232833</xdr:colOff>
      <xdr:row>5</xdr:row>
      <xdr:rowOff>664633</xdr:rowOff>
    </xdr:from>
    <xdr:to>
      <xdr:col>23</xdr:col>
      <xdr:colOff>233891</xdr:colOff>
      <xdr:row>5</xdr:row>
      <xdr:rowOff>909108</xdr:rowOff>
    </xdr:to>
    <xdr:sp macro="" textlink="">
      <xdr:nvSpPr>
        <xdr:cNvPr id="16" name="Text Box 9">
          <a:extLst>
            <a:ext uri="{FF2B5EF4-FFF2-40B4-BE49-F238E27FC236}">
              <a16:creationId xmlns:a16="http://schemas.microsoft.com/office/drawing/2014/main" id="{48B590D7-63C5-4F89-82BA-AC0E87DE5B03}"/>
            </a:ext>
          </a:extLst>
        </xdr:cNvPr>
        <xdr:cNvSpPr txBox="1">
          <a:spLocks noChangeArrowheads="1"/>
        </xdr:cNvSpPr>
      </xdr:nvSpPr>
      <xdr:spPr bwMode="auto">
        <a:xfrm>
          <a:off x="5598583" y="2400300"/>
          <a:ext cx="276225"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①</a:t>
          </a:r>
          <a:endParaRPr lang="ja-JP" altLang="en-US"/>
        </a:p>
      </xdr:txBody>
    </xdr:sp>
    <xdr:clientData/>
  </xdr:twoCellAnchor>
  <xdr:twoCellAnchor>
    <xdr:from>
      <xdr:col>26</xdr:col>
      <xdr:colOff>42184</xdr:colOff>
      <xdr:row>5</xdr:row>
      <xdr:rowOff>675217</xdr:rowOff>
    </xdr:from>
    <xdr:to>
      <xdr:col>27</xdr:col>
      <xdr:colOff>419101</xdr:colOff>
      <xdr:row>5</xdr:row>
      <xdr:rowOff>895350</xdr:rowOff>
    </xdr:to>
    <xdr:sp macro="" textlink="">
      <xdr:nvSpPr>
        <xdr:cNvPr id="17" name="Text Box 9">
          <a:extLst>
            <a:ext uri="{FF2B5EF4-FFF2-40B4-BE49-F238E27FC236}">
              <a16:creationId xmlns:a16="http://schemas.microsoft.com/office/drawing/2014/main" id="{AA122886-ADF2-4646-9381-547283EC9765}"/>
            </a:ext>
          </a:extLst>
        </xdr:cNvPr>
        <xdr:cNvSpPr txBox="1">
          <a:spLocks noChangeArrowheads="1"/>
        </xdr:cNvSpPr>
      </xdr:nvSpPr>
      <xdr:spPr bwMode="auto">
        <a:xfrm>
          <a:off x="10148209" y="2961217"/>
          <a:ext cx="729342" cy="220133"/>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28</xdr:col>
      <xdr:colOff>252413</xdr:colOff>
      <xdr:row>5</xdr:row>
      <xdr:rowOff>676275</xdr:rowOff>
    </xdr:from>
    <xdr:to>
      <xdr:col>29</xdr:col>
      <xdr:colOff>228600</xdr:colOff>
      <xdr:row>6</xdr:row>
      <xdr:rowOff>23018</xdr:rowOff>
    </xdr:to>
    <xdr:sp macro="" textlink="">
      <xdr:nvSpPr>
        <xdr:cNvPr id="19" name="Text Box 9">
          <a:extLst>
            <a:ext uri="{FF2B5EF4-FFF2-40B4-BE49-F238E27FC236}">
              <a16:creationId xmlns:a16="http://schemas.microsoft.com/office/drawing/2014/main" id="{85A35011-7778-414C-910B-FFBD7D99DEBA}"/>
            </a:ext>
          </a:extLst>
        </xdr:cNvPr>
        <xdr:cNvSpPr txBox="1">
          <a:spLocks noChangeArrowheads="1"/>
        </xdr:cNvSpPr>
      </xdr:nvSpPr>
      <xdr:spPr bwMode="auto">
        <a:xfrm>
          <a:off x="11196638" y="2962275"/>
          <a:ext cx="280987" cy="280193"/>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29</xdr:col>
      <xdr:colOff>593459</xdr:colOff>
      <xdr:row>5</xdr:row>
      <xdr:rowOff>703792</xdr:rowOff>
    </xdr:from>
    <xdr:to>
      <xdr:col>31</xdr:col>
      <xdr:colOff>29103</xdr:colOff>
      <xdr:row>6</xdr:row>
      <xdr:rowOff>14817</xdr:rowOff>
    </xdr:to>
    <xdr:sp macro="" textlink="">
      <xdr:nvSpPr>
        <xdr:cNvPr id="20" name="Text Box 9">
          <a:extLst>
            <a:ext uri="{FF2B5EF4-FFF2-40B4-BE49-F238E27FC236}">
              <a16:creationId xmlns:a16="http://schemas.microsoft.com/office/drawing/2014/main" id="{F54E0451-A63E-4C9E-A28B-C3F263FE1211}"/>
            </a:ext>
          </a:extLst>
        </xdr:cNvPr>
        <xdr:cNvSpPr txBox="1">
          <a:spLocks noChangeArrowheads="1"/>
        </xdr:cNvSpPr>
      </xdr:nvSpPr>
      <xdr:spPr bwMode="auto">
        <a:xfrm>
          <a:off x="18081359" y="3142192"/>
          <a:ext cx="635794"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32</xdr:col>
      <xdr:colOff>29899</xdr:colOff>
      <xdr:row>5</xdr:row>
      <xdr:rowOff>686065</xdr:rowOff>
    </xdr:from>
    <xdr:to>
      <xdr:col>33</xdr:col>
      <xdr:colOff>38100</xdr:colOff>
      <xdr:row>5</xdr:row>
      <xdr:rowOff>928423</xdr:rowOff>
    </xdr:to>
    <xdr:sp macro="" textlink="">
      <xdr:nvSpPr>
        <xdr:cNvPr id="21" name="Text Box 9">
          <a:extLst>
            <a:ext uri="{FF2B5EF4-FFF2-40B4-BE49-F238E27FC236}">
              <a16:creationId xmlns:a16="http://schemas.microsoft.com/office/drawing/2014/main" id="{BE092B9B-6E77-4A03-A0D9-0E24192D002C}"/>
            </a:ext>
          </a:extLst>
        </xdr:cNvPr>
        <xdr:cNvSpPr txBox="1">
          <a:spLocks noChangeArrowheads="1"/>
        </xdr:cNvSpPr>
      </xdr:nvSpPr>
      <xdr:spPr bwMode="auto">
        <a:xfrm>
          <a:off x="12307624" y="2972065"/>
          <a:ext cx="474926" cy="24235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⑤</a:t>
          </a:r>
          <a:endParaRPr lang="ja-JP" altLang="en-US"/>
        </a:p>
      </xdr:txBody>
    </xdr:sp>
    <xdr:clientData/>
  </xdr:twoCellAnchor>
  <xdr:twoCellAnchor>
    <xdr:from>
      <xdr:col>35</xdr:col>
      <xdr:colOff>126205</xdr:colOff>
      <xdr:row>5</xdr:row>
      <xdr:rowOff>688447</xdr:rowOff>
    </xdr:from>
    <xdr:to>
      <xdr:col>35</xdr:col>
      <xdr:colOff>592932</xdr:colOff>
      <xdr:row>6</xdr:row>
      <xdr:rowOff>4234</xdr:rowOff>
    </xdr:to>
    <xdr:sp macro="" textlink="">
      <xdr:nvSpPr>
        <xdr:cNvPr id="22" name="Text Box 9">
          <a:extLst>
            <a:ext uri="{FF2B5EF4-FFF2-40B4-BE49-F238E27FC236}">
              <a16:creationId xmlns:a16="http://schemas.microsoft.com/office/drawing/2014/main" id="{7A07E71C-8092-47CB-9206-3C55DFDC5595}"/>
            </a:ext>
          </a:extLst>
        </xdr:cNvPr>
        <xdr:cNvSpPr txBox="1">
          <a:spLocks noChangeArrowheads="1"/>
        </xdr:cNvSpPr>
      </xdr:nvSpPr>
      <xdr:spPr bwMode="auto">
        <a:xfrm>
          <a:off x="8484393" y="2605353"/>
          <a:ext cx="466727"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en-US" altLang="ja-JP" sz="1200" b="1" i="0" u="none" strike="noStrike" baseline="0">
            <a:solidFill>
              <a:srgbClr val="000000"/>
            </a:solidFill>
            <a:latin typeface="ＭＳ Ｐゴシック"/>
            <a:ea typeface="ＭＳ Ｐゴシック"/>
          </a:endParaRPr>
        </a:p>
      </xdr:txBody>
    </xdr:sp>
    <xdr:clientData/>
  </xdr:twoCellAnchor>
  <xdr:twoCellAnchor>
    <xdr:from>
      <xdr:col>38</xdr:col>
      <xdr:colOff>43706</xdr:colOff>
      <xdr:row>5</xdr:row>
      <xdr:rowOff>674735</xdr:rowOff>
    </xdr:from>
    <xdr:to>
      <xdr:col>39</xdr:col>
      <xdr:colOff>56406</xdr:colOff>
      <xdr:row>5</xdr:row>
      <xdr:rowOff>921327</xdr:rowOff>
    </xdr:to>
    <xdr:sp macro="" textlink="">
      <xdr:nvSpPr>
        <xdr:cNvPr id="23" name="Text Box 9">
          <a:extLst>
            <a:ext uri="{FF2B5EF4-FFF2-40B4-BE49-F238E27FC236}">
              <a16:creationId xmlns:a16="http://schemas.microsoft.com/office/drawing/2014/main" id="{ADEEA588-EB96-4D6F-8853-1B343137CE93}"/>
            </a:ext>
          </a:extLst>
        </xdr:cNvPr>
        <xdr:cNvSpPr txBox="1">
          <a:spLocks noChangeArrowheads="1"/>
        </xdr:cNvSpPr>
      </xdr:nvSpPr>
      <xdr:spPr bwMode="auto">
        <a:xfrm>
          <a:off x="15223092" y="2960735"/>
          <a:ext cx="428337" cy="24659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46</xdr:col>
      <xdr:colOff>51328</xdr:colOff>
      <xdr:row>5</xdr:row>
      <xdr:rowOff>695326</xdr:rowOff>
    </xdr:from>
    <xdr:to>
      <xdr:col>46</xdr:col>
      <xdr:colOff>466725</xdr:colOff>
      <xdr:row>6</xdr:row>
      <xdr:rowOff>6351</xdr:rowOff>
    </xdr:to>
    <xdr:sp macro="" textlink="">
      <xdr:nvSpPr>
        <xdr:cNvPr id="24" name="Text Box 9">
          <a:extLst>
            <a:ext uri="{FF2B5EF4-FFF2-40B4-BE49-F238E27FC236}">
              <a16:creationId xmlns:a16="http://schemas.microsoft.com/office/drawing/2014/main" id="{AA8C4406-FEC4-4934-AA38-F557BE4F6106}"/>
            </a:ext>
          </a:extLst>
        </xdr:cNvPr>
        <xdr:cNvSpPr txBox="1">
          <a:spLocks noChangeArrowheads="1"/>
        </xdr:cNvSpPr>
      </xdr:nvSpPr>
      <xdr:spPr bwMode="auto">
        <a:xfrm>
          <a:off x="18101203" y="2981326"/>
          <a:ext cx="415397"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⑪</a:t>
          </a:r>
          <a:endParaRPr lang="ja-JP" altLang="en-US"/>
        </a:p>
      </xdr:txBody>
    </xdr:sp>
    <xdr:clientData/>
  </xdr:twoCellAnchor>
  <xdr:twoCellAnchor>
    <xdr:from>
      <xdr:col>65</xdr:col>
      <xdr:colOff>40218</xdr:colOff>
      <xdr:row>5</xdr:row>
      <xdr:rowOff>699030</xdr:rowOff>
    </xdr:from>
    <xdr:to>
      <xdr:col>65</xdr:col>
      <xdr:colOff>487893</xdr:colOff>
      <xdr:row>6</xdr:row>
      <xdr:rowOff>14817</xdr:rowOff>
    </xdr:to>
    <xdr:sp macro="" textlink="">
      <xdr:nvSpPr>
        <xdr:cNvPr id="25" name="Text Box 9">
          <a:extLst>
            <a:ext uri="{FF2B5EF4-FFF2-40B4-BE49-F238E27FC236}">
              <a16:creationId xmlns:a16="http://schemas.microsoft.com/office/drawing/2014/main" id="{E5F9F809-F3D1-4F93-9886-38BAA19DF919}"/>
            </a:ext>
          </a:extLst>
        </xdr:cNvPr>
        <xdr:cNvSpPr txBox="1">
          <a:spLocks noChangeArrowheads="1"/>
        </xdr:cNvSpPr>
      </xdr:nvSpPr>
      <xdr:spPr bwMode="auto">
        <a:xfrm>
          <a:off x="11005874" y="2615936"/>
          <a:ext cx="447675" cy="244475"/>
        </a:xfrm>
        <a:prstGeom prst="rect">
          <a:avLst/>
        </a:prstGeom>
        <a:noFill/>
        <a:ln>
          <a:noFill/>
        </a:ln>
      </xdr:spPr>
      <xdr:txBody>
        <a:bodyPr vertOverflow="clip" wrap="square" lIns="36576" tIns="18288" rIns="36576" bIns="0" anchor="t" upright="1"/>
        <a:lstStyle/>
        <a:p>
          <a:pPr algn="ctr" rtl="0">
            <a:defRPr sz="1000"/>
          </a:pPr>
          <a:r>
            <a:rPr lang="ja-JP" altLang="ja-JP" sz="1000" b="1" i="0" baseline="0">
              <a:effectLst/>
              <a:latin typeface="+mn-lt"/>
              <a:ea typeface="+mn-ea"/>
              <a:cs typeface="+mn-cs"/>
            </a:rPr>
            <a:t>⑳</a:t>
          </a:r>
          <a:endParaRPr lang="en-US" altLang="ja-JP" sz="1000" b="1" i="0" baseline="0">
            <a:effectLst/>
            <a:latin typeface="+mn-lt"/>
            <a:ea typeface="+mn-ea"/>
            <a:cs typeface="+mn-cs"/>
          </a:endParaRPr>
        </a:p>
        <a:p>
          <a:pPr algn="ctr" rtl="0">
            <a:defRPr sz="1000"/>
          </a:pPr>
          <a:endParaRPr lang="ja-JP" altLang="en-US"/>
        </a:p>
      </xdr:txBody>
    </xdr:sp>
    <xdr:clientData/>
  </xdr:twoCellAnchor>
  <xdr:twoCellAnchor>
    <xdr:from>
      <xdr:col>40</xdr:col>
      <xdr:colOff>29369</xdr:colOff>
      <xdr:row>5</xdr:row>
      <xdr:rowOff>679186</xdr:rowOff>
    </xdr:from>
    <xdr:to>
      <xdr:col>40</xdr:col>
      <xdr:colOff>470694</xdr:colOff>
      <xdr:row>5</xdr:row>
      <xdr:rowOff>921016</xdr:rowOff>
    </xdr:to>
    <xdr:sp macro="" textlink="">
      <xdr:nvSpPr>
        <xdr:cNvPr id="26" name="Text Box 9">
          <a:extLst>
            <a:ext uri="{FF2B5EF4-FFF2-40B4-BE49-F238E27FC236}">
              <a16:creationId xmlns:a16="http://schemas.microsoft.com/office/drawing/2014/main" id="{6A65FEF4-AC11-436B-8622-3A69884C369E}"/>
            </a:ext>
          </a:extLst>
        </xdr:cNvPr>
        <xdr:cNvSpPr txBox="1">
          <a:spLocks noChangeArrowheads="1"/>
        </xdr:cNvSpPr>
      </xdr:nvSpPr>
      <xdr:spPr bwMode="auto">
        <a:xfrm>
          <a:off x="9530557" y="2596092"/>
          <a:ext cx="441325" cy="24183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⑨</a:t>
          </a:r>
          <a:endParaRPr lang="ja-JP" altLang="en-US"/>
        </a:p>
      </xdr:txBody>
    </xdr:sp>
    <xdr:clientData/>
  </xdr:twoCellAnchor>
  <xdr:twoCellAnchor>
    <xdr:from>
      <xdr:col>59</xdr:col>
      <xdr:colOff>277918</xdr:colOff>
      <xdr:row>5</xdr:row>
      <xdr:rowOff>524934</xdr:rowOff>
    </xdr:from>
    <xdr:to>
      <xdr:col>60</xdr:col>
      <xdr:colOff>322792</xdr:colOff>
      <xdr:row>5</xdr:row>
      <xdr:rowOff>820524</xdr:rowOff>
    </xdr:to>
    <xdr:sp macro="" textlink="">
      <xdr:nvSpPr>
        <xdr:cNvPr id="28" name="Text Box 4">
          <a:extLst>
            <a:ext uri="{FF2B5EF4-FFF2-40B4-BE49-F238E27FC236}">
              <a16:creationId xmlns:a16="http://schemas.microsoft.com/office/drawing/2014/main" id="{C717E928-D8E0-4CD5-A991-BDA1AA665F23}"/>
            </a:ext>
          </a:extLst>
        </xdr:cNvPr>
        <xdr:cNvSpPr txBox="1">
          <a:spLocks noChangeArrowheads="1"/>
        </xdr:cNvSpPr>
      </xdr:nvSpPr>
      <xdr:spPr bwMode="auto">
        <a:xfrm>
          <a:off x="25434501" y="2959101"/>
          <a:ext cx="679874" cy="295590"/>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(様式３)</a:t>
          </a:r>
          <a:endParaRPr lang="ja-JP" altLang="en-US"/>
        </a:p>
      </xdr:txBody>
    </xdr:sp>
    <xdr:clientData/>
  </xdr:twoCellAnchor>
  <xdr:twoCellAnchor>
    <xdr:from>
      <xdr:col>55</xdr:col>
      <xdr:colOff>37307</xdr:colOff>
      <xdr:row>5</xdr:row>
      <xdr:rowOff>679716</xdr:rowOff>
    </xdr:from>
    <xdr:to>
      <xdr:col>55</xdr:col>
      <xdr:colOff>484982</xdr:colOff>
      <xdr:row>5</xdr:row>
      <xdr:rowOff>919429</xdr:rowOff>
    </xdr:to>
    <xdr:sp macro="" textlink="">
      <xdr:nvSpPr>
        <xdr:cNvPr id="50" name="Text Box 9">
          <a:extLst>
            <a:ext uri="{FF2B5EF4-FFF2-40B4-BE49-F238E27FC236}">
              <a16:creationId xmlns:a16="http://schemas.microsoft.com/office/drawing/2014/main" id="{3149789E-C305-41F2-B96D-B62C885DBC75}"/>
            </a:ext>
          </a:extLst>
        </xdr:cNvPr>
        <xdr:cNvSpPr txBox="1">
          <a:spLocks noChangeArrowheads="1"/>
        </xdr:cNvSpPr>
      </xdr:nvSpPr>
      <xdr:spPr bwMode="auto">
        <a:xfrm>
          <a:off x="12145963" y="2596622"/>
          <a:ext cx="447675" cy="239713"/>
        </a:xfrm>
        <a:prstGeom prst="rect">
          <a:avLst/>
        </a:prstGeom>
        <a:noFill/>
        <a:ln>
          <a:noFill/>
        </a:ln>
      </xdr:spPr>
      <xdr:txBody>
        <a:bodyPr vertOverflow="clip" wrap="square" lIns="36576" tIns="18288"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ja-JP" sz="1000" b="1" i="0" baseline="0">
              <a:effectLst/>
              <a:latin typeface="+mn-lt"/>
              <a:ea typeface="+mn-ea"/>
              <a:cs typeface="+mn-cs"/>
            </a:rPr>
            <a:t>⑯</a:t>
          </a:r>
          <a:endParaRPr lang="ja-JP" altLang="ja-JP">
            <a:effectLst/>
          </a:endParaRPr>
        </a:p>
        <a:p>
          <a:pPr algn="ctr" rtl="0">
            <a:defRPr sz="1000"/>
          </a:pPr>
          <a:endParaRPr lang="ja-JP" altLang="en-US"/>
        </a:p>
      </xdr:txBody>
    </xdr:sp>
    <xdr:clientData/>
  </xdr:twoCellAnchor>
  <xdr:twoCellAnchor>
    <xdr:from>
      <xdr:col>57</xdr:col>
      <xdr:colOff>34925</xdr:colOff>
      <xdr:row>5</xdr:row>
      <xdr:rowOff>691621</xdr:rowOff>
    </xdr:from>
    <xdr:to>
      <xdr:col>57</xdr:col>
      <xdr:colOff>482600</xdr:colOff>
      <xdr:row>6</xdr:row>
      <xdr:rowOff>2646</xdr:rowOff>
    </xdr:to>
    <xdr:sp macro="" textlink="">
      <xdr:nvSpPr>
        <xdr:cNvPr id="51" name="Text Box 9">
          <a:extLst>
            <a:ext uri="{FF2B5EF4-FFF2-40B4-BE49-F238E27FC236}">
              <a16:creationId xmlns:a16="http://schemas.microsoft.com/office/drawing/2014/main" id="{F2EB246F-9BF8-4BB4-88A3-A77983A306C0}"/>
            </a:ext>
          </a:extLst>
        </xdr:cNvPr>
        <xdr:cNvSpPr txBox="1">
          <a:spLocks noChangeArrowheads="1"/>
        </xdr:cNvSpPr>
      </xdr:nvSpPr>
      <xdr:spPr bwMode="auto">
        <a:xfrm>
          <a:off x="13119894" y="2608527"/>
          <a:ext cx="447675" cy="239713"/>
        </a:xfrm>
        <a:prstGeom prst="rect">
          <a:avLst/>
        </a:prstGeom>
        <a:noFill/>
        <a:ln>
          <a:noFill/>
        </a:ln>
      </xdr:spPr>
      <xdr:txBody>
        <a:bodyPr vertOverflow="clip" wrap="square" lIns="36576" tIns="18288" rIns="36576" bIns="0" anchor="t" upright="1"/>
        <a:lstStyle/>
        <a:p>
          <a:pPr algn="ctr" rtl="0">
            <a:defRPr sz="1000"/>
          </a:pPr>
          <a:r>
            <a:rPr lang="ja-JP" altLang="ja-JP" sz="1000" b="1" i="0" baseline="0">
              <a:effectLst/>
              <a:latin typeface="+mn-lt"/>
              <a:ea typeface="+mn-ea"/>
              <a:cs typeface="+mn-cs"/>
            </a:rPr>
            <a:t>⑰</a:t>
          </a:r>
          <a:endParaRPr lang="ja-JP" altLang="en-US"/>
        </a:p>
      </xdr:txBody>
    </xdr:sp>
    <xdr:clientData/>
  </xdr:twoCellAnchor>
  <xdr:twoCellAnchor>
    <xdr:from>
      <xdr:col>58</xdr:col>
      <xdr:colOff>44451</xdr:colOff>
      <xdr:row>5</xdr:row>
      <xdr:rowOff>691622</xdr:rowOff>
    </xdr:from>
    <xdr:to>
      <xdr:col>59</xdr:col>
      <xdr:colOff>6351</xdr:colOff>
      <xdr:row>6</xdr:row>
      <xdr:rowOff>2647</xdr:rowOff>
    </xdr:to>
    <xdr:sp macro="" textlink="">
      <xdr:nvSpPr>
        <xdr:cNvPr id="52" name="Text Box 9">
          <a:extLst>
            <a:ext uri="{FF2B5EF4-FFF2-40B4-BE49-F238E27FC236}">
              <a16:creationId xmlns:a16="http://schemas.microsoft.com/office/drawing/2014/main" id="{EEB4F4F4-FC46-4F20-9A69-F35CC85FA52A}"/>
            </a:ext>
          </a:extLst>
        </xdr:cNvPr>
        <xdr:cNvSpPr txBox="1">
          <a:spLocks noChangeArrowheads="1"/>
        </xdr:cNvSpPr>
      </xdr:nvSpPr>
      <xdr:spPr bwMode="auto">
        <a:xfrm>
          <a:off x="13617576" y="2608528"/>
          <a:ext cx="450056" cy="239713"/>
        </a:xfrm>
        <a:prstGeom prst="rect">
          <a:avLst/>
        </a:prstGeom>
        <a:noFill/>
        <a:ln>
          <a:noFill/>
        </a:ln>
      </xdr:spPr>
      <xdr:txBody>
        <a:bodyPr vertOverflow="clip" wrap="square" lIns="36576" tIns="18288" rIns="36576" bIns="0" anchor="t" upright="1"/>
        <a:lstStyle/>
        <a:p>
          <a:pPr algn="ctr" rtl="0">
            <a:defRPr sz="1000"/>
          </a:pPr>
          <a:r>
            <a:rPr lang="ja-JP" altLang="ja-JP" sz="1000" b="1" i="0" baseline="0">
              <a:effectLst/>
              <a:latin typeface="+mn-lt"/>
              <a:ea typeface="+mn-ea"/>
              <a:cs typeface="+mn-cs"/>
            </a:rPr>
            <a:t>⑱</a:t>
          </a:r>
          <a:endParaRPr lang="ja-JP" altLang="en-US"/>
        </a:p>
      </xdr:txBody>
    </xdr:sp>
    <xdr:clientData/>
  </xdr:twoCellAnchor>
  <xdr:twoCellAnchor>
    <xdr:from>
      <xdr:col>60</xdr:col>
      <xdr:colOff>35718</xdr:colOff>
      <xdr:row>5</xdr:row>
      <xdr:rowOff>711994</xdr:rowOff>
    </xdr:from>
    <xdr:to>
      <xdr:col>61</xdr:col>
      <xdr:colOff>14024</xdr:colOff>
      <xdr:row>6</xdr:row>
      <xdr:rowOff>63499</xdr:rowOff>
    </xdr:to>
    <xdr:sp macro="" textlink="">
      <xdr:nvSpPr>
        <xdr:cNvPr id="31" name="Text Box 9">
          <a:extLst>
            <a:ext uri="{FF2B5EF4-FFF2-40B4-BE49-F238E27FC236}">
              <a16:creationId xmlns:a16="http://schemas.microsoft.com/office/drawing/2014/main" id="{0996895F-16D5-4B92-A90F-436087AD95F7}"/>
            </a:ext>
          </a:extLst>
        </xdr:cNvPr>
        <xdr:cNvSpPr txBox="1">
          <a:spLocks noChangeArrowheads="1"/>
        </xdr:cNvSpPr>
      </xdr:nvSpPr>
      <xdr:spPr bwMode="auto">
        <a:xfrm>
          <a:off x="14585156" y="2628900"/>
          <a:ext cx="466462" cy="280193"/>
        </a:xfrm>
        <a:prstGeom prst="rect">
          <a:avLst/>
        </a:prstGeom>
        <a:noFill/>
        <a:ln>
          <a:noFill/>
        </a:ln>
      </xdr:spPr>
      <xdr:txBody>
        <a:bodyPr vertOverflow="clip" wrap="square" lIns="36576" tIns="18288" rIns="36576" bIns="0" anchor="t" upright="1"/>
        <a:lstStyle/>
        <a:p>
          <a:pPr algn="ctr" rtl="0">
            <a:defRPr sz="1000"/>
          </a:pPr>
          <a:r>
            <a:rPr lang="ja-JP" altLang="ja-JP" sz="1000" b="1" i="0" baseline="0">
              <a:effectLst/>
              <a:latin typeface="+mn-lt"/>
              <a:ea typeface="+mn-ea"/>
              <a:cs typeface="+mn-cs"/>
            </a:rPr>
            <a:t>⑲</a:t>
          </a:r>
          <a:endParaRPr lang="ja-JP" altLang="en-US"/>
        </a:p>
      </xdr:txBody>
    </xdr:sp>
    <xdr:clientData/>
  </xdr:twoCellAnchor>
  <xdr:twoCellAnchor>
    <xdr:from>
      <xdr:col>39</xdr:col>
      <xdr:colOff>29369</xdr:colOff>
      <xdr:row>5</xdr:row>
      <xdr:rowOff>679186</xdr:rowOff>
    </xdr:from>
    <xdr:to>
      <xdr:col>39</xdr:col>
      <xdr:colOff>470694</xdr:colOff>
      <xdr:row>5</xdr:row>
      <xdr:rowOff>921016</xdr:rowOff>
    </xdr:to>
    <xdr:sp macro="" textlink="">
      <xdr:nvSpPr>
        <xdr:cNvPr id="29" name="Text Box 9">
          <a:extLst>
            <a:ext uri="{FF2B5EF4-FFF2-40B4-BE49-F238E27FC236}">
              <a16:creationId xmlns:a16="http://schemas.microsoft.com/office/drawing/2014/main" id="{D9522463-B807-4A46-8C28-6AF2C6BABDD2}"/>
            </a:ext>
          </a:extLst>
        </xdr:cNvPr>
        <xdr:cNvSpPr txBox="1">
          <a:spLocks noChangeArrowheads="1"/>
        </xdr:cNvSpPr>
      </xdr:nvSpPr>
      <xdr:spPr bwMode="auto">
        <a:xfrm>
          <a:off x="9230519" y="2593711"/>
          <a:ext cx="441325" cy="24183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⑧</a:t>
          </a:r>
          <a:endParaRPr lang="ja-JP" altLang="en-US"/>
        </a:p>
      </xdr:txBody>
    </xdr:sp>
    <xdr:clientData/>
  </xdr:twoCellAnchor>
  <xdr:twoCellAnchor>
    <xdr:from>
      <xdr:col>54</xdr:col>
      <xdr:colOff>10584</xdr:colOff>
      <xdr:row>5</xdr:row>
      <xdr:rowOff>539296</xdr:rowOff>
    </xdr:from>
    <xdr:to>
      <xdr:col>56</xdr:col>
      <xdr:colOff>37465</xdr:colOff>
      <xdr:row>5</xdr:row>
      <xdr:rowOff>720587</xdr:rowOff>
    </xdr:to>
    <xdr:sp macro="" textlink="">
      <xdr:nvSpPr>
        <xdr:cNvPr id="30" name="Text Box 4">
          <a:extLst>
            <a:ext uri="{FF2B5EF4-FFF2-40B4-BE49-F238E27FC236}">
              <a16:creationId xmlns:a16="http://schemas.microsoft.com/office/drawing/2014/main" id="{3DD52660-5496-498A-BC4D-2908A2465CB0}"/>
            </a:ext>
          </a:extLst>
        </xdr:cNvPr>
        <xdr:cNvSpPr txBox="1">
          <a:spLocks noChangeArrowheads="1"/>
        </xdr:cNvSpPr>
      </xdr:nvSpPr>
      <xdr:spPr bwMode="auto">
        <a:xfrm>
          <a:off x="31269149" y="2974383"/>
          <a:ext cx="697773" cy="181291"/>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(様式２)</a:t>
          </a:r>
          <a:endParaRPr lang="en-US" altLang="ja-JP" sz="1000" b="1" i="0" u="none" strike="noStrike" baseline="0">
            <a:solidFill>
              <a:srgbClr val="000000"/>
            </a:solidFill>
            <a:latin typeface="ＭＳ Ｐゴシック"/>
            <a:ea typeface="ＭＳ Ｐゴシック"/>
          </a:endParaRPr>
        </a:p>
      </xdr:txBody>
    </xdr:sp>
    <xdr:clientData/>
  </xdr:twoCellAnchor>
  <xdr:twoCellAnchor>
    <xdr:from>
      <xdr:col>24</xdr:col>
      <xdr:colOff>232833</xdr:colOff>
      <xdr:row>5</xdr:row>
      <xdr:rowOff>664633</xdr:rowOff>
    </xdr:from>
    <xdr:to>
      <xdr:col>25</xdr:col>
      <xdr:colOff>233891</xdr:colOff>
      <xdr:row>5</xdr:row>
      <xdr:rowOff>909108</xdr:rowOff>
    </xdr:to>
    <xdr:sp macro="" textlink="">
      <xdr:nvSpPr>
        <xdr:cNvPr id="32" name="Text Box 9">
          <a:extLst>
            <a:ext uri="{FF2B5EF4-FFF2-40B4-BE49-F238E27FC236}">
              <a16:creationId xmlns:a16="http://schemas.microsoft.com/office/drawing/2014/main" id="{73401CEA-F8FE-43EE-8E74-30BC1392CD9A}"/>
            </a:ext>
          </a:extLst>
        </xdr:cNvPr>
        <xdr:cNvSpPr txBox="1">
          <a:spLocks noChangeArrowheads="1"/>
        </xdr:cNvSpPr>
      </xdr:nvSpPr>
      <xdr:spPr bwMode="auto">
        <a:xfrm>
          <a:off x="9159119" y="2569633"/>
          <a:ext cx="273201"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①</a:t>
          </a:r>
          <a:endParaRPr lang="ja-JP" altLang="en-US"/>
        </a:p>
      </xdr:txBody>
    </xdr:sp>
    <xdr:clientData/>
  </xdr:twoCellAnchor>
  <xdr:twoCellAnchor>
    <xdr:from>
      <xdr:col>46</xdr:col>
      <xdr:colOff>20955</xdr:colOff>
      <xdr:row>5</xdr:row>
      <xdr:rowOff>695325</xdr:rowOff>
    </xdr:from>
    <xdr:to>
      <xdr:col>46</xdr:col>
      <xdr:colOff>499599</xdr:colOff>
      <xdr:row>6</xdr:row>
      <xdr:rowOff>0</xdr:rowOff>
    </xdr:to>
    <xdr:sp macro="" textlink="">
      <xdr:nvSpPr>
        <xdr:cNvPr id="33" name="Text Box 10">
          <a:extLst>
            <a:ext uri="{FF2B5EF4-FFF2-40B4-BE49-F238E27FC236}">
              <a16:creationId xmlns:a16="http://schemas.microsoft.com/office/drawing/2014/main" id="{6F490D86-C02C-4A7C-AB19-961A20923AEE}"/>
            </a:ext>
          </a:extLst>
        </xdr:cNvPr>
        <xdr:cNvSpPr txBox="1">
          <a:spLocks noChangeArrowheads="1"/>
        </xdr:cNvSpPr>
      </xdr:nvSpPr>
      <xdr:spPr bwMode="auto">
        <a:xfrm>
          <a:off x="15213330" y="2981325"/>
          <a:ext cx="469119" cy="238125"/>
        </a:xfrm>
        <a:prstGeom prst="rect">
          <a:avLst/>
        </a:prstGeom>
        <a:noFill/>
        <a:ln>
          <a:noFill/>
        </a:ln>
      </xdr:spPr>
      <xdr:txBody>
        <a:bodyPr vertOverflow="clip" wrap="square" lIns="36576" tIns="18288" rIns="36576" bIns="0" anchor="t" upright="1"/>
        <a:lstStyle/>
        <a:p>
          <a:pPr algn="ctr" rtl="0">
            <a:defRPr sz="1000"/>
          </a:pPr>
          <a:endParaRPr lang="ja-JP" altLang="en-US"/>
        </a:p>
      </xdr:txBody>
    </xdr:sp>
    <xdr:clientData/>
  </xdr:twoCellAnchor>
  <xdr:twoCellAnchor>
    <xdr:from>
      <xdr:col>49</xdr:col>
      <xdr:colOff>40218</xdr:colOff>
      <xdr:row>5</xdr:row>
      <xdr:rowOff>699030</xdr:rowOff>
    </xdr:from>
    <xdr:to>
      <xdr:col>49</xdr:col>
      <xdr:colOff>487893</xdr:colOff>
      <xdr:row>6</xdr:row>
      <xdr:rowOff>14817</xdr:rowOff>
    </xdr:to>
    <xdr:sp macro="" textlink="">
      <xdr:nvSpPr>
        <xdr:cNvPr id="34" name="Text Box 9">
          <a:extLst>
            <a:ext uri="{FF2B5EF4-FFF2-40B4-BE49-F238E27FC236}">
              <a16:creationId xmlns:a16="http://schemas.microsoft.com/office/drawing/2014/main" id="{534D138D-3B0F-4CFB-BCC4-B44641C9B318}"/>
            </a:ext>
          </a:extLst>
        </xdr:cNvPr>
        <xdr:cNvSpPr txBox="1">
          <a:spLocks noChangeArrowheads="1"/>
        </xdr:cNvSpPr>
      </xdr:nvSpPr>
      <xdr:spPr bwMode="auto">
        <a:xfrm>
          <a:off x="16804218"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47</xdr:col>
      <xdr:colOff>40218</xdr:colOff>
      <xdr:row>5</xdr:row>
      <xdr:rowOff>699030</xdr:rowOff>
    </xdr:from>
    <xdr:to>
      <xdr:col>47</xdr:col>
      <xdr:colOff>487893</xdr:colOff>
      <xdr:row>6</xdr:row>
      <xdr:rowOff>14817</xdr:rowOff>
    </xdr:to>
    <xdr:sp macro="" textlink="">
      <xdr:nvSpPr>
        <xdr:cNvPr id="35" name="Text Box 9">
          <a:extLst>
            <a:ext uri="{FF2B5EF4-FFF2-40B4-BE49-F238E27FC236}">
              <a16:creationId xmlns:a16="http://schemas.microsoft.com/office/drawing/2014/main" id="{737567A5-E2A2-4841-B54C-243499C6D062}"/>
            </a:ext>
          </a:extLst>
        </xdr:cNvPr>
        <xdr:cNvSpPr txBox="1">
          <a:spLocks noChangeArrowheads="1"/>
        </xdr:cNvSpPr>
      </xdr:nvSpPr>
      <xdr:spPr bwMode="auto">
        <a:xfrm>
          <a:off x="15718368"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46</xdr:col>
      <xdr:colOff>385762</xdr:colOff>
      <xdr:row>5</xdr:row>
      <xdr:rowOff>477648</xdr:rowOff>
    </xdr:from>
    <xdr:to>
      <xdr:col>48</xdr:col>
      <xdr:colOff>32435</xdr:colOff>
      <xdr:row>5</xdr:row>
      <xdr:rowOff>743742</xdr:rowOff>
    </xdr:to>
    <xdr:sp macro="" textlink="">
      <xdr:nvSpPr>
        <xdr:cNvPr id="36" name="Text Box 4">
          <a:extLst>
            <a:ext uri="{FF2B5EF4-FFF2-40B4-BE49-F238E27FC236}">
              <a16:creationId xmlns:a16="http://schemas.microsoft.com/office/drawing/2014/main" id="{D8461852-93F1-4BC0-8A7F-D5DFF998BC46}"/>
            </a:ext>
          </a:extLst>
        </xdr:cNvPr>
        <xdr:cNvSpPr txBox="1">
          <a:spLocks noChangeArrowheads="1"/>
        </xdr:cNvSpPr>
      </xdr:nvSpPr>
      <xdr:spPr bwMode="auto">
        <a:xfrm>
          <a:off x="18435637" y="2763648"/>
          <a:ext cx="618223" cy="266094"/>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a:t>
          </a:r>
          <a:r>
            <a:rPr lang="en-US" altLang="ja-JP" sz="1000" b="1" i="0" u="none" strike="noStrike" baseline="0">
              <a:solidFill>
                <a:srgbClr val="000000"/>
              </a:solidFill>
              <a:latin typeface="ＭＳ Ｐゴシック"/>
              <a:ea typeface="ＭＳ Ｐゴシック"/>
            </a:rPr>
            <a:t>1-1</a:t>
          </a:r>
          <a:r>
            <a:rPr lang="ja-JP" altLang="en-US" sz="10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48</xdr:col>
      <xdr:colOff>52124</xdr:colOff>
      <xdr:row>5</xdr:row>
      <xdr:rowOff>691886</xdr:rowOff>
    </xdr:from>
    <xdr:to>
      <xdr:col>48</xdr:col>
      <xdr:colOff>499799</xdr:colOff>
      <xdr:row>6</xdr:row>
      <xdr:rowOff>7673</xdr:rowOff>
    </xdr:to>
    <xdr:sp macro="" textlink="">
      <xdr:nvSpPr>
        <xdr:cNvPr id="37" name="Text Box 9">
          <a:extLst>
            <a:ext uri="{FF2B5EF4-FFF2-40B4-BE49-F238E27FC236}">
              <a16:creationId xmlns:a16="http://schemas.microsoft.com/office/drawing/2014/main" id="{7F821525-644F-4C76-8BFD-2079C502A365}"/>
            </a:ext>
          </a:extLst>
        </xdr:cNvPr>
        <xdr:cNvSpPr txBox="1">
          <a:spLocks noChangeArrowheads="1"/>
        </xdr:cNvSpPr>
      </xdr:nvSpPr>
      <xdr:spPr bwMode="auto">
        <a:xfrm>
          <a:off x="16273199" y="2977886"/>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⑬</a:t>
          </a:r>
          <a:endParaRPr lang="ja-JP" altLang="en-US"/>
        </a:p>
      </xdr:txBody>
    </xdr:sp>
    <xdr:clientData/>
  </xdr:twoCellAnchor>
  <xdr:twoCellAnchor>
    <xdr:from>
      <xdr:col>47</xdr:col>
      <xdr:colOff>20955</xdr:colOff>
      <xdr:row>5</xdr:row>
      <xdr:rowOff>695325</xdr:rowOff>
    </xdr:from>
    <xdr:to>
      <xdr:col>47</xdr:col>
      <xdr:colOff>499599</xdr:colOff>
      <xdr:row>6</xdr:row>
      <xdr:rowOff>0</xdr:rowOff>
    </xdr:to>
    <xdr:sp macro="" textlink="">
      <xdr:nvSpPr>
        <xdr:cNvPr id="38" name="Text Box 10">
          <a:extLst>
            <a:ext uri="{FF2B5EF4-FFF2-40B4-BE49-F238E27FC236}">
              <a16:creationId xmlns:a16="http://schemas.microsoft.com/office/drawing/2014/main" id="{C06239EF-BA49-4B5A-A1CE-115A3AB12CD7}"/>
            </a:ext>
          </a:extLst>
        </xdr:cNvPr>
        <xdr:cNvSpPr txBox="1">
          <a:spLocks noChangeArrowheads="1"/>
        </xdr:cNvSpPr>
      </xdr:nvSpPr>
      <xdr:spPr bwMode="auto">
        <a:xfrm>
          <a:off x="18070830" y="2981325"/>
          <a:ext cx="469119" cy="238125"/>
        </a:xfrm>
        <a:prstGeom prst="rect">
          <a:avLst/>
        </a:prstGeom>
        <a:noFill/>
        <a:ln>
          <a:noFill/>
        </a:ln>
      </xdr:spPr>
      <xdr:txBody>
        <a:bodyPr vertOverflow="clip" wrap="square" lIns="36576" tIns="18288" rIns="36576" bIns="0" anchor="t" upright="1"/>
        <a:lstStyle/>
        <a:p>
          <a:pPr algn="ctr" rtl="0">
            <a:defRPr sz="1000"/>
          </a:pPr>
          <a:endParaRPr lang="ja-JP" altLang="en-US"/>
        </a:p>
      </xdr:txBody>
    </xdr:sp>
    <xdr:clientData/>
  </xdr:twoCellAnchor>
  <xdr:twoCellAnchor>
    <xdr:from>
      <xdr:col>47</xdr:col>
      <xdr:colOff>20955</xdr:colOff>
      <xdr:row>5</xdr:row>
      <xdr:rowOff>695325</xdr:rowOff>
    </xdr:from>
    <xdr:to>
      <xdr:col>47</xdr:col>
      <xdr:colOff>499599</xdr:colOff>
      <xdr:row>6</xdr:row>
      <xdr:rowOff>0</xdr:rowOff>
    </xdr:to>
    <xdr:sp macro="" textlink="">
      <xdr:nvSpPr>
        <xdr:cNvPr id="39" name="Text Box 10">
          <a:extLst>
            <a:ext uri="{FF2B5EF4-FFF2-40B4-BE49-F238E27FC236}">
              <a16:creationId xmlns:a16="http://schemas.microsoft.com/office/drawing/2014/main" id="{DEC6D319-4F8D-4A38-ACA2-4FC6D8AF2979}"/>
            </a:ext>
          </a:extLst>
        </xdr:cNvPr>
        <xdr:cNvSpPr txBox="1">
          <a:spLocks noChangeArrowheads="1"/>
        </xdr:cNvSpPr>
      </xdr:nvSpPr>
      <xdr:spPr bwMode="auto">
        <a:xfrm>
          <a:off x="18070830" y="2981325"/>
          <a:ext cx="469119" cy="238125"/>
        </a:xfrm>
        <a:prstGeom prst="rect">
          <a:avLst/>
        </a:prstGeom>
        <a:noFill/>
        <a:ln>
          <a:noFill/>
        </a:ln>
      </xdr:spPr>
      <xdr:txBody>
        <a:bodyPr vertOverflow="clip" wrap="square" lIns="36576" tIns="18288" rIns="36576" bIns="0" anchor="t" upright="1"/>
        <a:lstStyle/>
        <a:p>
          <a:pPr algn="ctr" rtl="0">
            <a:defRPr sz="1000"/>
          </a:pPr>
          <a:endParaRPr lang="ja-JP" altLang="en-US"/>
        </a:p>
      </xdr:txBody>
    </xdr:sp>
    <xdr:clientData/>
  </xdr:twoCellAnchor>
  <xdr:twoCellAnchor>
    <xdr:from>
      <xdr:col>47</xdr:col>
      <xdr:colOff>452437</xdr:colOff>
      <xdr:row>5</xdr:row>
      <xdr:rowOff>477648</xdr:rowOff>
    </xdr:from>
    <xdr:to>
      <xdr:col>49</xdr:col>
      <xdr:colOff>99110</xdr:colOff>
      <xdr:row>5</xdr:row>
      <xdr:rowOff>743742</xdr:rowOff>
    </xdr:to>
    <xdr:sp macro="" textlink="">
      <xdr:nvSpPr>
        <xdr:cNvPr id="41" name="Text Box 4">
          <a:extLst>
            <a:ext uri="{FF2B5EF4-FFF2-40B4-BE49-F238E27FC236}">
              <a16:creationId xmlns:a16="http://schemas.microsoft.com/office/drawing/2014/main" id="{DCFC7DBD-86F1-4C52-A16D-7305880FCEDE}"/>
            </a:ext>
          </a:extLst>
        </xdr:cNvPr>
        <xdr:cNvSpPr txBox="1">
          <a:spLocks noChangeArrowheads="1"/>
        </xdr:cNvSpPr>
      </xdr:nvSpPr>
      <xdr:spPr bwMode="auto">
        <a:xfrm>
          <a:off x="18502312" y="2763648"/>
          <a:ext cx="618223" cy="266094"/>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a:t>
          </a:r>
          <a:r>
            <a:rPr lang="en-US" altLang="ja-JP" sz="1000" b="1" i="0" u="none" strike="noStrike" baseline="0">
              <a:solidFill>
                <a:srgbClr val="000000"/>
              </a:solidFill>
              <a:latin typeface="ＭＳ Ｐゴシック"/>
              <a:ea typeface="ＭＳ Ｐゴシック"/>
            </a:rPr>
            <a:t>1-2</a:t>
          </a:r>
          <a:r>
            <a:rPr lang="ja-JP" altLang="en-US" sz="10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50</xdr:col>
      <xdr:colOff>40218</xdr:colOff>
      <xdr:row>5</xdr:row>
      <xdr:rowOff>699030</xdr:rowOff>
    </xdr:from>
    <xdr:to>
      <xdr:col>50</xdr:col>
      <xdr:colOff>487893</xdr:colOff>
      <xdr:row>6</xdr:row>
      <xdr:rowOff>14817</xdr:rowOff>
    </xdr:to>
    <xdr:sp macro="" textlink="">
      <xdr:nvSpPr>
        <xdr:cNvPr id="45" name="Text Box 9">
          <a:extLst>
            <a:ext uri="{FF2B5EF4-FFF2-40B4-BE49-F238E27FC236}">
              <a16:creationId xmlns:a16="http://schemas.microsoft.com/office/drawing/2014/main" id="{06FED97C-C3CE-4F78-A128-CB32B8A1F0BB}"/>
            </a:ext>
          </a:extLst>
        </xdr:cNvPr>
        <xdr:cNvSpPr txBox="1">
          <a:spLocks noChangeArrowheads="1"/>
        </xdr:cNvSpPr>
      </xdr:nvSpPr>
      <xdr:spPr bwMode="auto">
        <a:xfrm>
          <a:off x="16804218"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5</xdr:row>
      <xdr:rowOff>657701</xdr:rowOff>
    </xdr:from>
    <xdr:to>
      <xdr:col>51</xdr:col>
      <xdr:colOff>647570</xdr:colOff>
      <xdr:row>6</xdr:row>
      <xdr:rowOff>7243</xdr:rowOff>
    </xdr:to>
    <xdr:sp macro="" textlink="">
      <xdr:nvSpPr>
        <xdr:cNvPr id="48" name="Text Box 1">
          <a:extLst>
            <a:ext uri="{FF2B5EF4-FFF2-40B4-BE49-F238E27FC236}">
              <a16:creationId xmlns:a16="http://schemas.microsoft.com/office/drawing/2014/main" id="{D88735B0-46A2-46F4-AC06-9E9DD14431E1}"/>
            </a:ext>
          </a:extLst>
        </xdr:cNvPr>
        <xdr:cNvSpPr txBox="1">
          <a:spLocks noChangeArrowheads="1"/>
        </xdr:cNvSpPr>
      </xdr:nvSpPr>
      <xdr:spPr bwMode="auto">
        <a:xfrm>
          <a:off x="17408843" y="2943701"/>
          <a:ext cx="55517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65</xdr:col>
      <xdr:colOff>40218</xdr:colOff>
      <xdr:row>8</xdr:row>
      <xdr:rowOff>699030</xdr:rowOff>
    </xdr:from>
    <xdr:to>
      <xdr:col>65</xdr:col>
      <xdr:colOff>487893</xdr:colOff>
      <xdr:row>9</xdr:row>
      <xdr:rowOff>14817</xdr:rowOff>
    </xdr:to>
    <xdr:sp macro="" textlink="">
      <xdr:nvSpPr>
        <xdr:cNvPr id="42" name="Text Box 9">
          <a:extLst>
            <a:ext uri="{FF2B5EF4-FFF2-40B4-BE49-F238E27FC236}">
              <a16:creationId xmlns:a16="http://schemas.microsoft.com/office/drawing/2014/main" id="{3862001F-B983-44EA-A632-C34CBF2DA27B}"/>
            </a:ext>
          </a:extLst>
        </xdr:cNvPr>
        <xdr:cNvSpPr txBox="1">
          <a:spLocks noChangeArrowheads="1"/>
        </xdr:cNvSpPr>
      </xdr:nvSpPr>
      <xdr:spPr bwMode="auto">
        <a:xfrm>
          <a:off x="21204768"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65</xdr:col>
      <xdr:colOff>51328</xdr:colOff>
      <xdr:row>8</xdr:row>
      <xdr:rowOff>695326</xdr:rowOff>
    </xdr:from>
    <xdr:to>
      <xdr:col>66</xdr:col>
      <xdr:colOff>11907</xdr:colOff>
      <xdr:row>9</xdr:row>
      <xdr:rowOff>6351</xdr:rowOff>
    </xdr:to>
    <xdr:sp macro="" textlink="">
      <xdr:nvSpPr>
        <xdr:cNvPr id="43" name="Text Box 9">
          <a:extLst>
            <a:ext uri="{FF2B5EF4-FFF2-40B4-BE49-F238E27FC236}">
              <a16:creationId xmlns:a16="http://schemas.microsoft.com/office/drawing/2014/main" id="{A6654AA6-227D-4789-80FA-DDEB08854449}"/>
            </a:ext>
          </a:extLst>
        </xdr:cNvPr>
        <xdr:cNvSpPr txBox="1">
          <a:spLocks noChangeArrowheads="1"/>
        </xdr:cNvSpPr>
      </xdr:nvSpPr>
      <xdr:spPr bwMode="auto">
        <a:xfrm>
          <a:off x="21215878" y="2981326"/>
          <a:ext cx="446354"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⑮</a:t>
          </a:r>
          <a:endParaRPr lang="ja-JP" altLang="en-US"/>
        </a:p>
      </xdr:txBody>
    </xdr:sp>
    <xdr:clientData/>
  </xdr:twoCellAnchor>
  <xdr:twoCellAnchor>
    <xdr:from>
      <xdr:col>65</xdr:col>
      <xdr:colOff>40218</xdr:colOff>
      <xdr:row>11</xdr:row>
      <xdr:rowOff>699030</xdr:rowOff>
    </xdr:from>
    <xdr:to>
      <xdr:col>65</xdr:col>
      <xdr:colOff>487893</xdr:colOff>
      <xdr:row>12</xdr:row>
      <xdr:rowOff>14817</xdr:rowOff>
    </xdr:to>
    <xdr:sp macro="" textlink="">
      <xdr:nvSpPr>
        <xdr:cNvPr id="44" name="Text Box 9">
          <a:extLst>
            <a:ext uri="{FF2B5EF4-FFF2-40B4-BE49-F238E27FC236}">
              <a16:creationId xmlns:a16="http://schemas.microsoft.com/office/drawing/2014/main" id="{A357A5D6-B5F2-4F02-99CC-BEA7F8ED3DC1}"/>
            </a:ext>
          </a:extLst>
        </xdr:cNvPr>
        <xdr:cNvSpPr txBox="1">
          <a:spLocks noChangeArrowheads="1"/>
        </xdr:cNvSpPr>
      </xdr:nvSpPr>
      <xdr:spPr bwMode="auto">
        <a:xfrm>
          <a:off x="21204768"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65</xdr:col>
      <xdr:colOff>51328</xdr:colOff>
      <xdr:row>11</xdr:row>
      <xdr:rowOff>695326</xdr:rowOff>
    </xdr:from>
    <xdr:to>
      <xdr:col>66</xdr:col>
      <xdr:colOff>11907</xdr:colOff>
      <xdr:row>12</xdr:row>
      <xdr:rowOff>6351</xdr:rowOff>
    </xdr:to>
    <xdr:sp macro="" textlink="">
      <xdr:nvSpPr>
        <xdr:cNvPr id="49" name="Text Box 9">
          <a:extLst>
            <a:ext uri="{FF2B5EF4-FFF2-40B4-BE49-F238E27FC236}">
              <a16:creationId xmlns:a16="http://schemas.microsoft.com/office/drawing/2014/main" id="{C84F2C0F-9A5B-41E9-9B00-6740F8A7F576}"/>
            </a:ext>
          </a:extLst>
        </xdr:cNvPr>
        <xdr:cNvSpPr txBox="1">
          <a:spLocks noChangeArrowheads="1"/>
        </xdr:cNvSpPr>
      </xdr:nvSpPr>
      <xdr:spPr bwMode="auto">
        <a:xfrm>
          <a:off x="21215878" y="2981326"/>
          <a:ext cx="446354"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⑮</a:t>
          </a:r>
          <a:endParaRPr lang="ja-JP" altLang="en-US"/>
        </a:p>
      </xdr:txBody>
    </xdr:sp>
    <xdr:clientData/>
  </xdr:twoCellAnchor>
  <xdr:twoCellAnchor>
    <xdr:from>
      <xdr:col>65</xdr:col>
      <xdr:colOff>40218</xdr:colOff>
      <xdr:row>14</xdr:row>
      <xdr:rowOff>699030</xdr:rowOff>
    </xdr:from>
    <xdr:to>
      <xdr:col>65</xdr:col>
      <xdr:colOff>487893</xdr:colOff>
      <xdr:row>15</xdr:row>
      <xdr:rowOff>14817</xdr:rowOff>
    </xdr:to>
    <xdr:sp macro="" textlink="">
      <xdr:nvSpPr>
        <xdr:cNvPr id="53" name="Text Box 9">
          <a:extLst>
            <a:ext uri="{FF2B5EF4-FFF2-40B4-BE49-F238E27FC236}">
              <a16:creationId xmlns:a16="http://schemas.microsoft.com/office/drawing/2014/main" id="{E6FE5346-AC8D-4F42-AB67-3BB735F3F5A3}"/>
            </a:ext>
          </a:extLst>
        </xdr:cNvPr>
        <xdr:cNvSpPr txBox="1">
          <a:spLocks noChangeArrowheads="1"/>
        </xdr:cNvSpPr>
      </xdr:nvSpPr>
      <xdr:spPr bwMode="auto">
        <a:xfrm>
          <a:off x="21204768"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65</xdr:col>
      <xdr:colOff>51328</xdr:colOff>
      <xdr:row>14</xdr:row>
      <xdr:rowOff>695326</xdr:rowOff>
    </xdr:from>
    <xdr:to>
      <xdr:col>66</xdr:col>
      <xdr:colOff>11907</xdr:colOff>
      <xdr:row>15</xdr:row>
      <xdr:rowOff>6351</xdr:rowOff>
    </xdr:to>
    <xdr:sp macro="" textlink="">
      <xdr:nvSpPr>
        <xdr:cNvPr id="54" name="Text Box 9">
          <a:extLst>
            <a:ext uri="{FF2B5EF4-FFF2-40B4-BE49-F238E27FC236}">
              <a16:creationId xmlns:a16="http://schemas.microsoft.com/office/drawing/2014/main" id="{ADC003B3-40D5-4526-AF9A-7B3A27FAA589}"/>
            </a:ext>
          </a:extLst>
        </xdr:cNvPr>
        <xdr:cNvSpPr txBox="1">
          <a:spLocks noChangeArrowheads="1"/>
        </xdr:cNvSpPr>
      </xdr:nvSpPr>
      <xdr:spPr bwMode="auto">
        <a:xfrm>
          <a:off x="21215878" y="2981326"/>
          <a:ext cx="446354"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⑮</a:t>
          </a:r>
          <a:endParaRPr lang="ja-JP" altLang="en-US"/>
        </a:p>
      </xdr:txBody>
    </xdr:sp>
    <xdr:clientData/>
  </xdr:twoCellAnchor>
  <xdr:twoCellAnchor>
    <xdr:from>
      <xdr:col>65</xdr:col>
      <xdr:colOff>40218</xdr:colOff>
      <xdr:row>17</xdr:row>
      <xdr:rowOff>699030</xdr:rowOff>
    </xdr:from>
    <xdr:to>
      <xdr:col>65</xdr:col>
      <xdr:colOff>487893</xdr:colOff>
      <xdr:row>18</xdr:row>
      <xdr:rowOff>14817</xdr:rowOff>
    </xdr:to>
    <xdr:sp macro="" textlink="">
      <xdr:nvSpPr>
        <xdr:cNvPr id="55" name="Text Box 9">
          <a:extLst>
            <a:ext uri="{FF2B5EF4-FFF2-40B4-BE49-F238E27FC236}">
              <a16:creationId xmlns:a16="http://schemas.microsoft.com/office/drawing/2014/main" id="{82F54A06-B793-4260-B6F6-676AD2D6B5D6}"/>
            </a:ext>
          </a:extLst>
        </xdr:cNvPr>
        <xdr:cNvSpPr txBox="1">
          <a:spLocks noChangeArrowheads="1"/>
        </xdr:cNvSpPr>
      </xdr:nvSpPr>
      <xdr:spPr bwMode="auto">
        <a:xfrm>
          <a:off x="21204768"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65</xdr:col>
      <xdr:colOff>51328</xdr:colOff>
      <xdr:row>17</xdr:row>
      <xdr:rowOff>695326</xdr:rowOff>
    </xdr:from>
    <xdr:to>
      <xdr:col>66</xdr:col>
      <xdr:colOff>11907</xdr:colOff>
      <xdr:row>18</xdr:row>
      <xdr:rowOff>6351</xdr:rowOff>
    </xdr:to>
    <xdr:sp macro="" textlink="">
      <xdr:nvSpPr>
        <xdr:cNvPr id="56" name="Text Box 9">
          <a:extLst>
            <a:ext uri="{FF2B5EF4-FFF2-40B4-BE49-F238E27FC236}">
              <a16:creationId xmlns:a16="http://schemas.microsoft.com/office/drawing/2014/main" id="{1AC8622F-8FB2-4E2B-A42C-20C159C65215}"/>
            </a:ext>
          </a:extLst>
        </xdr:cNvPr>
        <xdr:cNvSpPr txBox="1">
          <a:spLocks noChangeArrowheads="1"/>
        </xdr:cNvSpPr>
      </xdr:nvSpPr>
      <xdr:spPr bwMode="auto">
        <a:xfrm>
          <a:off x="21215878" y="2981326"/>
          <a:ext cx="446354"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⑮</a:t>
          </a:r>
          <a:endParaRPr lang="ja-JP" altLang="en-US"/>
        </a:p>
      </xdr:txBody>
    </xdr:sp>
    <xdr:clientData/>
  </xdr:twoCellAnchor>
  <xdr:twoCellAnchor>
    <xdr:from>
      <xdr:col>65</xdr:col>
      <xdr:colOff>40218</xdr:colOff>
      <xdr:row>20</xdr:row>
      <xdr:rowOff>699030</xdr:rowOff>
    </xdr:from>
    <xdr:to>
      <xdr:col>65</xdr:col>
      <xdr:colOff>487893</xdr:colOff>
      <xdr:row>21</xdr:row>
      <xdr:rowOff>14817</xdr:rowOff>
    </xdr:to>
    <xdr:sp macro="" textlink="">
      <xdr:nvSpPr>
        <xdr:cNvPr id="57" name="Text Box 9">
          <a:extLst>
            <a:ext uri="{FF2B5EF4-FFF2-40B4-BE49-F238E27FC236}">
              <a16:creationId xmlns:a16="http://schemas.microsoft.com/office/drawing/2014/main" id="{BE4D9558-DCBF-4EA4-960D-AFBAA5685F96}"/>
            </a:ext>
          </a:extLst>
        </xdr:cNvPr>
        <xdr:cNvSpPr txBox="1">
          <a:spLocks noChangeArrowheads="1"/>
        </xdr:cNvSpPr>
      </xdr:nvSpPr>
      <xdr:spPr bwMode="auto">
        <a:xfrm>
          <a:off x="21204768"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65</xdr:col>
      <xdr:colOff>51328</xdr:colOff>
      <xdr:row>20</xdr:row>
      <xdr:rowOff>695326</xdr:rowOff>
    </xdr:from>
    <xdr:to>
      <xdr:col>66</xdr:col>
      <xdr:colOff>11907</xdr:colOff>
      <xdr:row>21</xdr:row>
      <xdr:rowOff>6351</xdr:rowOff>
    </xdr:to>
    <xdr:sp macro="" textlink="">
      <xdr:nvSpPr>
        <xdr:cNvPr id="58" name="Text Box 9">
          <a:extLst>
            <a:ext uri="{FF2B5EF4-FFF2-40B4-BE49-F238E27FC236}">
              <a16:creationId xmlns:a16="http://schemas.microsoft.com/office/drawing/2014/main" id="{C477E85E-02A7-4A9C-B454-7E0BB0B5038E}"/>
            </a:ext>
          </a:extLst>
        </xdr:cNvPr>
        <xdr:cNvSpPr txBox="1">
          <a:spLocks noChangeArrowheads="1"/>
        </xdr:cNvSpPr>
      </xdr:nvSpPr>
      <xdr:spPr bwMode="auto">
        <a:xfrm>
          <a:off x="21215878" y="2981326"/>
          <a:ext cx="446354"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⑮</a:t>
          </a:r>
          <a:endParaRPr lang="ja-JP" altLang="en-US"/>
        </a:p>
      </xdr:txBody>
    </xdr:sp>
    <xdr:clientData/>
  </xdr:twoCellAnchor>
  <xdr:twoCellAnchor>
    <xdr:from>
      <xdr:col>65</xdr:col>
      <xdr:colOff>40218</xdr:colOff>
      <xdr:row>23</xdr:row>
      <xdr:rowOff>699030</xdr:rowOff>
    </xdr:from>
    <xdr:to>
      <xdr:col>65</xdr:col>
      <xdr:colOff>487893</xdr:colOff>
      <xdr:row>24</xdr:row>
      <xdr:rowOff>14817</xdr:rowOff>
    </xdr:to>
    <xdr:sp macro="" textlink="">
      <xdr:nvSpPr>
        <xdr:cNvPr id="59" name="Text Box 9">
          <a:extLst>
            <a:ext uri="{FF2B5EF4-FFF2-40B4-BE49-F238E27FC236}">
              <a16:creationId xmlns:a16="http://schemas.microsoft.com/office/drawing/2014/main" id="{5C9C745E-A613-46EA-80D6-47D432223821}"/>
            </a:ext>
          </a:extLst>
        </xdr:cNvPr>
        <xdr:cNvSpPr txBox="1">
          <a:spLocks noChangeArrowheads="1"/>
        </xdr:cNvSpPr>
      </xdr:nvSpPr>
      <xdr:spPr bwMode="auto">
        <a:xfrm>
          <a:off x="21204768"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65</xdr:col>
      <xdr:colOff>51328</xdr:colOff>
      <xdr:row>23</xdr:row>
      <xdr:rowOff>695326</xdr:rowOff>
    </xdr:from>
    <xdr:to>
      <xdr:col>66</xdr:col>
      <xdr:colOff>11907</xdr:colOff>
      <xdr:row>24</xdr:row>
      <xdr:rowOff>6351</xdr:rowOff>
    </xdr:to>
    <xdr:sp macro="" textlink="">
      <xdr:nvSpPr>
        <xdr:cNvPr id="60" name="Text Box 9">
          <a:extLst>
            <a:ext uri="{FF2B5EF4-FFF2-40B4-BE49-F238E27FC236}">
              <a16:creationId xmlns:a16="http://schemas.microsoft.com/office/drawing/2014/main" id="{9CA1B5E6-0EC6-4B8A-96B0-6FE7F9CF7B99}"/>
            </a:ext>
          </a:extLst>
        </xdr:cNvPr>
        <xdr:cNvSpPr txBox="1">
          <a:spLocks noChangeArrowheads="1"/>
        </xdr:cNvSpPr>
      </xdr:nvSpPr>
      <xdr:spPr bwMode="auto">
        <a:xfrm>
          <a:off x="21215878" y="2981326"/>
          <a:ext cx="446354"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⑮</a:t>
          </a:r>
          <a:endParaRPr lang="ja-JP" altLang="en-US"/>
        </a:p>
      </xdr:txBody>
    </xdr:sp>
    <xdr:clientData/>
  </xdr:twoCellAnchor>
  <xdr:twoCellAnchor>
    <xdr:from>
      <xdr:col>65</xdr:col>
      <xdr:colOff>40218</xdr:colOff>
      <xdr:row>26</xdr:row>
      <xdr:rowOff>699030</xdr:rowOff>
    </xdr:from>
    <xdr:to>
      <xdr:col>65</xdr:col>
      <xdr:colOff>487893</xdr:colOff>
      <xdr:row>27</xdr:row>
      <xdr:rowOff>14817</xdr:rowOff>
    </xdr:to>
    <xdr:sp macro="" textlink="">
      <xdr:nvSpPr>
        <xdr:cNvPr id="61" name="Text Box 9">
          <a:extLst>
            <a:ext uri="{FF2B5EF4-FFF2-40B4-BE49-F238E27FC236}">
              <a16:creationId xmlns:a16="http://schemas.microsoft.com/office/drawing/2014/main" id="{8DC50AFE-859D-4444-A198-4497F715D706}"/>
            </a:ext>
          </a:extLst>
        </xdr:cNvPr>
        <xdr:cNvSpPr txBox="1">
          <a:spLocks noChangeArrowheads="1"/>
        </xdr:cNvSpPr>
      </xdr:nvSpPr>
      <xdr:spPr bwMode="auto">
        <a:xfrm>
          <a:off x="21204768"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65</xdr:col>
      <xdr:colOff>51328</xdr:colOff>
      <xdr:row>26</xdr:row>
      <xdr:rowOff>695326</xdr:rowOff>
    </xdr:from>
    <xdr:to>
      <xdr:col>66</xdr:col>
      <xdr:colOff>11907</xdr:colOff>
      <xdr:row>27</xdr:row>
      <xdr:rowOff>6351</xdr:rowOff>
    </xdr:to>
    <xdr:sp macro="" textlink="">
      <xdr:nvSpPr>
        <xdr:cNvPr id="62" name="Text Box 9">
          <a:extLst>
            <a:ext uri="{FF2B5EF4-FFF2-40B4-BE49-F238E27FC236}">
              <a16:creationId xmlns:a16="http://schemas.microsoft.com/office/drawing/2014/main" id="{FD0FD66C-73C0-449B-A949-08BC2E1B2C04}"/>
            </a:ext>
          </a:extLst>
        </xdr:cNvPr>
        <xdr:cNvSpPr txBox="1">
          <a:spLocks noChangeArrowheads="1"/>
        </xdr:cNvSpPr>
      </xdr:nvSpPr>
      <xdr:spPr bwMode="auto">
        <a:xfrm>
          <a:off x="21215878" y="2981326"/>
          <a:ext cx="446354"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⑮</a:t>
          </a:r>
          <a:endParaRPr lang="ja-JP" altLang="en-US"/>
        </a:p>
      </xdr:txBody>
    </xdr:sp>
    <xdr:clientData/>
  </xdr:twoCellAnchor>
  <xdr:twoCellAnchor>
    <xdr:from>
      <xdr:col>65</xdr:col>
      <xdr:colOff>40218</xdr:colOff>
      <xdr:row>29</xdr:row>
      <xdr:rowOff>699030</xdr:rowOff>
    </xdr:from>
    <xdr:to>
      <xdr:col>65</xdr:col>
      <xdr:colOff>487893</xdr:colOff>
      <xdr:row>30</xdr:row>
      <xdr:rowOff>14817</xdr:rowOff>
    </xdr:to>
    <xdr:sp macro="" textlink="">
      <xdr:nvSpPr>
        <xdr:cNvPr id="63" name="Text Box 9">
          <a:extLst>
            <a:ext uri="{FF2B5EF4-FFF2-40B4-BE49-F238E27FC236}">
              <a16:creationId xmlns:a16="http://schemas.microsoft.com/office/drawing/2014/main" id="{1289361E-6DC6-4277-A1F0-6EB222352799}"/>
            </a:ext>
          </a:extLst>
        </xdr:cNvPr>
        <xdr:cNvSpPr txBox="1">
          <a:spLocks noChangeArrowheads="1"/>
        </xdr:cNvSpPr>
      </xdr:nvSpPr>
      <xdr:spPr bwMode="auto">
        <a:xfrm>
          <a:off x="21204768"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65</xdr:col>
      <xdr:colOff>51328</xdr:colOff>
      <xdr:row>29</xdr:row>
      <xdr:rowOff>695326</xdr:rowOff>
    </xdr:from>
    <xdr:to>
      <xdr:col>66</xdr:col>
      <xdr:colOff>11907</xdr:colOff>
      <xdr:row>30</xdr:row>
      <xdr:rowOff>6351</xdr:rowOff>
    </xdr:to>
    <xdr:sp macro="" textlink="">
      <xdr:nvSpPr>
        <xdr:cNvPr id="64" name="Text Box 9">
          <a:extLst>
            <a:ext uri="{FF2B5EF4-FFF2-40B4-BE49-F238E27FC236}">
              <a16:creationId xmlns:a16="http://schemas.microsoft.com/office/drawing/2014/main" id="{2132FCE0-4475-4D33-BE04-CFC9E6514D72}"/>
            </a:ext>
          </a:extLst>
        </xdr:cNvPr>
        <xdr:cNvSpPr txBox="1">
          <a:spLocks noChangeArrowheads="1"/>
        </xdr:cNvSpPr>
      </xdr:nvSpPr>
      <xdr:spPr bwMode="auto">
        <a:xfrm>
          <a:off x="21215878" y="2981326"/>
          <a:ext cx="446354"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⑮</a:t>
          </a:r>
          <a:endParaRPr lang="ja-JP" altLang="en-US"/>
        </a:p>
      </xdr:txBody>
    </xdr:sp>
    <xdr:clientData/>
  </xdr:twoCellAnchor>
  <xdr:twoCellAnchor>
    <xdr:from>
      <xdr:col>65</xdr:col>
      <xdr:colOff>40218</xdr:colOff>
      <xdr:row>32</xdr:row>
      <xdr:rowOff>699030</xdr:rowOff>
    </xdr:from>
    <xdr:to>
      <xdr:col>65</xdr:col>
      <xdr:colOff>487893</xdr:colOff>
      <xdr:row>33</xdr:row>
      <xdr:rowOff>14817</xdr:rowOff>
    </xdr:to>
    <xdr:sp macro="" textlink="">
      <xdr:nvSpPr>
        <xdr:cNvPr id="65" name="Text Box 9">
          <a:extLst>
            <a:ext uri="{FF2B5EF4-FFF2-40B4-BE49-F238E27FC236}">
              <a16:creationId xmlns:a16="http://schemas.microsoft.com/office/drawing/2014/main" id="{19920C27-C35E-4D0D-83F8-4B8C0D2B2DC5}"/>
            </a:ext>
          </a:extLst>
        </xdr:cNvPr>
        <xdr:cNvSpPr txBox="1">
          <a:spLocks noChangeArrowheads="1"/>
        </xdr:cNvSpPr>
      </xdr:nvSpPr>
      <xdr:spPr bwMode="auto">
        <a:xfrm>
          <a:off x="21204768"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65</xdr:col>
      <xdr:colOff>51328</xdr:colOff>
      <xdr:row>32</xdr:row>
      <xdr:rowOff>695326</xdr:rowOff>
    </xdr:from>
    <xdr:to>
      <xdr:col>66</xdr:col>
      <xdr:colOff>11907</xdr:colOff>
      <xdr:row>33</xdr:row>
      <xdr:rowOff>6351</xdr:rowOff>
    </xdr:to>
    <xdr:sp macro="" textlink="">
      <xdr:nvSpPr>
        <xdr:cNvPr id="66" name="Text Box 9">
          <a:extLst>
            <a:ext uri="{FF2B5EF4-FFF2-40B4-BE49-F238E27FC236}">
              <a16:creationId xmlns:a16="http://schemas.microsoft.com/office/drawing/2014/main" id="{AEBE2D69-BE5D-49D5-A317-FDE408B50652}"/>
            </a:ext>
          </a:extLst>
        </xdr:cNvPr>
        <xdr:cNvSpPr txBox="1">
          <a:spLocks noChangeArrowheads="1"/>
        </xdr:cNvSpPr>
      </xdr:nvSpPr>
      <xdr:spPr bwMode="auto">
        <a:xfrm>
          <a:off x="21215878" y="2981326"/>
          <a:ext cx="446354"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⑮</a:t>
          </a:r>
          <a:endParaRPr lang="ja-JP" altLang="en-US"/>
        </a:p>
      </xdr:txBody>
    </xdr:sp>
    <xdr:clientData/>
  </xdr:twoCellAnchor>
  <xdr:twoCellAnchor>
    <xdr:from>
      <xdr:col>65</xdr:col>
      <xdr:colOff>40218</xdr:colOff>
      <xdr:row>35</xdr:row>
      <xdr:rowOff>699030</xdr:rowOff>
    </xdr:from>
    <xdr:to>
      <xdr:col>65</xdr:col>
      <xdr:colOff>487893</xdr:colOff>
      <xdr:row>36</xdr:row>
      <xdr:rowOff>14817</xdr:rowOff>
    </xdr:to>
    <xdr:sp macro="" textlink="">
      <xdr:nvSpPr>
        <xdr:cNvPr id="67" name="Text Box 9">
          <a:extLst>
            <a:ext uri="{FF2B5EF4-FFF2-40B4-BE49-F238E27FC236}">
              <a16:creationId xmlns:a16="http://schemas.microsoft.com/office/drawing/2014/main" id="{0AEC789B-88DF-4E79-A164-42FF70DA9EBF}"/>
            </a:ext>
          </a:extLst>
        </xdr:cNvPr>
        <xdr:cNvSpPr txBox="1">
          <a:spLocks noChangeArrowheads="1"/>
        </xdr:cNvSpPr>
      </xdr:nvSpPr>
      <xdr:spPr bwMode="auto">
        <a:xfrm>
          <a:off x="21204768"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65</xdr:col>
      <xdr:colOff>51328</xdr:colOff>
      <xdr:row>35</xdr:row>
      <xdr:rowOff>695326</xdr:rowOff>
    </xdr:from>
    <xdr:to>
      <xdr:col>66</xdr:col>
      <xdr:colOff>11907</xdr:colOff>
      <xdr:row>36</xdr:row>
      <xdr:rowOff>6351</xdr:rowOff>
    </xdr:to>
    <xdr:sp macro="" textlink="">
      <xdr:nvSpPr>
        <xdr:cNvPr id="68" name="Text Box 9">
          <a:extLst>
            <a:ext uri="{FF2B5EF4-FFF2-40B4-BE49-F238E27FC236}">
              <a16:creationId xmlns:a16="http://schemas.microsoft.com/office/drawing/2014/main" id="{E0F5C4A8-6275-49B1-8810-BCC872FDB3D8}"/>
            </a:ext>
          </a:extLst>
        </xdr:cNvPr>
        <xdr:cNvSpPr txBox="1">
          <a:spLocks noChangeArrowheads="1"/>
        </xdr:cNvSpPr>
      </xdr:nvSpPr>
      <xdr:spPr bwMode="auto">
        <a:xfrm>
          <a:off x="21215878" y="2981326"/>
          <a:ext cx="446354"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⑮</a:t>
          </a:r>
          <a:endParaRPr lang="ja-JP" altLang="en-US"/>
        </a:p>
      </xdr:txBody>
    </xdr:sp>
    <xdr:clientData/>
  </xdr:twoCellAnchor>
  <xdr:twoCellAnchor>
    <xdr:from>
      <xdr:col>50</xdr:col>
      <xdr:colOff>40218</xdr:colOff>
      <xdr:row>11</xdr:row>
      <xdr:rowOff>699030</xdr:rowOff>
    </xdr:from>
    <xdr:to>
      <xdr:col>50</xdr:col>
      <xdr:colOff>487893</xdr:colOff>
      <xdr:row>12</xdr:row>
      <xdr:rowOff>14817</xdr:rowOff>
    </xdr:to>
    <xdr:sp macro="" textlink="">
      <xdr:nvSpPr>
        <xdr:cNvPr id="73" name="Text Box 9">
          <a:extLst>
            <a:ext uri="{FF2B5EF4-FFF2-40B4-BE49-F238E27FC236}">
              <a16:creationId xmlns:a16="http://schemas.microsoft.com/office/drawing/2014/main" id="{96A1AD4A-728D-4B12-B4F5-D2CD5FF98E33}"/>
            </a:ext>
          </a:extLst>
        </xdr:cNvPr>
        <xdr:cNvSpPr txBox="1">
          <a:spLocks noChangeArrowheads="1"/>
        </xdr:cNvSpPr>
      </xdr:nvSpPr>
      <xdr:spPr bwMode="auto">
        <a:xfrm>
          <a:off x="20033193"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11</xdr:row>
      <xdr:rowOff>657701</xdr:rowOff>
    </xdr:from>
    <xdr:to>
      <xdr:col>51</xdr:col>
      <xdr:colOff>647570</xdr:colOff>
      <xdr:row>12</xdr:row>
      <xdr:rowOff>7243</xdr:rowOff>
    </xdr:to>
    <xdr:sp macro="" textlink="">
      <xdr:nvSpPr>
        <xdr:cNvPr id="74" name="Text Box 1">
          <a:extLst>
            <a:ext uri="{FF2B5EF4-FFF2-40B4-BE49-F238E27FC236}">
              <a16:creationId xmlns:a16="http://schemas.microsoft.com/office/drawing/2014/main" id="{35C9E75F-2BEF-4A64-9533-E5CF291565D7}"/>
            </a:ext>
          </a:extLst>
        </xdr:cNvPr>
        <xdr:cNvSpPr txBox="1">
          <a:spLocks noChangeArrowheads="1"/>
        </xdr:cNvSpPr>
      </xdr:nvSpPr>
      <xdr:spPr bwMode="auto">
        <a:xfrm>
          <a:off x="20571143" y="2943701"/>
          <a:ext cx="49802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50</xdr:col>
      <xdr:colOff>40218</xdr:colOff>
      <xdr:row>14</xdr:row>
      <xdr:rowOff>699030</xdr:rowOff>
    </xdr:from>
    <xdr:to>
      <xdr:col>50</xdr:col>
      <xdr:colOff>487893</xdr:colOff>
      <xdr:row>15</xdr:row>
      <xdr:rowOff>14817</xdr:rowOff>
    </xdr:to>
    <xdr:sp macro="" textlink="">
      <xdr:nvSpPr>
        <xdr:cNvPr id="75" name="Text Box 9">
          <a:extLst>
            <a:ext uri="{FF2B5EF4-FFF2-40B4-BE49-F238E27FC236}">
              <a16:creationId xmlns:a16="http://schemas.microsoft.com/office/drawing/2014/main" id="{9E189CEC-7C9F-45AB-83E7-F22C6AF8BB2C}"/>
            </a:ext>
          </a:extLst>
        </xdr:cNvPr>
        <xdr:cNvSpPr txBox="1">
          <a:spLocks noChangeArrowheads="1"/>
        </xdr:cNvSpPr>
      </xdr:nvSpPr>
      <xdr:spPr bwMode="auto">
        <a:xfrm>
          <a:off x="20033193"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14</xdr:row>
      <xdr:rowOff>657701</xdr:rowOff>
    </xdr:from>
    <xdr:to>
      <xdr:col>51</xdr:col>
      <xdr:colOff>647570</xdr:colOff>
      <xdr:row>15</xdr:row>
      <xdr:rowOff>7243</xdr:rowOff>
    </xdr:to>
    <xdr:sp macro="" textlink="">
      <xdr:nvSpPr>
        <xdr:cNvPr id="76" name="Text Box 1">
          <a:extLst>
            <a:ext uri="{FF2B5EF4-FFF2-40B4-BE49-F238E27FC236}">
              <a16:creationId xmlns:a16="http://schemas.microsoft.com/office/drawing/2014/main" id="{EFA89970-5C32-486D-BBA3-4144332B8D02}"/>
            </a:ext>
          </a:extLst>
        </xdr:cNvPr>
        <xdr:cNvSpPr txBox="1">
          <a:spLocks noChangeArrowheads="1"/>
        </xdr:cNvSpPr>
      </xdr:nvSpPr>
      <xdr:spPr bwMode="auto">
        <a:xfrm>
          <a:off x="20571143" y="2943701"/>
          <a:ext cx="49802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50</xdr:col>
      <xdr:colOff>40218</xdr:colOff>
      <xdr:row>17</xdr:row>
      <xdr:rowOff>699030</xdr:rowOff>
    </xdr:from>
    <xdr:to>
      <xdr:col>50</xdr:col>
      <xdr:colOff>487893</xdr:colOff>
      <xdr:row>18</xdr:row>
      <xdr:rowOff>14817</xdr:rowOff>
    </xdr:to>
    <xdr:sp macro="" textlink="">
      <xdr:nvSpPr>
        <xdr:cNvPr id="77" name="Text Box 9">
          <a:extLst>
            <a:ext uri="{FF2B5EF4-FFF2-40B4-BE49-F238E27FC236}">
              <a16:creationId xmlns:a16="http://schemas.microsoft.com/office/drawing/2014/main" id="{48313242-31BB-4A93-82E6-C3ED1BAD2F78}"/>
            </a:ext>
          </a:extLst>
        </xdr:cNvPr>
        <xdr:cNvSpPr txBox="1">
          <a:spLocks noChangeArrowheads="1"/>
        </xdr:cNvSpPr>
      </xdr:nvSpPr>
      <xdr:spPr bwMode="auto">
        <a:xfrm>
          <a:off x="20033193"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17</xdr:row>
      <xdr:rowOff>657701</xdr:rowOff>
    </xdr:from>
    <xdr:to>
      <xdr:col>51</xdr:col>
      <xdr:colOff>647570</xdr:colOff>
      <xdr:row>18</xdr:row>
      <xdr:rowOff>7243</xdr:rowOff>
    </xdr:to>
    <xdr:sp macro="" textlink="">
      <xdr:nvSpPr>
        <xdr:cNvPr id="78" name="Text Box 1">
          <a:extLst>
            <a:ext uri="{FF2B5EF4-FFF2-40B4-BE49-F238E27FC236}">
              <a16:creationId xmlns:a16="http://schemas.microsoft.com/office/drawing/2014/main" id="{C4309E8D-560F-4F15-A996-A12F853E303B}"/>
            </a:ext>
          </a:extLst>
        </xdr:cNvPr>
        <xdr:cNvSpPr txBox="1">
          <a:spLocks noChangeArrowheads="1"/>
        </xdr:cNvSpPr>
      </xdr:nvSpPr>
      <xdr:spPr bwMode="auto">
        <a:xfrm>
          <a:off x="20571143" y="2943701"/>
          <a:ext cx="49802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50</xdr:col>
      <xdr:colOff>40218</xdr:colOff>
      <xdr:row>20</xdr:row>
      <xdr:rowOff>699030</xdr:rowOff>
    </xdr:from>
    <xdr:to>
      <xdr:col>50</xdr:col>
      <xdr:colOff>487893</xdr:colOff>
      <xdr:row>21</xdr:row>
      <xdr:rowOff>14817</xdr:rowOff>
    </xdr:to>
    <xdr:sp macro="" textlink="">
      <xdr:nvSpPr>
        <xdr:cNvPr id="79" name="Text Box 9">
          <a:extLst>
            <a:ext uri="{FF2B5EF4-FFF2-40B4-BE49-F238E27FC236}">
              <a16:creationId xmlns:a16="http://schemas.microsoft.com/office/drawing/2014/main" id="{C30797BC-983E-47A9-8D48-352327F905CE}"/>
            </a:ext>
          </a:extLst>
        </xdr:cNvPr>
        <xdr:cNvSpPr txBox="1">
          <a:spLocks noChangeArrowheads="1"/>
        </xdr:cNvSpPr>
      </xdr:nvSpPr>
      <xdr:spPr bwMode="auto">
        <a:xfrm>
          <a:off x="20033193"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20</xdr:row>
      <xdr:rowOff>657701</xdr:rowOff>
    </xdr:from>
    <xdr:to>
      <xdr:col>51</xdr:col>
      <xdr:colOff>647570</xdr:colOff>
      <xdr:row>21</xdr:row>
      <xdr:rowOff>7243</xdr:rowOff>
    </xdr:to>
    <xdr:sp macro="" textlink="">
      <xdr:nvSpPr>
        <xdr:cNvPr id="80" name="Text Box 1">
          <a:extLst>
            <a:ext uri="{FF2B5EF4-FFF2-40B4-BE49-F238E27FC236}">
              <a16:creationId xmlns:a16="http://schemas.microsoft.com/office/drawing/2014/main" id="{77C20AC5-E307-490C-80BD-157BEF99D521}"/>
            </a:ext>
          </a:extLst>
        </xdr:cNvPr>
        <xdr:cNvSpPr txBox="1">
          <a:spLocks noChangeArrowheads="1"/>
        </xdr:cNvSpPr>
      </xdr:nvSpPr>
      <xdr:spPr bwMode="auto">
        <a:xfrm>
          <a:off x="20571143" y="2943701"/>
          <a:ext cx="49802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50</xdr:col>
      <xdr:colOff>40218</xdr:colOff>
      <xdr:row>23</xdr:row>
      <xdr:rowOff>699030</xdr:rowOff>
    </xdr:from>
    <xdr:to>
      <xdr:col>50</xdr:col>
      <xdr:colOff>487893</xdr:colOff>
      <xdr:row>24</xdr:row>
      <xdr:rowOff>14817</xdr:rowOff>
    </xdr:to>
    <xdr:sp macro="" textlink="">
      <xdr:nvSpPr>
        <xdr:cNvPr id="81" name="Text Box 9">
          <a:extLst>
            <a:ext uri="{FF2B5EF4-FFF2-40B4-BE49-F238E27FC236}">
              <a16:creationId xmlns:a16="http://schemas.microsoft.com/office/drawing/2014/main" id="{BF22E24E-F6B3-480E-B962-649C368C87D3}"/>
            </a:ext>
          </a:extLst>
        </xdr:cNvPr>
        <xdr:cNvSpPr txBox="1">
          <a:spLocks noChangeArrowheads="1"/>
        </xdr:cNvSpPr>
      </xdr:nvSpPr>
      <xdr:spPr bwMode="auto">
        <a:xfrm>
          <a:off x="20033193"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23</xdr:row>
      <xdr:rowOff>657701</xdr:rowOff>
    </xdr:from>
    <xdr:to>
      <xdr:col>51</xdr:col>
      <xdr:colOff>647570</xdr:colOff>
      <xdr:row>24</xdr:row>
      <xdr:rowOff>7243</xdr:rowOff>
    </xdr:to>
    <xdr:sp macro="" textlink="">
      <xdr:nvSpPr>
        <xdr:cNvPr id="82" name="Text Box 1">
          <a:extLst>
            <a:ext uri="{FF2B5EF4-FFF2-40B4-BE49-F238E27FC236}">
              <a16:creationId xmlns:a16="http://schemas.microsoft.com/office/drawing/2014/main" id="{7C8BCF94-F3E1-4CD3-81C6-59FFA83D6EE4}"/>
            </a:ext>
          </a:extLst>
        </xdr:cNvPr>
        <xdr:cNvSpPr txBox="1">
          <a:spLocks noChangeArrowheads="1"/>
        </xdr:cNvSpPr>
      </xdr:nvSpPr>
      <xdr:spPr bwMode="auto">
        <a:xfrm>
          <a:off x="20571143" y="2943701"/>
          <a:ext cx="49802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50</xdr:col>
      <xdr:colOff>40218</xdr:colOff>
      <xdr:row>26</xdr:row>
      <xdr:rowOff>699030</xdr:rowOff>
    </xdr:from>
    <xdr:to>
      <xdr:col>50</xdr:col>
      <xdr:colOff>487893</xdr:colOff>
      <xdr:row>27</xdr:row>
      <xdr:rowOff>14817</xdr:rowOff>
    </xdr:to>
    <xdr:sp macro="" textlink="">
      <xdr:nvSpPr>
        <xdr:cNvPr id="83" name="Text Box 9">
          <a:extLst>
            <a:ext uri="{FF2B5EF4-FFF2-40B4-BE49-F238E27FC236}">
              <a16:creationId xmlns:a16="http://schemas.microsoft.com/office/drawing/2014/main" id="{CE196254-088B-4425-B933-4F9C72B5688D}"/>
            </a:ext>
          </a:extLst>
        </xdr:cNvPr>
        <xdr:cNvSpPr txBox="1">
          <a:spLocks noChangeArrowheads="1"/>
        </xdr:cNvSpPr>
      </xdr:nvSpPr>
      <xdr:spPr bwMode="auto">
        <a:xfrm>
          <a:off x="20033193"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26</xdr:row>
      <xdr:rowOff>657701</xdr:rowOff>
    </xdr:from>
    <xdr:to>
      <xdr:col>51</xdr:col>
      <xdr:colOff>647570</xdr:colOff>
      <xdr:row>27</xdr:row>
      <xdr:rowOff>7243</xdr:rowOff>
    </xdr:to>
    <xdr:sp macro="" textlink="">
      <xdr:nvSpPr>
        <xdr:cNvPr id="84" name="Text Box 1">
          <a:extLst>
            <a:ext uri="{FF2B5EF4-FFF2-40B4-BE49-F238E27FC236}">
              <a16:creationId xmlns:a16="http://schemas.microsoft.com/office/drawing/2014/main" id="{80BDE80C-3281-4357-9117-884C2C13BAE9}"/>
            </a:ext>
          </a:extLst>
        </xdr:cNvPr>
        <xdr:cNvSpPr txBox="1">
          <a:spLocks noChangeArrowheads="1"/>
        </xdr:cNvSpPr>
      </xdr:nvSpPr>
      <xdr:spPr bwMode="auto">
        <a:xfrm>
          <a:off x="20571143" y="2943701"/>
          <a:ext cx="49802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50</xdr:col>
      <xdr:colOff>40218</xdr:colOff>
      <xdr:row>29</xdr:row>
      <xdr:rowOff>699030</xdr:rowOff>
    </xdr:from>
    <xdr:to>
      <xdr:col>50</xdr:col>
      <xdr:colOff>487893</xdr:colOff>
      <xdr:row>30</xdr:row>
      <xdr:rowOff>14817</xdr:rowOff>
    </xdr:to>
    <xdr:sp macro="" textlink="">
      <xdr:nvSpPr>
        <xdr:cNvPr id="85" name="Text Box 9">
          <a:extLst>
            <a:ext uri="{FF2B5EF4-FFF2-40B4-BE49-F238E27FC236}">
              <a16:creationId xmlns:a16="http://schemas.microsoft.com/office/drawing/2014/main" id="{DCFAEBA7-2DC2-434A-8950-40AA57C26914}"/>
            </a:ext>
          </a:extLst>
        </xdr:cNvPr>
        <xdr:cNvSpPr txBox="1">
          <a:spLocks noChangeArrowheads="1"/>
        </xdr:cNvSpPr>
      </xdr:nvSpPr>
      <xdr:spPr bwMode="auto">
        <a:xfrm>
          <a:off x="20033193"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29</xdr:row>
      <xdr:rowOff>657701</xdr:rowOff>
    </xdr:from>
    <xdr:to>
      <xdr:col>51</xdr:col>
      <xdr:colOff>647570</xdr:colOff>
      <xdr:row>30</xdr:row>
      <xdr:rowOff>7243</xdr:rowOff>
    </xdr:to>
    <xdr:sp macro="" textlink="">
      <xdr:nvSpPr>
        <xdr:cNvPr id="86" name="Text Box 1">
          <a:extLst>
            <a:ext uri="{FF2B5EF4-FFF2-40B4-BE49-F238E27FC236}">
              <a16:creationId xmlns:a16="http://schemas.microsoft.com/office/drawing/2014/main" id="{6F214723-886F-49CC-A9BE-C068671C3BFC}"/>
            </a:ext>
          </a:extLst>
        </xdr:cNvPr>
        <xdr:cNvSpPr txBox="1">
          <a:spLocks noChangeArrowheads="1"/>
        </xdr:cNvSpPr>
      </xdr:nvSpPr>
      <xdr:spPr bwMode="auto">
        <a:xfrm>
          <a:off x="20571143" y="2943701"/>
          <a:ext cx="49802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50</xdr:col>
      <xdr:colOff>40218</xdr:colOff>
      <xdr:row>32</xdr:row>
      <xdr:rowOff>699030</xdr:rowOff>
    </xdr:from>
    <xdr:to>
      <xdr:col>50</xdr:col>
      <xdr:colOff>487893</xdr:colOff>
      <xdr:row>33</xdr:row>
      <xdr:rowOff>14817</xdr:rowOff>
    </xdr:to>
    <xdr:sp macro="" textlink="">
      <xdr:nvSpPr>
        <xdr:cNvPr id="87" name="Text Box 9">
          <a:extLst>
            <a:ext uri="{FF2B5EF4-FFF2-40B4-BE49-F238E27FC236}">
              <a16:creationId xmlns:a16="http://schemas.microsoft.com/office/drawing/2014/main" id="{26D5DBA4-ECEC-49CE-9B25-E4985F1C3687}"/>
            </a:ext>
          </a:extLst>
        </xdr:cNvPr>
        <xdr:cNvSpPr txBox="1">
          <a:spLocks noChangeArrowheads="1"/>
        </xdr:cNvSpPr>
      </xdr:nvSpPr>
      <xdr:spPr bwMode="auto">
        <a:xfrm>
          <a:off x="20033193"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32</xdr:row>
      <xdr:rowOff>657701</xdr:rowOff>
    </xdr:from>
    <xdr:to>
      <xdr:col>51</xdr:col>
      <xdr:colOff>647570</xdr:colOff>
      <xdr:row>33</xdr:row>
      <xdr:rowOff>7243</xdr:rowOff>
    </xdr:to>
    <xdr:sp macro="" textlink="">
      <xdr:nvSpPr>
        <xdr:cNvPr id="88" name="Text Box 1">
          <a:extLst>
            <a:ext uri="{FF2B5EF4-FFF2-40B4-BE49-F238E27FC236}">
              <a16:creationId xmlns:a16="http://schemas.microsoft.com/office/drawing/2014/main" id="{C0ADFD5D-F4D5-4E4C-B66F-4C2A18DD314E}"/>
            </a:ext>
          </a:extLst>
        </xdr:cNvPr>
        <xdr:cNvSpPr txBox="1">
          <a:spLocks noChangeArrowheads="1"/>
        </xdr:cNvSpPr>
      </xdr:nvSpPr>
      <xdr:spPr bwMode="auto">
        <a:xfrm>
          <a:off x="20571143" y="2943701"/>
          <a:ext cx="49802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50</xdr:col>
      <xdr:colOff>40218</xdr:colOff>
      <xdr:row>35</xdr:row>
      <xdr:rowOff>699030</xdr:rowOff>
    </xdr:from>
    <xdr:to>
      <xdr:col>50</xdr:col>
      <xdr:colOff>487893</xdr:colOff>
      <xdr:row>36</xdr:row>
      <xdr:rowOff>14817</xdr:rowOff>
    </xdr:to>
    <xdr:sp macro="" textlink="">
      <xdr:nvSpPr>
        <xdr:cNvPr id="89" name="Text Box 9">
          <a:extLst>
            <a:ext uri="{FF2B5EF4-FFF2-40B4-BE49-F238E27FC236}">
              <a16:creationId xmlns:a16="http://schemas.microsoft.com/office/drawing/2014/main" id="{388851B1-4FD2-451F-B847-1DD48337317F}"/>
            </a:ext>
          </a:extLst>
        </xdr:cNvPr>
        <xdr:cNvSpPr txBox="1">
          <a:spLocks noChangeArrowheads="1"/>
        </xdr:cNvSpPr>
      </xdr:nvSpPr>
      <xdr:spPr bwMode="auto">
        <a:xfrm>
          <a:off x="20033193"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35</xdr:row>
      <xdr:rowOff>657701</xdr:rowOff>
    </xdr:from>
    <xdr:to>
      <xdr:col>51</xdr:col>
      <xdr:colOff>647570</xdr:colOff>
      <xdr:row>36</xdr:row>
      <xdr:rowOff>7243</xdr:rowOff>
    </xdr:to>
    <xdr:sp macro="" textlink="">
      <xdr:nvSpPr>
        <xdr:cNvPr id="90" name="Text Box 1">
          <a:extLst>
            <a:ext uri="{FF2B5EF4-FFF2-40B4-BE49-F238E27FC236}">
              <a16:creationId xmlns:a16="http://schemas.microsoft.com/office/drawing/2014/main" id="{4F4DC1C1-14FC-4F8B-9E09-643BC681B011}"/>
            </a:ext>
          </a:extLst>
        </xdr:cNvPr>
        <xdr:cNvSpPr txBox="1">
          <a:spLocks noChangeArrowheads="1"/>
        </xdr:cNvSpPr>
      </xdr:nvSpPr>
      <xdr:spPr bwMode="auto">
        <a:xfrm>
          <a:off x="20571143" y="2943701"/>
          <a:ext cx="49802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28</xdr:col>
      <xdr:colOff>252413</xdr:colOff>
      <xdr:row>8</xdr:row>
      <xdr:rowOff>676275</xdr:rowOff>
    </xdr:from>
    <xdr:to>
      <xdr:col>29</xdr:col>
      <xdr:colOff>228600</xdr:colOff>
      <xdr:row>9</xdr:row>
      <xdr:rowOff>23018</xdr:rowOff>
    </xdr:to>
    <xdr:sp macro="" textlink="">
      <xdr:nvSpPr>
        <xdr:cNvPr id="94" name="Text Box 9">
          <a:extLst>
            <a:ext uri="{FF2B5EF4-FFF2-40B4-BE49-F238E27FC236}">
              <a16:creationId xmlns:a16="http://schemas.microsoft.com/office/drawing/2014/main" id="{F2060007-6164-49E1-8387-E55757555FF0}"/>
            </a:ext>
          </a:extLst>
        </xdr:cNvPr>
        <xdr:cNvSpPr txBox="1">
          <a:spLocks noChangeArrowheads="1"/>
        </xdr:cNvSpPr>
      </xdr:nvSpPr>
      <xdr:spPr bwMode="auto">
        <a:xfrm>
          <a:off x="11110913" y="2962275"/>
          <a:ext cx="280987" cy="280193"/>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11</xdr:row>
      <xdr:rowOff>676275</xdr:rowOff>
    </xdr:from>
    <xdr:to>
      <xdr:col>29</xdr:col>
      <xdr:colOff>228600</xdr:colOff>
      <xdr:row>12</xdr:row>
      <xdr:rowOff>23018</xdr:rowOff>
    </xdr:to>
    <xdr:sp macro="" textlink="">
      <xdr:nvSpPr>
        <xdr:cNvPr id="95" name="Text Box 9">
          <a:extLst>
            <a:ext uri="{FF2B5EF4-FFF2-40B4-BE49-F238E27FC236}">
              <a16:creationId xmlns:a16="http://schemas.microsoft.com/office/drawing/2014/main" id="{9AC935BE-BC6C-47C2-AF9D-FDACFCD58766}"/>
            </a:ext>
          </a:extLst>
        </xdr:cNvPr>
        <xdr:cNvSpPr txBox="1">
          <a:spLocks noChangeArrowheads="1"/>
        </xdr:cNvSpPr>
      </xdr:nvSpPr>
      <xdr:spPr bwMode="auto">
        <a:xfrm>
          <a:off x="11110913" y="2962275"/>
          <a:ext cx="280987" cy="280193"/>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14</xdr:row>
      <xdr:rowOff>676275</xdr:rowOff>
    </xdr:from>
    <xdr:to>
      <xdr:col>29</xdr:col>
      <xdr:colOff>228600</xdr:colOff>
      <xdr:row>15</xdr:row>
      <xdr:rowOff>23018</xdr:rowOff>
    </xdr:to>
    <xdr:sp macro="" textlink="">
      <xdr:nvSpPr>
        <xdr:cNvPr id="96" name="Text Box 9">
          <a:extLst>
            <a:ext uri="{FF2B5EF4-FFF2-40B4-BE49-F238E27FC236}">
              <a16:creationId xmlns:a16="http://schemas.microsoft.com/office/drawing/2014/main" id="{FC22CD56-7626-4735-BE27-DC281410E750}"/>
            </a:ext>
          </a:extLst>
        </xdr:cNvPr>
        <xdr:cNvSpPr txBox="1">
          <a:spLocks noChangeArrowheads="1"/>
        </xdr:cNvSpPr>
      </xdr:nvSpPr>
      <xdr:spPr bwMode="auto">
        <a:xfrm>
          <a:off x="11110913" y="2962275"/>
          <a:ext cx="280987" cy="280193"/>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17</xdr:row>
      <xdr:rowOff>676275</xdr:rowOff>
    </xdr:from>
    <xdr:to>
      <xdr:col>29</xdr:col>
      <xdr:colOff>228600</xdr:colOff>
      <xdr:row>18</xdr:row>
      <xdr:rowOff>23018</xdr:rowOff>
    </xdr:to>
    <xdr:sp macro="" textlink="">
      <xdr:nvSpPr>
        <xdr:cNvPr id="97" name="Text Box 9">
          <a:extLst>
            <a:ext uri="{FF2B5EF4-FFF2-40B4-BE49-F238E27FC236}">
              <a16:creationId xmlns:a16="http://schemas.microsoft.com/office/drawing/2014/main" id="{565B352A-0976-46E7-BFF0-3482FFE8420D}"/>
            </a:ext>
          </a:extLst>
        </xdr:cNvPr>
        <xdr:cNvSpPr txBox="1">
          <a:spLocks noChangeArrowheads="1"/>
        </xdr:cNvSpPr>
      </xdr:nvSpPr>
      <xdr:spPr bwMode="auto">
        <a:xfrm>
          <a:off x="11110913" y="6305550"/>
          <a:ext cx="280987" cy="2301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20</xdr:row>
      <xdr:rowOff>676275</xdr:rowOff>
    </xdr:from>
    <xdr:to>
      <xdr:col>29</xdr:col>
      <xdr:colOff>228600</xdr:colOff>
      <xdr:row>21</xdr:row>
      <xdr:rowOff>23018</xdr:rowOff>
    </xdr:to>
    <xdr:sp macro="" textlink="">
      <xdr:nvSpPr>
        <xdr:cNvPr id="98" name="Text Box 9">
          <a:extLst>
            <a:ext uri="{FF2B5EF4-FFF2-40B4-BE49-F238E27FC236}">
              <a16:creationId xmlns:a16="http://schemas.microsoft.com/office/drawing/2014/main" id="{F693D517-FB01-4D95-AB37-29584AD5C7A4}"/>
            </a:ext>
          </a:extLst>
        </xdr:cNvPr>
        <xdr:cNvSpPr txBox="1">
          <a:spLocks noChangeArrowheads="1"/>
        </xdr:cNvSpPr>
      </xdr:nvSpPr>
      <xdr:spPr bwMode="auto">
        <a:xfrm>
          <a:off x="11110913" y="6305550"/>
          <a:ext cx="280987" cy="2301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23</xdr:row>
      <xdr:rowOff>676275</xdr:rowOff>
    </xdr:from>
    <xdr:to>
      <xdr:col>29</xdr:col>
      <xdr:colOff>228600</xdr:colOff>
      <xdr:row>24</xdr:row>
      <xdr:rowOff>23018</xdr:rowOff>
    </xdr:to>
    <xdr:sp macro="" textlink="">
      <xdr:nvSpPr>
        <xdr:cNvPr id="99" name="Text Box 9">
          <a:extLst>
            <a:ext uri="{FF2B5EF4-FFF2-40B4-BE49-F238E27FC236}">
              <a16:creationId xmlns:a16="http://schemas.microsoft.com/office/drawing/2014/main" id="{4945ACDB-0532-43E1-AEB1-6B86C578441F}"/>
            </a:ext>
          </a:extLst>
        </xdr:cNvPr>
        <xdr:cNvSpPr txBox="1">
          <a:spLocks noChangeArrowheads="1"/>
        </xdr:cNvSpPr>
      </xdr:nvSpPr>
      <xdr:spPr bwMode="auto">
        <a:xfrm>
          <a:off x="11110913" y="6305550"/>
          <a:ext cx="280987" cy="2301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26</xdr:row>
      <xdr:rowOff>676275</xdr:rowOff>
    </xdr:from>
    <xdr:to>
      <xdr:col>29</xdr:col>
      <xdr:colOff>228600</xdr:colOff>
      <xdr:row>27</xdr:row>
      <xdr:rowOff>23018</xdr:rowOff>
    </xdr:to>
    <xdr:sp macro="" textlink="">
      <xdr:nvSpPr>
        <xdr:cNvPr id="100" name="Text Box 9">
          <a:extLst>
            <a:ext uri="{FF2B5EF4-FFF2-40B4-BE49-F238E27FC236}">
              <a16:creationId xmlns:a16="http://schemas.microsoft.com/office/drawing/2014/main" id="{C908123F-1835-4528-AA53-22E903573290}"/>
            </a:ext>
          </a:extLst>
        </xdr:cNvPr>
        <xdr:cNvSpPr txBox="1">
          <a:spLocks noChangeArrowheads="1"/>
        </xdr:cNvSpPr>
      </xdr:nvSpPr>
      <xdr:spPr bwMode="auto">
        <a:xfrm>
          <a:off x="11110913" y="6305550"/>
          <a:ext cx="280987" cy="2301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29</xdr:row>
      <xdr:rowOff>676275</xdr:rowOff>
    </xdr:from>
    <xdr:to>
      <xdr:col>29</xdr:col>
      <xdr:colOff>228600</xdr:colOff>
      <xdr:row>30</xdr:row>
      <xdr:rowOff>23018</xdr:rowOff>
    </xdr:to>
    <xdr:sp macro="" textlink="">
      <xdr:nvSpPr>
        <xdr:cNvPr id="101" name="Text Box 9">
          <a:extLst>
            <a:ext uri="{FF2B5EF4-FFF2-40B4-BE49-F238E27FC236}">
              <a16:creationId xmlns:a16="http://schemas.microsoft.com/office/drawing/2014/main" id="{E18CC506-5F69-4D85-B4DD-33E93FE7A913}"/>
            </a:ext>
          </a:extLst>
        </xdr:cNvPr>
        <xdr:cNvSpPr txBox="1">
          <a:spLocks noChangeArrowheads="1"/>
        </xdr:cNvSpPr>
      </xdr:nvSpPr>
      <xdr:spPr bwMode="auto">
        <a:xfrm>
          <a:off x="11110913" y="6305550"/>
          <a:ext cx="280987" cy="2301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32</xdr:row>
      <xdr:rowOff>676275</xdr:rowOff>
    </xdr:from>
    <xdr:to>
      <xdr:col>29</xdr:col>
      <xdr:colOff>228600</xdr:colOff>
      <xdr:row>33</xdr:row>
      <xdr:rowOff>23018</xdr:rowOff>
    </xdr:to>
    <xdr:sp macro="" textlink="">
      <xdr:nvSpPr>
        <xdr:cNvPr id="102" name="Text Box 9">
          <a:extLst>
            <a:ext uri="{FF2B5EF4-FFF2-40B4-BE49-F238E27FC236}">
              <a16:creationId xmlns:a16="http://schemas.microsoft.com/office/drawing/2014/main" id="{148162B4-3D59-4B72-8363-5A759A7924E9}"/>
            </a:ext>
          </a:extLst>
        </xdr:cNvPr>
        <xdr:cNvSpPr txBox="1">
          <a:spLocks noChangeArrowheads="1"/>
        </xdr:cNvSpPr>
      </xdr:nvSpPr>
      <xdr:spPr bwMode="auto">
        <a:xfrm>
          <a:off x="11110913" y="6305550"/>
          <a:ext cx="280987" cy="2301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35</xdr:row>
      <xdr:rowOff>676275</xdr:rowOff>
    </xdr:from>
    <xdr:to>
      <xdr:col>29</xdr:col>
      <xdr:colOff>228600</xdr:colOff>
      <xdr:row>36</xdr:row>
      <xdr:rowOff>23018</xdr:rowOff>
    </xdr:to>
    <xdr:sp macro="" textlink="">
      <xdr:nvSpPr>
        <xdr:cNvPr id="103" name="Text Box 9">
          <a:extLst>
            <a:ext uri="{FF2B5EF4-FFF2-40B4-BE49-F238E27FC236}">
              <a16:creationId xmlns:a16="http://schemas.microsoft.com/office/drawing/2014/main" id="{77A924C4-55CC-41CF-AE3C-29FAC0228B0F}"/>
            </a:ext>
          </a:extLst>
        </xdr:cNvPr>
        <xdr:cNvSpPr txBox="1">
          <a:spLocks noChangeArrowheads="1"/>
        </xdr:cNvSpPr>
      </xdr:nvSpPr>
      <xdr:spPr bwMode="auto">
        <a:xfrm>
          <a:off x="11110913" y="6305550"/>
          <a:ext cx="280987" cy="2301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65</xdr:col>
      <xdr:colOff>40218</xdr:colOff>
      <xdr:row>8</xdr:row>
      <xdr:rowOff>699030</xdr:rowOff>
    </xdr:from>
    <xdr:to>
      <xdr:col>65</xdr:col>
      <xdr:colOff>487893</xdr:colOff>
      <xdr:row>9</xdr:row>
      <xdr:rowOff>14817</xdr:rowOff>
    </xdr:to>
    <xdr:sp macro="" textlink="">
      <xdr:nvSpPr>
        <xdr:cNvPr id="93" name="Text Box 9">
          <a:extLst>
            <a:ext uri="{FF2B5EF4-FFF2-40B4-BE49-F238E27FC236}">
              <a16:creationId xmlns:a16="http://schemas.microsoft.com/office/drawing/2014/main" id="{D4B4575E-33DA-461E-A310-0540636BBA29}"/>
            </a:ext>
          </a:extLst>
        </xdr:cNvPr>
        <xdr:cNvSpPr txBox="1">
          <a:spLocks noChangeArrowheads="1"/>
        </xdr:cNvSpPr>
      </xdr:nvSpPr>
      <xdr:spPr bwMode="auto">
        <a:xfrm>
          <a:off x="21672551"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65</xdr:col>
      <xdr:colOff>40218</xdr:colOff>
      <xdr:row>11</xdr:row>
      <xdr:rowOff>699030</xdr:rowOff>
    </xdr:from>
    <xdr:to>
      <xdr:col>65</xdr:col>
      <xdr:colOff>487893</xdr:colOff>
      <xdr:row>12</xdr:row>
      <xdr:rowOff>14817</xdr:rowOff>
    </xdr:to>
    <xdr:sp macro="" textlink="">
      <xdr:nvSpPr>
        <xdr:cNvPr id="105" name="Text Box 9">
          <a:extLst>
            <a:ext uri="{FF2B5EF4-FFF2-40B4-BE49-F238E27FC236}">
              <a16:creationId xmlns:a16="http://schemas.microsoft.com/office/drawing/2014/main" id="{C890F4D2-35DE-443F-95E2-2A10AF5C2422}"/>
            </a:ext>
          </a:extLst>
        </xdr:cNvPr>
        <xdr:cNvSpPr txBox="1">
          <a:spLocks noChangeArrowheads="1"/>
        </xdr:cNvSpPr>
      </xdr:nvSpPr>
      <xdr:spPr bwMode="auto">
        <a:xfrm>
          <a:off x="21672551"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65</xdr:col>
      <xdr:colOff>40218</xdr:colOff>
      <xdr:row>14</xdr:row>
      <xdr:rowOff>699030</xdr:rowOff>
    </xdr:from>
    <xdr:to>
      <xdr:col>65</xdr:col>
      <xdr:colOff>487893</xdr:colOff>
      <xdr:row>15</xdr:row>
      <xdr:rowOff>14817</xdr:rowOff>
    </xdr:to>
    <xdr:sp macro="" textlink="">
      <xdr:nvSpPr>
        <xdr:cNvPr id="106" name="Text Box 9">
          <a:extLst>
            <a:ext uri="{FF2B5EF4-FFF2-40B4-BE49-F238E27FC236}">
              <a16:creationId xmlns:a16="http://schemas.microsoft.com/office/drawing/2014/main" id="{0E4B7CD7-5173-4D0D-B6C2-63A8E23CE408}"/>
            </a:ext>
          </a:extLst>
        </xdr:cNvPr>
        <xdr:cNvSpPr txBox="1">
          <a:spLocks noChangeArrowheads="1"/>
        </xdr:cNvSpPr>
      </xdr:nvSpPr>
      <xdr:spPr bwMode="auto">
        <a:xfrm>
          <a:off x="21672551"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65</xdr:col>
      <xdr:colOff>40218</xdr:colOff>
      <xdr:row>17</xdr:row>
      <xdr:rowOff>699030</xdr:rowOff>
    </xdr:from>
    <xdr:to>
      <xdr:col>65</xdr:col>
      <xdr:colOff>487893</xdr:colOff>
      <xdr:row>18</xdr:row>
      <xdr:rowOff>14817</xdr:rowOff>
    </xdr:to>
    <xdr:sp macro="" textlink="">
      <xdr:nvSpPr>
        <xdr:cNvPr id="107" name="Text Box 9">
          <a:extLst>
            <a:ext uri="{FF2B5EF4-FFF2-40B4-BE49-F238E27FC236}">
              <a16:creationId xmlns:a16="http://schemas.microsoft.com/office/drawing/2014/main" id="{1920C6C0-1240-4CAA-91FA-91BC7E172527}"/>
            </a:ext>
          </a:extLst>
        </xdr:cNvPr>
        <xdr:cNvSpPr txBox="1">
          <a:spLocks noChangeArrowheads="1"/>
        </xdr:cNvSpPr>
      </xdr:nvSpPr>
      <xdr:spPr bwMode="auto">
        <a:xfrm>
          <a:off x="21672551"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65</xdr:col>
      <xdr:colOff>40218</xdr:colOff>
      <xdr:row>20</xdr:row>
      <xdr:rowOff>699030</xdr:rowOff>
    </xdr:from>
    <xdr:to>
      <xdr:col>65</xdr:col>
      <xdr:colOff>487893</xdr:colOff>
      <xdr:row>21</xdr:row>
      <xdr:rowOff>14817</xdr:rowOff>
    </xdr:to>
    <xdr:sp macro="" textlink="">
      <xdr:nvSpPr>
        <xdr:cNvPr id="108" name="Text Box 9">
          <a:extLst>
            <a:ext uri="{FF2B5EF4-FFF2-40B4-BE49-F238E27FC236}">
              <a16:creationId xmlns:a16="http://schemas.microsoft.com/office/drawing/2014/main" id="{D182722C-82D4-4349-8B09-68024857B42B}"/>
            </a:ext>
          </a:extLst>
        </xdr:cNvPr>
        <xdr:cNvSpPr txBox="1">
          <a:spLocks noChangeArrowheads="1"/>
        </xdr:cNvSpPr>
      </xdr:nvSpPr>
      <xdr:spPr bwMode="auto">
        <a:xfrm>
          <a:off x="21672551"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65</xdr:col>
      <xdr:colOff>40218</xdr:colOff>
      <xdr:row>23</xdr:row>
      <xdr:rowOff>699030</xdr:rowOff>
    </xdr:from>
    <xdr:to>
      <xdr:col>65</xdr:col>
      <xdr:colOff>487893</xdr:colOff>
      <xdr:row>24</xdr:row>
      <xdr:rowOff>14817</xdr:rowOff>
    </xdr:to>
    <xdr:sp macro="" textlink="">
      <xdr:nvSpPr>
        <xdr:cNvPr id="109" name="Text Box 9">
          <a:extLst>
            <a:ext uri="{FF2B5EF4-FFF2-40B4-BE49-F238E27FC236}">
              <a16:creationId xmlns:a16="http://schemas.microsoft.com/office/drawing/2014/main" id="{EE6BB28C-7941-4F72-BBFD-E495BE883360}"/>
            </a:ext>
          </a:extLst>
        </xdr:cNvPr>
        <xdr:cNvSpPr txBox="1">
          <a:spLocks noChangeArrowheads="1"/>
        </xdr:cNvSpPr>
      </xdr:nvSpPr>
      <xdr:spPr bwMode="auto">
        <a:xfrm>
          <a:off x="21672551"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65</xdr:col>
      <xdr:colOff>40218</xdr:colOff>
      <xdr:row>26</xdr:row>
      <xdr:rowOff>699030</xdr:rowOff>
    </xdr:from>
    <xdr:to>
      <xdr:col>65</xdr:col>
      <xdr:colOff>487893</xdr:colOff>
      <xdr:row>27</xdr:row>
      <xdr:rowOff>14817</xdr:rowOff>
    </xdr:to>
    <xdr:sp macro="" textlink="">
      <xdr:nvSpPr>
        <xdr:cNvPr id="110" name="Text Box 9">
          <a:extLst>
            <a:ext uri="{FF2B5EF4-FFF2-40B4-BE49-F238E27FC236}">
              <a16:creationId xmlns:a16="http://schemas.microsoft.com/office/drawing/2014/main" id="{1C3DBB12-C753-47E8-A31C-1DEBB2882096}"/>
            </a:ext>
          </a:extLst>
        </xdr:cNvPr>
        <xdr:cNvSpPr txBox="1">
          <a:spLocks noChangeArrowheads="1"/>
        </xdr:cNvSpPr>
      </xdr:nvSpPr>
      <xdr:spPr bwMode="auto">
        <a:xfrm>
          <a:off x="21672551"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65</xdr:col>
      <xdr:colOff>40218</xdr:colOff>
      <xdr:row>29</xdr:row>
      <xdr:rowOff>699030</xdr:rowOff>
    </xdr:from>
    <xdr:to>
      <xdr:col>65</xdr:col>
      <xdr:colOff>487893</xdr:colOff>
      <xdr:row>30</xdr:row>
      <xdr:rowOff>14817</xdr:rowOff>
    </xdr:to>
    <xdr:sp macro="" textlink="">
      <xdr:nvSpPr>
        <xdr:cNvPr id="111" name="Text Box 9">
          <a:extLst>
            <a:ext uri="{FF2B5EF4-FFF2-40B4-BE49-F238E27FC236}">
              <a16:creationId xmlns:a16="http://schemas.microsoft.com/office/drawing/2014/main" id="{76FBDE18-A024-469B-91BE-BB75D1AAAD18}"/>
            </a:ext>
          </a:extLst>
        </xdr:cNvPr>
        <xdr:cNvSpPr txBox="1">
          <a:spLocks noChangeArrowheads="1"/>
        </xdr:cNvSpPr>
      </xdr:nvSpPr>
      <xdr:spPr bwMode="auto">
        <a:xfrm>
          <a:off x="21672551"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65</xdr:col>
      <xdr:colOff>40218</xdr:colOff>
      <xdr:row>32</xdr:row>
      <xdr:rowOff>699030</xdr:rowOff>
    </xdr:from>
    <xdr:to>
      <xdr:col>65</xdr:col>
      <xdr:colOff>487893</xdr:colOff>
      <xdr:row>33</xdr:row>
      <xdr:rowOff>14817</xdr:rowOff>
    </xdr:to>
    <xdr:sp macro="" textlink="">
      <xdr:nvSpPr>
        <xdr:cNvPr id="112" name="Text Box 9">
          <a:extLst>
            <a:ext uri="{FF2B5EF4-FFF2-40B4-BE49-F238E27FC236}">
              <a16:creationId xmlns:a16="http://schemas.microsoft.com/office/drawing/2014/main" id="{56FE1967-5BF4-4239-9551-14CDC43D6010}"/>
            </a:ext>
          </a:extLst>
        </xdr:cNvPr>
        <xdr:cNvSpPr txBox="1">
          <a:spLocks noChangeArrowheads="1"/>
        </xdr:cNvSpPr>
      </xdr:nvSpPr>
      <xdr:spPr bwMode="auto">
        <a:xfrm>
          <a:off x="21672551"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65</xdr:col>
      <xdr:colOff>40218</xdr:colOff>
      <xdr:row>35</xdr:row>
      <xdr:rowOff>699030</xdr:rowOff>
    </xdr:from>
    <xdr:to>
      <xdr:col>65</xdr:col>
      <xdr:colOff>487893</xdr:colOff>
      <xdr:row>36</xdr:row>
      <xdr:rowOff>14817</xdr:rowOff>
    </xdr:to>
    <xdr:sp macro="" textlink="">
      <xdr:nvSpPr>
        <xdr:cNvPr id="113" name="Text Box 9">
          <a:extLst>
            <a:ext uri="{FF2B5EF4-FFF2-40B4-BE49-F238E27FC236}">
              <a16:creationId xmlns:a16="http://schemas.microsoft.com/office/drawing/2014/main" id="{8A814EE1-7AC9-4359-82D8-C0A25E9A4777}"/>
            </a:ext>
          </a:extLst>
        </xdr:cNvPr>
        <xdr:cNvSpPr txBox="1">
          <a:spLocks noChangeArrowheads="1"/>
        </xdr:cNvSpPr>
      </xdr:nvSpPr>
      <xdr:spPr bwMode="auto">
        <a:xfrm>
          <a:off x="21672551"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⑯</a:t>
          </a:r>
          <a:endParaRPr lang="ja-JP" altLang="en-US"/>
        </a:p>
      </xdr:txBody>
    </xdr:sp>
    <xdr:clientData/>
  </xdr:twoCellAnchor>
  <xdr:twoCellAnchor>
    <xdr:from>
      <xdr:col>28</xdr:col>
      <xdr:colOff>252413</xdr:colOff>
      <xdr:row>14</xdr:row>
      <xdr:rowOff>676275</xdr:rowOff>
    </xdr:from>
    <xdr:to>
      <xdr:col>29</xdr:col>
      <xdr:colOff>228600</xdr:colOff>
      <xdr:row>15</xdr:row>
      <xdr:rowOff>23018</xdr:rowOff>
    </xdr:to>
    <xdr:sp macro="" textlink="">
      <xdr:nvSpPr>
        <xdr:cNvPr id="135" name="Text Box 9">
          <a:extLst>
            <a:ext uri="{FF2B5EF4-FFF2-40B4-BE49-F238E27FC236}">
              <a16:creationId xmlns:a16="http://schemas.microsoft.com/office/drawing/2014/main" id="{CF0355CA-6836-4A93-9A2A-AC13108C5523}"/>
            </a:ext>
          </a:extLst>
        </xdr:cNvPr>
        <xdr:cNvSpPr txBox="1">
          <a:spLocks noChangeArrowheads="1"/>
        </xdr:cNvSpPr>
      </xdr:nvSpPr>
      <xdr:spPr bwMode="auto">
        <a:xfrm>
          <a:off x="11153246" y="2962275"/>
          <a:ext cx="2936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17</xdr:row>
      <xdr:rowOff>676275</xdr:rowOff>
    </xdr:from>
    <xdr:to>
      <xdr:col>29</xdr:col>
      <xdr:colOff>228600</xdr:colOff>
      <xdr:row>18</xdr:row>
      <xdr:rowOff>23018</xdr:rowOff>
    </xdr:to>
    <xdr:sp macro="" textlink="">
      <xdr:nvSpPr>
        <xdr:cNvPr id="136" name="Text Box 9">
          <a:extLst>
            <a:ext uri="{FF2B5EF4-FFF2-40B4-BE49-F238E27FC236}">
              <a16:creationId xmlns:a16="http://schemas.microsoft.com/office/drawing/2014/main" id="{8E35C436-CB18-43E6-BA11-A73E6BE24D4C}"/>
            </a:ext>
          </a:extLst>
        </xdr:cNvPr>
        <xdr:cNvSpPr txBox="1">
          <a:spLocks noChangeArrowheads="1"/>
        </xdr:cNvSpPr>
      </xdr:nvSpPr>
      <xdr:spPr bwMode="auto">
        <a:xfrm>
          <a:off x="11153246" y="4237567"/>
          <a:ext cx="293687" cy="18784"/>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20</xdr:row>
      <xdr:rowOff>676275</xdr:rowOff>
    </xdr:from>
    <xdr:to>
      <xdr:col>29</xdr:col>
      <xdr:colOff>228600</xdr:colOff>
      <xdr:row>21</xdr:row>
      <xdr:rowOff>23018</xdr:rowOff>
    </xdr:to>
    <xdr:sp macro="" textlink="">
      <xdr:nvSpPr>
        <xdr:cNvPr id="137" name="Text Box 9">
          <a:extLst>
            <a:ext uri="{FF2B5EF4-FFF2-40B4-BE49-F238E27FC236}">
              <a16:creationId xmlns:a16="http://schemas.microsoft.com/office/drawing/2014/main" id="{F28ED107-2C08-40A9-A2DD-0C18882B65EC}"/>
            </a:ext>
          </a:extLst>
        </xdr:cNvPr>
        <xdr:cNvSpPr txBox="1">
          <a:spLocks noChangeArrowheads="1"/>
        </xdr:cNvSpPr>
      </xdr:nvSpPr>
      <xdr:spPr bwMode="auto">
        <a:xfrm>
          <a:off x="11153246" y="5253567"/>
          <a:ext cx="293687" cy="18784"/>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23</xdr:row>
      <xdr:rowOff>676275</xdr:rowOff>
    </xdr:from>
    <xdr:to>
      <xdr:col>29</xdr:col>
      <xdr:colOff>228600</xdr:colOff>
      <xdr:row>24</xdr:row>
      <xdr:rowOff>23018</xdr:rowOff>
    </xdr:to>
    <xdr:sp macro="" textlink="">
      <xdr:nvSpPr>
        <xdr:cNvPr id="138" name="Text Box 9">
          <a:extLst>
            <a:ext uri="{FF2B5EF4-FFF2-40B4-BE49-F238E27FC236}">
              <a16:creationId xmlns:a16="http://schemas.microsoft.com/office/drawing/2014/main" id="{55F1AEFE-81B4-4343-9512-390F8FCDD1AB}"/>
            </a:ext>
          </a:extLst>
        </xdr:cNvPr>
        <xdr:cNvSpPr txBox="1">
          <a:spLocks noChangeArrowheads="1"/>
        </xdr:cNvSpPr>
      </xdr:nvSpPr>
      <xdr:spPr bwMode="auto">
        <a:xfrm>
          <a:off x="11153246" y="2962275"/>
          <a:ext cx="2936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26</xdr:row>
      <xdr:rowOff>676275</xdr:rowOff>
    </xdr:from>
    <xdr:to>
      <xdr:col>29</xdr:col>
      <xdr:colOff>228600</xdr:colOff>
      <xdr:row>27</xdr:row>
      <xdr:rowOff>23018</xdr:rowOff>
    </xdr:to>
    <xdr:sp macro="" textlink="">
      <xdr:nvSpPr>
        <xdr:cNvPr id="139" name="Text Box 9">
          <a:extLst>
            <a:ext uri="{FF2B5EF4-FFF2-40B4-BE49-F238E27FC236}">
              <a16:creationId xmlns:a16="http://schemas.microsoft.com/office/drawing/2014/main" id="{86B6EC6F-DE67-4619-A783-86588D728C95}"/>
            </a:ext>
          </a:extLst>
        </xdr:cNvPr>
        <xdr:cNvSpPr txBox="1">
          <a:spLocks noChangeArrowheads="1"/>
        </xdr:cNvSpPr>
      </xdr:nvSpPr>
      <xdr:spPr bwMode="auto">
        <a:xfrm>
          <a:off x="11153246" y="4237567"/>
          <a:ext cx="293687" cy="18784"/>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29</xdr:row>
      <xdr:rowOff>676275</xdr:rowOff>
    </xdr:from>
    <xdr:to>
      <xdr:col>29</xdr:col>
      <xdr:colOff>228600</xdr:colOff>
      <xdr:row>30</xdr:row>
      <xdr:rowOff>23018</xdr:rowOff>
    </xdr:to>
    <xdr:sp macro="" textlink="">
      <xdr:nvSpPr>
        <xdr:cNvPr id="140" name="Text Box 9">
          <a:extLst>
            <a:ext uri="{FF2B5EF4-FFF2-40B4-BE49-F238E27FC236}">
              <a16:creationId xmlns:a16="http://schemas.microsoft.com/office/drawing/2014/main" id="{4F882A9C-4351-4550-8ABB-A3480110D71D}"/>
            </a:ext>
          </a:extLst>
        </xdr:cNvPr>
        <xdr:cNvSpPr txBox="1">
          <a:spLocks noChangeArrowheads="1"/>
        </xdr:cNvSpPr>
      </xdr:nvSpPr>
      <xdr:spPr bwMode="auto">
        <a:xfrm>
          <a:off x="11153246" y="5253567"/>
          <a:ext cx="293687" cy="18784"/>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32</xdr:row>
      <xdr:rowOff>676275</xdr:rowOff>
    </xdr:from>
    <xdr:to>
      <xdr:col>29</xdr:col>
      <xdr:colOff>228600</xdr:colOff>
      <xdr:row>33</xdr:row>
      <xdr:rowOff>23018</xdr:rowOff>
    </xdr:to>
    <xdr:sp macro="" textlink="">
      <xdr:nvSpPr>
        <xdr:cNvPr id="141" name="Text Box 9">
          <a:extLst>
            <a:ext uri="{FF2B5EF4-FFF2-40B4-BE49-F238E27FC236}">
              <a16:creationId xmlns:a16="http://schemas.microsoft.com/office/drawing/2014/main" id="{5E6F1C8A-2389-49AC-B580-80B0D408EAB8}"/>
            </a:ext>
          </a:extLst>
        </xdr:cNvPr>
        <xdr:cNvSpPr txBox="1">
          <a:spLocks noChangeArrowheads="1"/>
        </xdr:cNvSpPr>
      </xdr:nvSpPr>
      <xdr:spPr bwMode="auto">
        <a:xfrm>
          <a:off x="11153246" y="2962275"/>
          <a:ext cx="2936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35</xdr:row>
      <xdr:rowOff>676275</xdr:rowOff>
    </xdr:from>
    <xdr:to>
      <xdr:col>29</xdr:col>
      <xdr:colOff>228600</xdr:colOff>
      <xdr:row>36</xdr:row>
      <xdr:rowOff>23018</xdr:rowOff>
    </xdr:to>
    <xdr:sp macro="" textlink="">
      <xdr:nvSpPr>
        <xdr:cNvPr id="142" name="Text Box 9">
          <a:extLst>
            <a:ext uri="{FF2B5EF4-FFF2-40B4-BE49-F238E27FC236}">
              <a16:creationId xmlns:a16="http://schemas.microsoft.com/office/drawing/2014/main" id="{F06884A9-D2B8-4E14-8786-53AE7B5669D0}"/>
            </a:ext>
          </a:extLst>
        </xdr:cNvPr>
        <xdr:cNvSpPr txBox="1">
          <a:spLocks noChangeArrowheads="1"/>
        </xdr:cNvSpPr>
      </xdr:nvSpPr>
      <xdr:spPr bwMode="auto">
        <a:xfrm>
          <a:off x="11153246" y="4237567"/>
          <a:ext cx="293687" cy="18784"/>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38</xdr:row>
      <xdr:rowOff>676275</xdr:rowOff>
    </xdr:from>
    <xdr:to>
      <xdr:col>29</xdr:col>
      <xdr:colOff>228600</xdr:colOff>
      <xdr:row>39</xdr:row>
      <xdr:rowOff>23018</xdr:rowOff>
    </xdr:to>
    <xdr:sp macro="" textlink="">
      <xdr:nvSpPr>
        <xdr:cNvPr id="143" name="Text Box 9">
          <a:extLst>
            <a:ext uri="{FF2B5EF4-FFF2-40B4-BE49-F238E27FC236}">
              <a16:creationId xmlns:a16="http://schemas.microsoft.com/office/drawing/2014/main" id="{927C8EED-A144-4A5B-AB6F-13F33A93295F}"/>
            </a:ext>
          </a:extLst>
        </xdr:cNvPr>
        <xdr:cNvSpPr txBox="1">
          <a:spLocks noChangeArrowheads="1"/>
        </xdr:cNvSpPr>
      </xdr:nvSpPr>
      <xdr:spPr bwMode="auto">
        <a:xfrm>
          <a:off x="11153246" y="5253567"/>
          <a:ext cx="293687" cy="18784"/>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48</xdr:col>
      <xdr:colOff>52124</xdr:colOff>
      <xdr:row>8</xdr:row>
      <xdr:rowOff>691886</xdr:rowOff>
    </xdr:from>
    <xdr:to>
      <xdr:col>48</xdr:col>
      <xdr:colOff>499799</xdr:colOff>
      <xdr:row>9</xdr:row>
      <xdr:rowOff>7673</xdr:rowOff>
    </xdr:to>
    <xdr:sp macro="" textlink="">
      <xdr:nvSpPr>
        <xdr:cNvPr id="146" name="Text Box 9">
          <a:extLst>
            <a:ext uri="{FF2B5EF4-FFF2-40B4-BE49-F238E27FC236}">
              <a16:creationId xmlns:a16="http://schemas.microsoft.com/office/drawing/2014/main" id="{D9793C22-AE23-4349-97E3-22F00453F919}"/>
            </a:ext>
          </a:extLst>
        </xdr:cNvPr>
        <xdr:cNvSpPr txBox="1">
          <a:spLocks noChangeArrowheads="1"/>
        </xdr:cNvSpPr>
      </xdr:nvSpPr>
      <xdr:spPr bwMode="auto">
        <a:xfrm>
          <a:off x="19536041" y="2977886"/>
          <a:ext cx="438150"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⑬</a:t>
          </a:r>
          <a:endParaRPr lang="ja-JP" altLang="en-US"/>
        </a:p>
      </xdr:txBody>
    </xdr:sp>
    <xdr:clientData/>
  </xdr:twoCellAnchor>
  <xdr:twoCellAnchor>
    <xdr:from>
      <xdr:col>48</xdr:col>
      <xdr:colOff>52124</xdr:colOff>
      <xdr:row>8</xdr:row>
      <xdr:rowOff>691886</xdr:rowOff>
    </xdr:from>
    <xdr:to>
      <xdr:col>48</xdr:col>
      <xdr:colOff>499799</xdr:colOff>
      <xdr:row>9</xdr:row>
      <xdr:rowOff>7673</xdr:rowOff>
    </xdr:to>
    <xdr:sp macro="" textlink="">
      <xdr:nvSpPr>
        <xdr:cNvPr id="148" name="Text Box 9">
          <a:extLst>
            <a:ext uri="{FF2B5EF4-FFF2-40B4-BE49-F238E27FC236}">
              <a16:creationId xmlns:a16="http://schemas.microsoft.com/office/drawing/2014/main" id="{65288BA6-8EDD-402A-9CDB-CB7ED9950D47}"/>
            </a:ext>
          </a:extLst>
        </xdr:cNvPr>
        <xdr:cNvSpPr txBox="1">
          <a:spLocks noChangeArrowheads="1"/>
        </xdr:cNvSpPr>
      </xdr:nvSpPr>
      <xdr:spPr bwMode="auto">
        <a:xfrm>
          <a:off x="19536041" y="2977886"/>
          <a:ext cx="438150"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⑬</a:t>
          </a:r>
          <a:endParaRPr lang="ja-JP" altLang="en-US"/>
        </a:p>
      </xdr:txBody>
    </xdr:sp>
    <xdr:clientData/>
  </xdr:twoCellAnchor>
  <xdr:twoCellAnchor>
    <xdr:from>
      <xdr:col>49</xdr:col>
      <xdr:colOff>40218</xdr:colOff>
      <xdr:row>11</xdr:row>
      <xdr:rowOff>699030</xdr:rowOff>
    </xdr:from>
    <xdr:to>
      <xdr:col>49</xdr:col>
      <xdr:colOff>487893</xdr:colOff>
      <xdr:row>12</xdr:row>
      <xdr:rowOff>14817</xdr:rowOff>
    </xdr:to>
    <xdr:sp macro="" textlink="">
      <xdr:nvSpPr>
        <xdr:cNvPr id="149" name="Text Box 9">
          <a:extLst>
            <a:ext uri="{FF2B5EF4-FFF2-40B4-BE49-F238E27FC236}">
              <a16:creationId xmlns:a16="http://schemas.microsoft.com/office/drawing/2014/main" id="{571816F4-9442-48A0-A4F7-FB704DE69F4F}"/>
            </a:ext>
          </a:extLst>
        </xdr:cNvPr>
        <xdr:cNvSpPr txBox="1">
          <a:spLocks noChangeArrowheads="1"/>
        </xdr:cNvSpPr>
      </xdr:nvSpPr>
      <xdr:spPr bwMode="auto">
        <a:xfrm>
          <a:off x="20010968"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48</xdr:col>
      <xdr:colOff>52124</xdr:colOff>
      <xdr:row>11</xdr:row>
      <xdr:rowOff>691886</xdr:rowOff>
    </xdr:from>
    <xdr:to>
      <xdr:col>48</xdr:col>
      <xdr:colOff>499799</xdr:colOff>
      <xdr:row>12</xdr:row>
      <xdr:rowOff>7673</xdr:rowOff>
    </xdr:to>
    <xdr:sp macro="" textlink="">
      <xdr:nvSpPr>
        <xdr:cNvPr id="150" name="Text Box 9">
          <a:extLst>
            <a:ext uri="{FF2B5EF4-FFF2-40B4-BE49-F238E27FC236}">
              <a16:creationId xmlns:a16="http://schemas.microsoft.com/office/drawing/2014/main" id="{387B961D-E7C7-4A4B-8768-8EA98B135F44}"/>
            </a:ext>
          </a:extLst>
        </xdr:cNvPr>
        <xdr:cNvSpPr txBox="1">
          <a:spLocks noChangeArrowheads="1"/>
        </xdr:cNvSpPr>
      </xdr:nvSpPr>
      <xdr:spPr bwMode="auto">
        <a:xfrm>
          <a:off x="19536041" y="2977886"/>
          <a:ext cx="438150"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⑬</a:t>
          </a:r>
          <a:endParaRPr lang="ja-JP" altLang="en-US"/>
        </a:p>
      </xdr:txBody>
    </xdr:sp>
    <xdr:clientData/>
  </xdr:twoCellAnchor>
  <xdr:twoCellAnchor>
    <xdr:from>
      <xdr:col>49</xdr:col>
      <xdr:colOff>40218</xdr:colOff>
      <xdr:row>14</xdr:row>
      <xdr:rowOff>699030</xdr:rowOff>
    </xdr:from>
    <xdr:to>
      <xdr:col>49</xdr:col>
      <xdr:colOff>487893</xdr:colOff>
      <xdr:row>15</xdr:row>
      <xdr:rowOff>14817</xdr:rowOff>
    </xdr:to>
    <xdr:sp macro="" textlink="">
      <xdr:nvSpPr>
        <xdr:cNvPr id="151" name="Text Box 9">
          <a:extLst>
            <a:ext uri="{FF2B5EF4-FFF2-40B4-BE49-F238E27FC236}">
              <a16:creationId xmlns:a16="http://schemas.microsoft.com/office/drawing/2014/main" id="{AA89CE62-BA3B-44E9-9E52-CE9B03C52CAD}"/>
            </a:ext>
          </a:extLst>
        </xdr:cNvPr>
        <xdr:cNvSpPr txBox="1">
          <a:spLocks noChangeArrowheads="1"/>
        </xdr:cNvSpPr>
      </xdr:nvSpPr>
      <xdr:spPr bwMode="auto">
        <a:xfrm>
          <a:off x="20010968"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48</xdr:col>
      <xdr:colOff>52124</xdr:colOff>
      <xdr:row>14</xdr:row>
      <xdr:rowOff>691886</xdr:rowOff>
    </xdr:from>
    <xdr:to>
      <xdr:col>48</xdr:col>
      <xdr:colOff>499799</xdr:colOff>
      <xdr:row>15</xdr:row>
      <xdr:rowOff>7673</xdr:rowOff>
    </xdr:to>
    <xdr:sp macro="" textlink="">
      <xdr:nvSpPr>
        <xdr:cNvPr id="152" name="Text Box 9">
          <a:extLst>
            <a:ext uri="{FF2B5EF4-FFF2-40B4-BE49-F238E27FC236}">
              <a16:creationId xmlns:a16="http://schemas.microsoft.com/office/drawing/2014/main" id="{BA274F1D-3E7D-4FE2-A2DC-54F0DCBBBF64}"/>
            </a:ext>
          </a:extLst>
        </xdr:cNvPr>
        <xdr:cNvSpPr txBox="1">
          <a:spLocks noChangeArrowheads="1"/>
        </xdr:cNvSpPr>
      </xdr:nvSpPr>
      <xdr:spPr bwMode="auto">
        <a:xfrm>
          <a:off x="19536041" y="2977886"/>
          <a:ext cx="438150"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⑬</a:t>
          </a:r>
          <a:endParaRPr lang="ja-JP" altLang="en-US"/>
        </a:p>
      </xdr:txBody>
    </xdr:sp>
    <xdr:clientData/>
  </xdr:twoCellAnchor>
  <xdr:twoCellAnchor>
    <xdr:from>
      <xdr:col>49</xdr:col>
      <xdr:colOff>40218</xdr:colOff>
      <xdr:row>17</xdr:row>
      <xdr:rowOff>699030</xdr:rowOff>
    </xdr:from>
    <xdr:to>
      <xdr:col>49</xdr:col>
      <xdr:colOff>487893</xdr:colOff>
      <xdr:row>18</xdr:row>
      <xdr:rowOff>14817</xdr:rowOff>
    </xdr:to>
    <xdr:sp macro="" textlink="">
      <xdr:nvSpPr>
        <xdr:cNvPr id="153" name="Text Box 9">
          <a:extLst>
            <a:ext uri="{FF2B5EF4-FFF2-40B4-BE49-F238E27FC236}">
              <a16:creationId xmlns:a16="http://schemas.microsoft.com/office/drawing/2014/main" id="{BAF376F9-A978-44B9-9E16-5302C75162D6}"/>
            </a:ext>
          </a:extLst>
        </xdr:cNvPr>
        <xdr:cNvSpPr txBox="1">
          <a:spLocks noChangeArrowheads="1"/>
        </xdr:cNvSpPr>
      </xdr:nvSpPr>
      <xdr:spPr bwMode="auto">
        <a:xfrm>
          <a:off x="20010968"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48</xdr:col>
      <xdr:colOff>52124</xdr:colOff>
      <xdr:row>17</xdr:row>
      <xdr:rowOff>691886</xdr:rowOff>
    </xdr:from>
    <xdr:to>
      <xdr:col>48</xdr:col>
      <xdr:colOff>499799</xdr:colOff>
      <xdr:row>18</xdr:row>
      <xdr:rowOff>7673</xdr:rowOff>
    </xdr:to>
    <xdr:sp macro="" textlink="">
      <xdr:nvSpPr>
        <xdr:cNvPr id="154" name="Text Box 9">
          <a:extLst>
            <a:ext uri="{FF2B5EF4-FFF2-40B4-BE49-F238E27FC236}">
              <a16:creationId xmlns:a16="http://schemas.microsoft.com/office/drawing/2014/main" id="{8C7C4231-FAD5-4206-97A5-35EBD7DA250E}"/>
            </a:ext>
          </a:extLst>
        </xdr:cNvPr>
        <xdr:cNvSpPr txBox="1">
          <a:spLocks noChangeArrowheads="1"/>
        </xdr:cNvSpPr>
      </xdr:nvSpPr>
      <xdr:spPr bwMode="auto">
        <a:xfrm>
          <a:off x="19536041" y="2977886"/>
          <a:ext cx="438150"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⑬</a:t>
          </a:r>
          <a:endParaRPr lang="ja-JP" altLang="en-US"/>
        </a:p>
      </xdr:txBody>
    </xdr:sp>
    <xdr:clientData/>
  </xdr:twoCellAnchor>
  <xdr:twoCellAnchor>
    <xdr:from>
      <xdr:col>49</xdr:col>
      <xdr:colOff>40218</xdr:colOff>
      <xdr:row>20</xdr:row>
      <xdr:rowOff>699030</xdr:rowOff>
    </xdr:from>
    <xdr:to>
      <xdr:col>49</xdr:col>
      <xdr:colOff>487893</xdr:colOff>
      <xdr:row>21</xdr:row>
      <xdr:rowOff>14817</xdr:rowOff>
    </xdr:to>
    <xdr:sp macro="" textlink="">
      <xdr:nvSpPr>
        <xdr:cNvPr id="155" name="Text Box 9">
          <a:extLst>
            <a:ext uri="{FF2B5EF4-FFF2-40B4-BE49-F238E27FC236}">
              <a16:creationId xmlns:a16="http://schemas.microsoft.com/office/drawing/2014/main" id="{4261FDA7-A9B5-496C-B88F-FE0E87D7C3AB}"/>
            </a:ext>
          </a:extLst>
        </xdr:cNvPr>
        <xdr:cNvSpPr txBox="1">
          <a:spLocks noChangeArrowheads="1"/>
        </xdr:cNvSpPr>
      </xdr:nvSpPr>
      <xdr:spPr bwMode="auto">
        <a:xfrm>
          <a:off x="20010968"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48</xdr:col>
      <xdr:colOff>52124</xdr:colOff>
      <xdr:row>20</xdr:row>
      <xdr:rowOff>691886</xdr:rowOff>
    </xdr:from>
    <xdr:to>
      <xdr:col>48</xdr:col>
      <xdr:colOff>499799</xdr:colOff>
      <xdr:row>21</xdr:row>
      <xdr:rowOff>7673</xdr:rowOff>
    </xdr:to>
    <xdr:sp macro="" textlink="">
      <xdr:nvSpPr>
        <xdr:cNvPr id="156" name="Text Box 9">
          <a:extLst>
            <a:ext uri="{FF2B5EF4-FFF2-40B4-BE49-F238E27FC236}">
              <a16:creationId xmlns:a16="http://schemas.microsoft.com/office/drawing/2014/main" id="{8FB4A0F0-A93B-4537-A5A9-BFB9C0749656}"/>
            </a:ext>
          </a:extLst>
        </xdr:cNvPr>
        <xdr:cNvSpPr txBox="1">
          <a:spLocks noChangeArrowheads="1"/>
        </xdr:cNvSpPr>
      </xdr:nvSpPr>
      <xdr:spPr bwMode="auto">
        <a:xfrm>
          <a:off x="19536041" y="2977886"/>
          <a:ext cx="438150"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⑬</a:t>
          </a:r>
          <a:endParaRPr lang="ja-JP" altLang="en-US"/>
        </a:p>
      </xdr:txBody>
    </xdr:sp>
    <xdr:clientData/>
  </xdr:twoCellAnchor>
  <xdr:twoCellAnchor>
    <xdr:from>
      <xdr:col>49</xdr:col>
      <xdr:colOff>40218</xdr:colOff>
      <xdr:row>23</xdr:row>
      <xdr:rowOff>699030</xdr:rowOff>
    </xdr:from>
    <xdr:to>
      <xdr:col>49</xdr:col>
      <xdr:colOff>487893</xdr:colOff>
      <xdr:row>24</xdr:row>
      <xdr:rowOff>14817</xdr:rowOff>
    </xdr:to>
    <xdr:sp macro="" textlink="">
      <xdr:nvSpPr>
        <xdr:cNvPr id="157" name="Text Box 9">
          <a:extLst>
            <a:ext uri="{FF2B5EF4-FFF2-40B4-BE49-F238E27FC236}">
              <a16:creationId xmlns:a16="http://schemas.microsoft.com/office/drawing/2014/main" id="{57CB4E65-12E8-4026-A60B-FA3AF58DD2BB}"/>
            </a:ext>
          </a:extLst>
        </xdr:cNvPr>
        <xdr:cNvSpPr txBox="1">
          <a:spLocks noChangeArrowheads="1"/>
        </xdr:cNvSpPr>
      </xdr:nvSpPr>
      <xdr:spPr bwMode="auto">
        <a:xfrm>
          <a:off x="20010968"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48</xdr:col>
      <xdr:colOff>52124</xdr:colOff>
      <xdr:row>23</xdr:row>
      <xdr:rowOff>691886</xdr:rowOff>
    </xdr:from>
    <xdr:to>
      <xdr:col>48</xdr:col>
      <xdr:colOff>499799</xdr:colOff>
      <xdr:row>24</xdr:row>
      <xdr:rowOff>7673</xdr:rowOff>
    </xdr:to>
    <xdr:sp macro="" textlink="">
      <xdr:nvSpPr>
        <xdr:cNvPr id="158" name="Text Box 9">
          <a:extLst>
            <a:ext uri="{FF2B5EF4-FFF2-40B4-BE49-F238E27FC236}">
              <a16:creationId xmlns:a16="http://schemas.microsoft.com/office/drawing/2014/main" id="{DC5F214A-F835-493D-B4B8-DD041007DC7B}"/>
            </a:ext>
          </a:extLst>
        </xdr:cNvPr>
        <xdr:cNvSpPr txBox="1">
          <a:spLocks noChangeArrowheads="1"/>
        </xdr:cNvSpPr>
      </xdr:nvSpPr>
      <xdr:spPr bwMode="auto">
        <a:xfrm>
          <a:off x="19536041" y="2977886"/>
          <a:ext cx="438150"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⑬</a:t>
          </a:r>
          <a:endParaRPr lang="ja-JP" altLang="en-US"/>
        </a:p>
      </xdr:txBody>
    </xdr:sp>
    <xdr:clientData/>
  </xdr:twoCellAnchor>
  <xdr:twoCellAnchor>
    <xdr:from>
      <xdr:col>49</xdr:col>
      <xdr:colOff>40218</xdr:colOff>
      <xdr:row>26</xdr:row>
      <xdr:rowOff>699030</xdr:rowOff>
    </xdr:from>
    <xdr:to>
      <xdr:col>49</xdr:col>
      <xdr:colOff>487893</xdr:colOff>
      <xdr:row>27</xdr:row>
      <xdr:rowOff>14817</xdr:rowOff>
    </xdr:to>
    <xdr:sp macro="" textlink="">
      <xdr:nvSpPr>
        <xdr:cNvPr id="159" name="Text Box 9">
          <a:extLst>
            <a:ext uri="{FF2B5EF4-FFF2-40B4-BE49-F238E27FC236}">
              <a16:creationId xmlns:a16="http://schemas.microsoft.com/office/drawing/2014/main" id="{29517C28-A6EE-4891-B9CC-53B1A4408536}"/>
            </a:ext>
          </a:extLst>
        </xdr:cNvPr>
        <xdr:cNvSpPr txBox="1">
          <a:spLocks noChangeArrowheads="1"/>
        </xdr:cNvSpPr>
      </xdr:nvSpPr>
      <xdr:spPr bwMode="auto">
        <a:xfrm>
          <a:off x="20010968"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48</xdr:col>
      <xdr:colOff>52124</xdr:colOff>
      <xdr:row>26</xdr:row>
      <xdr:rowOff>691886</xdr:rowOff>
    </xdr:from>
    <xdr:to>
      <xdr:col>48</xdr:col>
      <xdr:colOff>499799</xdr:colOff>
      <xdr:row>27</xdr:row>
      <xdr:rowOff>7673</xdr:rowOff>
    </xdr:to>
    <xdr:sp macro="" textlink="">
      <xdr:nvSpPr>
        <xdr:cNvPr id="160" name="Text Box 9">
          <a:extLst>
            <a:ext uri="{FF2B5EF4-FFF2-40B4-BE49-F238E27FC236}">
              <a16:creationId xmlns:a16="http://schemas.microsoft.com/office/drawing/2014/main" id="{7A7E767F-279F-4954-AFBE-01387FC9DF21}"/>
            </a:ext>
          </a:extLst>
        </xdr:cNvPr>
        <xdr:cNvSpPr txBox="1">
          <a:spLocks noChangeArrowheads="1"/>
        </xdr:cNvSpPr>
      </xdr:nvSpPr>
      <xdr:spPr bwMode="auto">
        <a:xfrm>
          <a:off x="19536041" y="2977886"/>
          <a:ext cx="438150"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⑬</a:t>
          </a:r>
          <a:endParaRPr lang="ja-JP" altLang="en-US"/>
        </a:p>
      </xdr:txBody>
    </xdr:sp>
    <xdr:clientData/>
  </xdr:twoCellAnchor>
  <xdr:twoCellAnchor>
    <xdr:from>
      <xdr:col>49</xdr:col>
      <xdr:colOff>40218</xdr:colOff>
      <xdr:row>29</xdr:row>
      <xdr:rowOff>699030</xdr:rowOff>
    </xdr:from>
    <xdr:to>
      <xdr:col>49</xdr:col>
      <xdr:colOff>487893</xdr:colOff>
      <xdr:row>30</xdr:row>
      <xdr:rowOff>14817</xdr:rowOff>
    </xdr:to>
    <xdr:sp macro="" textlink="">
      <xdr:nvSpPr>
        <xdr:cNvPr id="161" name="Text Box 9">
          <a:extLst>
            <a:ext uri="{FF2B5EF4-FFF2-40B4-BE49-F238E27FC236}">
              <a16:creationId xmlns:a16="http://schemas.microsoft.com/office/drawing/2014/main" id="{88C1A37B-EF32-4748-9A45-31FFDE148017}"/>
            </a:ext>
          </a:extLst>
        </xdr:cNvPr>
        <xdr:cNvSpPr txBox="1">
          <a:spLocks noChangeArrowheads="1"/>
        </xdr:cNvSpPr>
      </xdr:nvSpPr>
      <xdr:spPr bwMode="auto">
        <a:xfrm>
          <a:off x="20010968"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48</xdr:col>
      <xdr:colOff>52124</xdr:colOff>
      <xdr:row>29</xdr:row>
      <xdr:rowOff>691886</xdr:rowOff>
    </xdr:from>
    <xdr:to>
      <xdr:col>48</xdr:col>
      <xdr:colOff>499799</xdr:colOff>
      <xdr:row>30</xdr:row>
      <xdr:rowOff>7673</xdr:rowOff>
    </xdr:to>
    <xdr:sp macro="" textlink="">
      <xdr:nvSpPr>
        <xdr:cNvPr id="162" name="Text Box 9">
          <a:extLst>
            <a:ext uri="{FF2B5EF4-FFF2-40B4-BE49-F238E27FC236}">
              <a16:creationId xmlns:a16="http://schemas.microsoft.com/office/drawing/2014/main" id="{3AAA45D4-3795-406F-85C8-7F205F5093AB}"/>
            </a:ext>
          </a:extLst>
        </xdr:cNvPr>
        <xdr:cNvSpPr txBox="1">
          <a:spLocks noChangeArrowheads="1"/>
        </xdr:cNvSpPr>
      </xdr:nvSpPr>
      <xdr:spPr bwMode="auto">
        <a:xfrm>
          <a:off x="19536041" y="2977886"/>
          <a:ext cx="438150"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⑬</a:t>
          </a:r>
          <a:endParaRPr lang="ja-JP" altLang="en-US"/>
        </a:p>
      </xdr:txBody>
    </xdr:sp>
    <xdr:clientData/>
  </xdr:twoCellAnchor>
  <xdr:twoCellAnchor>
    <xdr:from>
      <xdr:col>49</xdr:col>
      <xdr:colOff>40218</xdr:colOff>
      <xdr:row>32</xdr:row>
      <xdr:rowOff>699030</xdr:rowOff>
    </xdr:from>
    <xdr:to>
      <xdr:col>49</xdr:col>
      <xdr:colOff>487893</xdr:colOff>
      <xdr:row>33</xdr:row>
      <xdr:rowOff>14817</xdr:rowOff>
    </xdr:to>
    <xdr:sp macro="" textlink="">
      <xdr:nvSpPr>
        <xdr:cNvPr id="163" name="Text Box 9">
          <a:extLst>
            <a:ext uri="{FF2B5EF4-FFF2-40B4-BE49-F238E27FC236}">
              <a16:creationId xmlns:a16="http://schemas.microsoft.com/office/drawing/2014/main" id="{CB045F09-BE55-4189-B5B0-6CE9F271982D}"/>
            </a:ext>
          </a:extLst>
        </xdr:cNvPr>
        <xdr:cNvSpPr txBox="1">
          <a:spLocks noChangeArrowheads="1"/>
        </xdr:cNvSpPr>
      </xdr:nvSpPr>
      <xdr:spPr bwMode="auto">
        <a:xfrm>
          <a:off x="20010968"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48</xdr:col>
      <xdr:colOff>52124</xdr:colOff>
      <xdr:row>32</xdr:row>
      <xdr:rowOff>691886</xdr:rowOff>
    </xdr:from>
    <xdr:to>
      <xdr:col>48</xdr:col>
      <xdr:colOff>499799</xdr:colOff>
      <xdr:row>33</xdr:row>
      <xdr:rowOff>7673</xdr:rowOff>
    </xdr:to>
    <xdr:sp macro="" textlink="">
      <xdr:nvSpPr>
        <xdr:cNvPr id="164" name="Text Box 9">
          <a:extLst>
            <a:ext uri="{FF2B5EF4-FFF2-40B4-BE49-F238E27FC236}">
              <a16:creationId xmlns:a16="http://schemas.microsoft.com/office/drawing/2014/main" id="{4C29478A-DE8E-45AB-8D9D-2BDDC338FC30}"/>
            </a:ext>
          </a:extLst>
        </xdr:cNvPr>
        <xdr:cNvSpPr txBox="1">
          <a:spLocks noChangeArrowheads="1"/>
        </xdr:cNvSpPr>
      </xdr:nvSpPr>
      <xdr:spPr bwMode="auto">
        <a:xfrm>
          <a:off x="19536041" y="2977886"/>
          <a:ext cx="438150"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⑬</a:t>
          </a:r>
          <a:endParaRPr lang="ja-JP" altLang="en-US"/>
        </a:p>
      </xdr:txBody>
    </xdr:sp>
    <xdr:clientData/>
  </xdr:twoCellAnchor>
  <xdr:twoCellAnchor>
    <xdr:from>
      <xdr:col>49</xdr:col>
      <xdr:colOff>40218</xdr:colOff>
      <xdr:row>35</xdr:row>
      <xdr:rowOff>699030</xdr:rowOff>
    </xdr:from>
    <xdr:to>
      <xdr:col>49</xdr:col>
      <xdr:colOff>487893</xdr:colOff>
      <xdr:row>36</xdr:row>
      <xdr:rowOff>14817</xdr:rowOff>
    </xdr:to>
    <xdr:sp macro="" textlink="">
      <xdr:nvSpPr>
        <xdr:cNvPr id="165" name="Text Box 9">
          <a:extLst>
            <a:ext uri="{FF2B5EF4-FFF2-40B4-BE49-F238E27FC236}">
              <a16:creationId xmlns:a16="http://schemas.microsoft.com/office/drawing/2014/main" id="{36F40E40-B1E5-4B29-A32A-0C11AC9E169B}"/>
            </a:ext>
          </a:extLst>
        </xdr:cNvPr>
        <xdr:cNvSpPr txBox="1">
          <a:spLocks noChangeArrowheads="1"/>
        </xdr:cNvSpPr>
      </xdr:nvSpPr>
      <xdr:spPr bwMode="auto">
        <a:xfrm>
          <a:off x="20010968"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48</xdr:col>
      <xdr:colOff>52124</xdr:colOff>
      <xdr:row>35</xdr:row>
      <xdr:rowOff>691886</xdr:rowOff>
    </xdr:from>
    <xdr:to>
      <xdr:col>48</xdr:col>
      <xdr:colOff>499799</xdr:colOff>
      <xdr:row>36</xdr:row>
      <xdr:rowOff>7673</xdr:rowOff>
    </xdr:to>
    <xdr:sp macro="" textlink="">
      <xdr:nvSpPr>
        <xdr:cNvPr id="166" name="Text Box 9">
          <a:extLst>
            <a:ext uri="{FF2B5EF4-FFF2-40B4-BE49-F238E27FC236}">
              <a16:creationId xmlns:a16="http://schemas.microsoft.com/office/drawing/2014/main" id="{E440980A-B758-4F27-95AA-EA3E51E145E0}"/>
            </a:ext>
          </a:extLst>
        </xdr:cNvPr>
        <xdr:cNvSpPr txBox="1">
          <a:spLocks noChangeArrowheads="1"/>
        </xdr:cNvSpPr>
      </xdr:nvSpPr>
      <xdr:spPr bwMode="auto">
        <a:xfrm>
          <a:off x="19536041" y="2977886"/>
          <a:ext cx="438150"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⑬</a:t>
          </a:r>
          <a:endParaRPr lang="ja-JP" altLang="en-US"/>
        </a:p>
      </xdr:txBody>
    </xdr:sp>
    <xdr:clientData/>
  </xdr:twoCellAnchor>
  <xdr:twoCellAnchor>
    <xdr:from>
      <xdr:col>49</xdr:col>
      <xdr:colOff>40218</xdr:colOff>
      <xdr:row>38</xdr:row>
      <xdr:rowOff>699030</xdr:rowOff>
    </xdr:from>
    <xdr:to>
      <xdr:col>49</xdr:col>
      <xdr:colOff>487893</xdr:colOff>
      <xdr:row>39</xdr:row>
      <xdr:rowOff>14817</xdr:rowOff>
    </xdr:to>
    <xdr:sp macro="" textlink="">
      <xdr:nvSpPr>
        <xdr:cNvPr id="167" name="Text Box 9">
          <a:extLst>
            <a:ext uri="{FF2B5EF4-FFF2-40B4-BE49-F238E27FC236}">
              <a16:creationId xmlns:a16="http://schemas.microsoft.com/office/drawing/2014/main" id="{AD4B3D02-054A-4408-8D88-3413A41B603A}"/>
            </a:ext>
          </a:extLst>
        </xdr:cNvPr>
        <xdr:cNvSpPr txBox="1">
          <a:spLocks noChangeArrowheads="1"/>
        </xdr:cNvSpPr>
      </xdr:nvSpPr>
      <xdr:spPr bwMode="auto">
        <a:xfrm>
          <a:off x="20010968"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48</xdr:col>
      <xdr:colOff>52124</xdr:colOff>
      <xdr:row>38</xdr:row>
      <xdr:rowOff>691886</xdr:rowOff>
    </xdr:from>
    <xdr:to>
      <xdr:col>48</xdr:col>
      <xdr:colOff>499799</xdr:colOff>
      <xdr:row>39</xdr:row>
      <xdr:rowOff>7673</xdr:rowOff>
    </xdr:to>
    <xdr:sp macro="" textlink="">
      <xdr:nvSpPr>
        <xdr:cNvPr id="168" name="Text Box 9">
          <a:extLst>
            <a:ext uri="{FF2B5EF4-FFF2-40B4-BE49-F238E27FC236}">
              <a16:creationId xmlns:a16="http://schemas.microsoft.com/office/drawing/2014/main" id="{32ECFECA-5F7A-4B1B-A6A4-F3B03E356314}"/>
            </a:ext>
          </a:extLst>
        </xdr:cNvPr>
        <xdr:cNvSpPr txBox="1">
          <a:spLocks noChangeArrowheads="1"/>
        </xdr:cNvSpPr>
      </xdr:nvSpPr>
      <xdr:spPr bwMode="auto">
        <a:xfrm>
          <a:off x="19536041" y="2977886"/>
          <a:ext cx="438150"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⑬</a:t>
          </a:r>
          <a:endParaRPr lang="ja-JP" altLang="en-US"/>
        </a:p>
      </xdr:txBody>
    </xdr:sp>
    <xdr:clientData/>
  </xdr:twoCellAnchor>
  <xdr:twoCellAnchor>
    <xdr:from>
      <xdr:col>49</xdr:col>
      <xdr:colOff>40218</xdr:colOff>
      <xdr:row>41</xdr:row>
      <xdr:rowOff>699030</xdr:rowOff>
    </xdr:from>
    <xdr:to>
      <xdr:col>49</xdr:col>
      <xdr:colOff>487893</xdr:colOff>
      <xdr:row>42</xdr:row>
      <xdr:rowOff>14817</xdr:rowOff>
    </xdr:to>
    <xdr:sp macro="" textlink="">
      <xdr:nvSpPr>
        <xdr:cNvPr id="169" name="Text Box 9">
          <a:extLst>
            <a:ext uri="{FF2B5EF4-FFF2-40B4-BE49-F238E27FC236}">
              <a16:creationId xmlns:a16="http://schemas.microsoft.com/office/drawing/2014/main" id="{DA1C12A8-4B4D-473C-A192-B15BD74C507C}"/>
            </a:ext>
          </a:extLst>
        </xdr:cNvPr>
        <xdr:cNvSpPr txBox="1">
          <a:spLocks noChangeArrowheads="1"/>
        </xdr:cNvSpPr>
      </xdr:nvSpPr>
      <xdr:spPr bwMode="auto">
        <a:xfrm>
          <a:off x="20010968" y="2985030"/>
          <a:ext cx="447675"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48</xdr:col>
      <xdr:colOff>52124</xdr:colOff>
      <xdr:row>41</xdr:row>
      <xdr:rowOff>691886</xdr:rowOff>
    </xdr:from>
    <xdr:to>
      <xdr:col>48</xdr:col>
      <xdr:colOff>499799</xdr:colOff>
      <xdr:row>42</xdr:row>
      <xdr:rowOff>7673</xdr:rowOff>
    </xdr:to>
    <xdr:sp macro="" textlink="">
      <xdr:nvSpPr>
        <xdr:cNvPr id="170" name="Text Box 9">
          <a:extLst>
            <a:ext uri="{FF2B5EF4-FFF2-40B4-BE49-F238E27FC236}">
              <a16:creationId xmlns:a16="http://schemas.microsoft.com/office/drawing/2014/main" id="{BF0C5DFE-0992-4537-BCF7-79C33C78144D}"/>
            </a:ext>
          </a:extLst>
        </xdr:cNvPr>
        <xdr:cNvSpPr txBox="1">
          <a:spLocks noChangeArrowheads="1"/>
        </xdr:cNvSpPr>
      </xdr:nvSpPr>
      <xdr:spPr bwMode="auto">
        <a:xfrm>
          <a:off x="19536041" y="2977886"/>
          <a:ext cx="438150" cy="2471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⑬</a:t>
          </a:r>
          <a:endParaRPr lang="ja-JP" altLang="en-US"/>
        </a:p>
      </xdr:txBody>
    </xdr:sp>
    <xdr:clientData/>
  </xdr:twoCellAnchor>
  <xdr:twoCellAnchor>
    <xdr:from>
      <xdr:col>50</xdr:col>
      <xdr:colOff>40218</xdr:colOff>
      <xdr:row>8</xdr:row>
      <xdr:rowOff>699030</xdr:rowOff>
    </xdr:from>
    <xdr:to>
      <xdr:col>50</xdr:col>
      <xdr:colOff>487893</xdr:colOff>
      <xdr:row>9</xdr:row>
      <xdr:rowOff>14817</xdr:rowOff>
    </xdr:to>
    <xdr:sp macro="" textlink="">
      <xdr:nvSpPr>
        <xdr:cNvPr id="171" name="Text Box 9">
          <a:extLst>
            <a:ext uri="{FF2B5EF4-FFF2-40B4-BE49-F238E27FC236}">
              <a16:creationId xmlns:a16="http://schemas.microsoft.com/office/drawing/2014/main" id="{30EFA0FC-AC34-47DA-BE8D-DD96B42D681B}"/>
            </a:ext>
          </a:extLst>
        </xdr:cNvPr>
        <xdr:cNvSpPr txBox="1">
          <a:spLocks noChangeArrowheads="1"/>
        </xdr:cNvSpPr>
      </xdr:nvSpPr>
      <xdr:spPr bwMode="auto">
        <a:xfrm>
          <a:off x="20484332" y="2985030"/>
          <a:ext cx="447675" cy="250969"/>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8</xdr:row>
      <xdr:rowOff>657701</xdr:rowOff>
    </xdr:from>
    <xdr:to>
      <xdr:col>51</xdr:col>
      <xdr:colOff>647570</xdr:colOff>
      <xdr:row>9</xdr:row>
      <xdr:rowOff>7243</xdr:rowOff>
    </xdr:to>
    <xdr:sp macro="" textlink="">
      <xdr:nvSpPr>
        <xdr:cNvPr id="172" name="Text Box 1">
          <a:extLst>
            <a:ext uri="{FF2B5EF4-FFF2-40B4-BE49-F238E27FC236}">
              <a16:creationId xmlns:a16="http://schemas.microsoft.com/office/drawing/2014/main" id="{6400E44A-73D2-40AA-B854-A70ADD91FE2B}"/>
            </a:ext>
          </a:extLst>
        </xdr:cNvPr>
        <xdr:cNvSpPr txBox="1">
          <a:spLocks noChangeArrowheads="1"/>
        </xdr:cNvSpPr>
      </xdr:nvSpPr>
      <xdr:spPr bwMode="auto">
        <a:xfrm>
          <a:off x="21021416" y="2943701"/>
          <a:ext cx="498027" cy="284724"/>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50</xdr:col>
      <xdr:colOff>40218</xdr:colOff>
      <xdr:row>11</xdr:row>
      <xdr:rowOff>699030</xdr:rowOff>
    </xdr:from>
    <xdr:to>
      <xdr:col>50</xdr:col>
      <xdr:colOff>487893</xdr:colOff>
      <xdr:row>12</xdr:row>
      <xdr:rowOff>14817</xdr:rowOff>
    </xdr:to>
    <xdr:sp macro="" textlink="">
      <xdr:nvSpPr>
        <xdr:cNvPr id="173" name="Text Box 9">
          <a:extLst>
            <a:ext uri="{FF2B5EF4-FFF2-40B4-BE49-F238E27FC236}">
              <a16:creationId xmlns:a16="http://schemas.microsoft.com/office/drawing/2014/main" id="{6DE06CD6-76E8-47E9-AD74-7CB480BF1955}"/>
            </a:ext>
          </a:extLst>
        </xdr:cNvPr>
        <xdr:cNvSpPr txBox="1">
          <a:spLocks noChangeArrowheads="1"/>
        </xdr:cNvSpPr>
      </xdr:nvSpPr>
      <xdr:spPr bwMode="auto">
        <a:xfrm>
          <a:off x="20484332" y="2985030"/>
          <a:ext cx="447675" cy="250969"/>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11</xdr:row>
      <xdr:rowOff>657701</xdr:rowOff>
    </xdr:from>
    <xdr:to>
      <xdr:col>51</xdr:col>
      <xdr:colOff>647570</xdr:colOff>
      <xdr:row>12</xdr:row>
      <xdr:rowOff>7243</xdr:rowOff>
    </xdr:to>
    <xdr:sp macro="" textlink="">
      <xdr:nvSpPr>
        <xdr:cNvPr id="174" name="Text Box 1">
          <a:extLst>
            <a:ext uri="{FF2B5EF4-FFF2-40B4-BE49-F238E27FC236}">
              <a16:creationId xmlns:a16="http://schemas.microsoft.com/office/drawing/2014/main" id="{C810365C-69E0-4390-A5EE-F6F872E72E90}"/>
            </a:ext>
          </a:extLst>
        </xdr:cNvPr>
        <xdr:cNvSpPr txBox="1">
          <a:spLocks noChangeArrowheads="1"/>
        </xdr:cNvSpPr>
      </xdr:nvSpPr>
      <xdr:spPr bwMode="auto">
        <a:xfrm>
          <a:off x="21021416" y="2943701"/>
          <a:ext cx="498027" cy="284724"/>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51</xdr:col>
      <xdr:colOff>92393</xdr:colOff>
      <xdr:row>14</xdr:row>
      <xdr:rowOff>657701</xdr:rowOff>
    </xdr:from>
    <xdr:to>
      <xdr:col>51</xdr:col>
      <xdr:colOff>647570</xdr:colOff>
      <xdr:row>15</xdr:row>
      <xdr:rowOff>7243</xdr:rowOff>
    </xdr:to>
    <xdr:sp macro="" textlink="">
      <xdr:nvSpPr>
        <xdr:cNvPr id="175" name="Text Box 1">
          <a:extLst>
            <a:ext uri="{FF2B5EF4-FFF2-40B4-BE49-F238E27FC236}">
              <a16:creationId xmlns:a16="http://schemas.microsoft.com/office/drawing/2014/main" id="{3CFF1FB9-157A-4E60-B50A-EE3810609E9E}"/>
            </a:ext>
          </a:extLst>
        </xdr:cNvPr>
        <xdr:cNvSpPr txBox="1">
          <a:spLocks noChangeArrowheads="1"/>
        </xdr:cNvSpPr>
      </xdr:nvSpPr>
      <xdr:spPr bwMode="auto">
        <a:xfrm>
          <a:off x="21021416" y="4257285"/>
          <a:ext cx="498027" cy="10231"/>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50</xdr:col>
      <xdr:colOff>40218</xdr:colOff>
      <xdr:row>14</xdr:row>
      <xdr:rowOff>699030</xdr:rowOff>
    </xdr:from>
    <xdr:to>
      <xdr:col>50</xdr:col>
      <xdr:colOff>487893</xdr:colOff>
      <xdr:row>15</xdr:row>
      <xdr:rowOff>14817</xdr:rowOff>
    </xdr:to>
    <xdr:sp macro="" textlink="">
      <xdr:nvSpPr>
        <xdr:cNvPr id="176" name="Text Box 9">
          <a:extLst>
            <a:ext uri="{FF2B5EF4-FFF2-40B4-BE49-F238E27FC236}">
              <a16:creationId xmlns:a16="http://schemas.microsoft.com/office/drawing/2014/main" id="{B98628D8-AACF-4086-AC6D-5E90F82EAA9B}"/>
            </a:ext>
          </a:extLst>
        </xdr:cNvPr>
        <xdr:cNvSpPr txBox="1">
          <a:spLocks noChangeArrowheads="1"/>
        </xdr:cNvSpPr>
      </xdr:nvSpPr>
      <xdr:spPr bwMode="auto">
        <a:xfrm>
          <a:off x="20484332" y="2985030"/>
          <a:ext cx="447675" cy="250969"/>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14</xdr:row>
      <xdr:rowOff>657701</xdr:rowOff>
    </xdr:from>
    <xdr:to>
      <xdr:col>51</xdr:col>
      <xdr:colOff>647570</xdr:colOff>
      <xdr:row>15</xdr:row>
      <xdr:rowOff>7243</xdr:rowOff>
    </xdr:to>
    <xdr:sp macro="" textlink="">
      <xdr:nvSpPr>
        <xdr:cNvPr id="177" name="Text Box 1">
          <a:extLst>
            <a:ext uri="{FF2B5EF4-FFF2-40B4-BE49-F238E27FC236}">
              <a16:creationId xmlns:a16="http://schemas.microsoft.com/office/drawing/2014/main" id="{6F6F24AC-87CA-4905-960F-9B4856AF08E0}"/>
            </a:ext>
          </a:extLst>
        </xdr:cNvPr>
        <xdr:cNvSpPr txBox="1">
          <a:spLocks noChangeArrowheads="1"/>
        </xdr:cNvSpPr>
      </xdr:nvSpPr>
      <xdr:spPr bwMode="auto">
        <a:xfrm>
          <a:off x="21021416" y="2943701"/>
          <a:ext cx="498027" cy="284724"/>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51</xdr:col>
      <xdr:colOff>92393</xdr:colOff>
      <xdr:row>17</xdr:row>
      <xdr:rowOff>657701</xdr:rowOff>
    </xdr:from>
    <xdr:to>
      <xdr:col>51</xdr:col>
      <xdr:colOff>647570</xdr:colOff>
      <xdr:row>18</xdr:row>
      <xdr:rowOff>7243</xdr:rowOff>
    </xdr:to>
    <xdr:sp macro="" textlink="">
      <xdr:nvSpPr>
        <xdr:cNvPr id="178" name="Text Box 1">
          <a:extLst>
            <a:ext uri="{FF2B5EF4-FFF2-40B4-BE49-F238E27FC236}">
              <a16:creationId xmlns:a16="http://schemas.microsoft.com/office/drawing/2014/main" id="{7F91EC88-786E-43E8-B5AB-FB60CD33567F}"/>
            </a:ext>
          </a:extLst>
        </xdr:cNvPr>
        <xdr:cNvSpPr txBox="1">
          <a:spLocks noChangeArrowheads="1"/>
        </xdr:cNvSpPr>
      </xdr:nvSpPr>
      <xdr:spPr bwMode="auto">
        <a:xfrm>
          <a:off x="21021416" y="4257285"/>
          <a:ext cx="498027" cy="10231"/>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50</xdr:col>
      <xdr:colOff>40218</xdr:colOff>
      <xdr:row>17</xdr:row>
      <xdr:rowOff>699030</xdr:rowOff>
    </xdr:from>
    <xdr:to>
      <xdr:col>50</xdr:col>
      <xdr:colOff>487893</xdr:colOff>
      <xdr:row>18</xdr:row>
      <xdr:rowOff>14817</xdr:rowOff>
    </xdr:to>
    <xdr:sp macro="" textlink="">
      <xdr:nvSpPr>
        <xdr:cNvPr id="179" name="Text Box 9">
          <a:extLst>
            <a:ext uri="{FF2B5EF4-FFF2-40B4-BE49-F238E27FC236}">
              <a16:creationId xmlns:a16="http://schemas.microsoft.com/office/drawing/2014/main" id="{ADB1FF19-BE45-4FDF-B1BD-7C7E66246378}"/>
            </a:ext>
          </a:extLst>
        </xdr:cNvPr>
        <xdr:cNvSpPr txBox="1">
          <a:spLocks noChangeArrowheads="1"/>
        </xdr:cNvSpPr>
      </xdr:nvSpPr>
      <xdr:spPr bwMode="auto">
        <a:xfrm>
          <a:off x="20484332" y="2985030"/>
          <a:ext cx="447675" cy="250969"/>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17</xdr:row>
      <xdr:rowOff>657701</xdr:rowOff>
    </xdr:from>
    <xdr:to>
      <xdr:col>51</xdr:col>
      <xdr:colOff>647570</xdr:colOff>
      <xdr:row>18</xdr:row>
      <xdr:rowOff>7243</xdr:rowOff>
    </xdr:to>
    <xdr:sp macro="" textlink="">
      <xdr:nvSpPr>
        <xdr:cNvPr id="180" name="Text Box 1">
          <a:extLst>
            <a:ext uri="{FF2B5EF4-FFF2-40B4-BE49-F238E27FC236}">
              <a16:creationId xmlns:a16="http://schemas.microsoft.com/office/drawing/2014/main" id="{2F6CA57E-978F-4D38-A091-88046E2B2E08}"/>
            </a:ext>
          </a:extLst>
        </xdr:cNvPr>
        <xdr:cNvSpPr txBox="1">
          <a:spLocks noChangeArrowheads="1"/>
        </xdr:cNvSpPr>
      </xdr:nvSpPr>
      <xdr:spPr bwMode="auto">
        <a:xfrm>
          <a:off x="21021416" y="2943701"/>
          <a:ext cx="498027" cy="284724"/>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51</xdr:col>
      <xdr:colOff>92393</xdr:colOff>
      <xdr:row>20</xdr:row>
      <xdr:rowOff>657701</xdr:rowOff>
    </xdr:from>
    <xdr:to>
      <xdr:col>51</xdr:col>
      <xdr:colOff>647570</xdr:colOff>
      <xdr:row>21</xdr:row>
      <xdr:rowOff>7243</xdr:rowOff>
    </xdr:to>
    <xdr:sp macro="" textlink="">
      <xdr:nvSpPr>
        <xdr:cNvPr id="181" name="Text Box 1">
          <a:extLst>
            <a:ext uri="{FF2B5EF4-FFF2-40B4-BE49-F238E27FC236}">
              <a16:creationId xmlns:a16="http://schemas.microsoft.com/office/drawing/2014/main" id="{EC71ECF7-3280-434A-AA0C-97E500BDDDC6}"/>
            </a:ext>
          </a:extLst>
        </xdr:cNvPr>
        <xdr:cNvSpPr txBox="1">
          <a:spLocks noChangeArrowheads="1"/>
        </xdr:cNvSpPr>
      </xdr:nvSpPr>
      <xdr:spPr bwMode="auto">
        <a:xfrm>
          <a:off x="21021416" y="4257285"/>
          <a:ext cx="498027" cy="10231"/>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50</xdr:col>
      <xdr:colOff>40218</xdr:colOff>
      <xdr:row>20</xdr:row>
      <xdr:rowOff>699030</xdr:rowOff>
    </xdr:from>
    <xdr:to>
      <xdr:col>50</xdr:col>
      <xdr:colOff>487893</xdr:colOff>
      <xdr:row>21</xdr:row>
      <xdr:rowOff>14817</xdr:rowOff>
    </xdr:to>
    <xdr:sp macro="" textlink="">
      <xdr:nvSpPr>
        <xdr:cNvPr id="182" name="Text Box 9">
          <a:extLst>
            <a:ext uri="{FF2B5EF4-FFF2-40B4-BE49-F238E27FC236}">
              <a16:creationId xmlns:a16="http://schemas.microsoft.com/office/drawing/2014/main" id="{EE9E98B7-2578-4002-86A1-D9D0C02AD630}"/>
            </a:ext>
          </a:extLst>
        </xdr:cNvPr>
        <xdr:cNvSpPr txBox="1">
          <a:spLocks noChangeArrowheads="1"/>
        </xdr:cNvSpPr>
      </xdr:nvSpPr>
      <xdr:spPr bwMode="auto">
        <a:xfrm>
          <a:off x="20484332" y="2985030"/>
          <a:ext cx="447675" cy="250969"/>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23</xdr:row>
      <xdr:rowOff>657701</xdr:rowOff>
    </xdr:from>
    <xdr:to>
      <xdr:col>51</xdr:col>
      <xdr:colOff>647570</xdr:colOff>
      <xdr:row>24</xdr:row>
      <xdr:rowOff>7243</xdr:rowOff>
    </xdr:to>
    <xdr:sp macro="" textlink="">
      <xdr:nvSpPr>
        <xdr:cNvPr id="184" name="Text Box 1">
          <a:extLst>
            <a:ext uri="{FF2B5EF4-FFF2-40B4-BE49-F238E27FC236}">
              <a16:creationId xmlns:a16="http://schemas.microsoft.com/office/drawing/2014/main" id="{09963E2A-4F99-42F9-9F51-5C73CD93C5F5}"/>
            </a:ext>
          </a:extLst>
        </xdr:cNvPr>
        <xdr:cNvSpPr txBox="1">
          <a:spLocks noChangeArrowheads="1"/>
        </xdr:cNvSpPr>
      </xdr:nvSpPr>
      <xdr:spPr bwMode="auto">
        <a:xfrm>
          <a:off x="21021416" y="4257285"/>
          <a:ext cx="498027" cy="10231"/>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50</xdr:col>
      <xdr:colOff>40218</xdr:colOff>
      <xdr:row>23</xdr:row>
      <xdr:rowOff>699030</xdr:rowOff>
    </xdr:from>
    <xdr:to>
      <xdr:col>50</xdr:col>
      <xdr:colOff>487893</xdr:colOff>
      <xdr:row>24</xdr:row>
      <xdr:rowOff>14817</xdr:rowOff>
    </xdr:to>
    <xdr:sp macro="" textlink="">
      <xdr:nvSpPr>
        <xdr:cNvPr id="185" name="Text Box 9">
          <a:extLst>
            <a:ext uri="{FF2B5EF4-FFF2-40B4-BE49-F238E27FC236}">
              <a16:creationId xmlns:a16="http://schemas.microsoft.com/office/drawing/2014/main" id="{CED7C42E-7E64-43BE-93C1-115C3974E055}"/>
            </a:ext>
          </a:extLst>
        </xdr:cNvPr>
        <xdr:cNvSpPr txBox="1">
          <a:spLocks noChangeArrowheads="1"/>
        </xdr:cNvSpPr>
      </xdr:nvSpPr>
      <xdr:spPr bwMode="auto">
        <a:xfrm>
          <a:off x="20484332" y="2985030"/>
          <a:ext cx="447675" cy="250969"/>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26</xdr:row>
      <xdr:rowOff>657701</xdr:rowOff>
    </xdr:from>
    <xdr:to>
      <xdr:col>51</xdr:col>
      <xdr:colOff>647570</xdr:colOff>
      <xdr:row>27</xdr:row>
      <xdr:rowOff>7243</xdr:rowOff>
    </xdr:to>
    <xdr:sp macro="" textlink="">
      <xdr:nvSpPr>
        <xdr:cNvPr id="187" name="Text Box 1">
          <a:extLst>
            <a:ext uri="{FF2B5EF4-FFF2-40B4-BE49-F238E27FC236}">
              <a16:creationId xmlns:a16="http://schemas.microsoft.com/office/drawing/2014/main" id="{C7358CA7-5EEB-450A-B99F-8DD5F6F38CFF}"/>
            </a:ext>
          </a:extLst>
        </xdr:cNvPr>
        <xdr:cNvSpPr txBox="1">
          <a:spLocks noChangeArrowheads="1"/>
        </xdr:cNvSpPr>
      </xdr:nvSpPr>
      <xdr:spPr bwMode="auto">
        <a:xfrm>
          <a:off x="21021416" y="4257285"/>
          <a:ext cx="498027" cy="10231"/>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50</xdr:col>
      <xdr:colOff>40218</xdr:colOff>
      <xdr:row>26</xdr:row>
      <xdr:rowOff>699030</xdr:rowOff>
    </xdr:from>
    <xdr:to>
      <xdr:col>50</xdr:col>
      <xdr:colOff>487893</xdr:colOff>
      <xdr:row>27</xdr:row>
      <xdr:rowOff>14817</xdr:rowOff>
    </xdr:to>
    <xdr:sp macro="" textlink="">
      <xdr:nvSpPr>
        <xdr:cNvPr id="188" name="Text Box 9">
          <a:extLst>
            <a:ext uri="{FF2B5EF4-FFF2-40B4-BE49-F238E27FC236}">
              <a16:creationId xmlns:a16="http://schemas.microsoft.com/office/drawing/2014/main" id="{190389F7-8BAA-4997-ABF7-4BC4A78264E8}"/>
            </a:ext>
          </a:extLst>
        </xdr:cNvPr>
        <xdr:cNvSpPr txBox="1">
          <a:spLocks noChangeArrowheads="1"/>
        </xdr:cNvSpPr>
      </xdr:nvSpPr>
      <xdr:spPr bwMode="auto">
        <a:xfrm>
          <a:off x="20484332" y="2985030"/>
          <a:ext cx="447675" cy="250969"/>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29</xdr:row>
      <xdr:rowOff>657701</xdr:rowOff>
    </xdr:from>
    <xdr:to>
      <xdr:col>51</xdr:col>
      <xdr:colOff>647570</xdr:colOff>
      <xdr:row>30</xdr:row>
      <xdr:rowOff>7243</xdr:rowOff>
    </xdr:to>
    <xdr:sp macro="" textlink="">
      <xdr:nvSpPr>
        <xdr:cNvPr id="190" name="Text Box 1">
          <a:extLst>
            <a:ext uri="{FF2B5EF4-FFF2-40B4-BE49-F238E27FC236}">
              <a16:creationId xmlns:a16="http://schemas.microsoft.com/office/drawing/2014/main" id="{9B43D6FE-A299-4CAE-9092-349AEF00D2E3}"/>
            </a:ext>
          </a:extLst>
        </xdr:cNvPr>
        <xdr:cNvSpPr txBox="1">
          <a:spLocks noChangeArrowheads="1"/>
        </xdr:cNvSpPr>
      </xdr:nvSpPr>
      <xdr:spPr bwMode="auto">
        <a:xfrm>
          <a:off x="21021416" y="4257285"/>
          <a:ext cx="498027" cy="10231"/>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50</xdr:col>
      <xdr:colOff>40218</xdr:colOff>
      <xdr:row>29</xdr:row>
      <xdr:rowOff>699030</xdr:rowOff>
    </xdr:from>
    <xdr:to>
      <xdr:col>50</xdr:col>
      <xdr:colOff>487893</xdr:colOff>
      <xdr:row>30</xdr:row>
      <xdr:rowOff>14817</xdr:rowOff>
    </xdr:to>
    <xdr:sp macro="" textlink="">
      <xdr:nvSpPr>
        <xdr:cNvPr id="191" name="Text Box 9">
          <a:extLst>
            <a:ext uri="{FF2B5EF4-FFF2-40B4-BE49-F238E27FC236}">
              <a16:creationId xmlns:a16="http://schemas.microsoft.com/office/drawing/2014/main" id="{A50E5B1C-2645-4CEA-B89C-B1AAD79B45C3}"/>
            </a:ext>
          </a:extLst>
        </xdr:cNvPr>
        <xdr:cNvSpPr txBox="1">
          <a:spLocks noChangeArrowheads="1"/>
        </xdr:cNvSpPr>
      </xdr:nvSpPr>
      <xdr:spPr bwMode="auto">
        <a:xfrm>
          <a:off x="20484332" y="2985030"/>
          <a:ext cx="447675" cy="250969"/>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29</xdr:row>
      <xdr:rowOff>657701</xdr:rowOff>
    </xdr:from>
    <xdr:to>
      <xdr:col>51</xdr:col>
      <xdr:colOff>647570</xdr:colOff>
      <xdr:row>30</xdr:row>
      <xdr:rowOff>7243</xdr:rowOff>
    </xdr:to>
    <xdr:sp macro="" textlink="">
      <xdr:nvSpPr>
        <xdr:cNvPr id="192" name="Text Box 1">
          <a:extLst>
            <a:ext uri="{FF2B5EF4-FFF2-40B4-BE49-F238E27FC236}">
              <a16:creationId xmlns:a16="http://schemas.microsoft.com/office/drawing/2014/main" id="{462C95F5-776F-4676-A3A1-573636AC025D}"/>
            </a:ext>
          </a:extLst>
        </xdr:cNvPr>
        <xdr:cNvSpPr txBox="1">
          <a:spLocks noChangeArrowheads="1"/>
        </xdr:cNvSpPr>
      </xdr:nvSpPr>
      <xdr:spPr bwMode="auto">
        <a:xfrm>
          <a:off x="21021416" y="2943701"/>
          <a:ext cx="498027" cy="284724"/>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51</xdr:col>
      <xdr:colOff>92393</xdr:colOff>
      <xdr:row>32</xdr:row>
      <xdr:rowOff>657701</xdr:rowOff>
    </xdr:from>
    <xdr:to>
      <xdr:col>51</xdr:col>
      <xdr:colOff>647570</xdr:colOff>
      <xdr:row>33</xdr:row>
      <xdr:rowOff>7243</xdr:rowOff>
    </xdr:to>
    <xdr:sp macro="" textlink="">
      <xdr:nvSpPr>
        <xdr:cNvPr id="193" name="Text Box 1">
          <a:extLst>
            <a:ext uri="{FF2B5EF4-FFF2-40B4-BE49-F238E27FC236}">
              <a16:creationId xmlns:a16="http://schemas.microsoft.com/office/drawing/2014/main" id="{D102B9DB-F39B-484A-8707-C08EC28AB078}"/>
            </a:ext>
          </a:extLst>
        </xdr:cNvPr>
        <xdr:cNvSpPr txBox="1">
          <a:spLocks noChangeArrowheads="1"/>
        </xdr:cNvSpPr>
      </xdr:nvSpPr>
      <xdr:spPr bwMode="auto">
        <a:xfrm>
          <a:off x="21021416" y="4257285"/>
          <a:ext cx="498027" cy="10231"/>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50</xdr:col>
      <xdr:colOff>40218</xdr:colOff>
      <xdr:row>32</xdr:row>
      <xdr:rowOff>699030</xdr:rowOff>
    </xdr:from>
    <xdr:to>
      <xdr:col>50</xdr:col>
      <xdr:colOff>487893</xdr:colOff>
      <xdr:row>33</xdr:row>
      <xdr:rowOff>14817</xdr:rowOff>
    </xdr:to>
    <xdr:sp macro="" textlink="">
      <xdr:nvSpPr>
        <xdr:cNvPr id="194" name="Text Box 9">
          <a:extLst>
            <a:ext uri="{FF2B5EF4-FFF2-40B4-BE49-F238E27FC236}">
              <a16:creationId xmlns:a16="http://schemas.microsoft.com/office/drawing/2014/main" id="{95412B4C-84D6-45DD-BB67-DD22D4DE75DC}"/>
            </a:ext>
          </a:extLst>
        </xdr:cNvPr>
        <xdr:cNvSpPr txBox="1">
          <a:spLocks noChangeArrowheads="1"/>
        </xdr:cNvSpPr>
      </xdr:nvSpPr>
      <xdr:spPr bwMode="auto">
        <a:xfrm>
          <a:off x="20484332" y="2985030"/>
          <a:ext cx="447675" cy="250969"/>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32</xdr:row>
      <xdr:rowOff>657701</xdr:rowOff>
    </xdr:from>
    <xdr:to>
      <xdr:col>51</xdr:col>
      <xdr:colOff>647570</xdr:colOff>
      <xdr:row>33</xdr:row>
      <xdr:rowOff>7243</xdr:rowOff>
    </xdr:to>
    <xdr:sp macro="" textlink="">
      <xdr:nvSpPr>
        <xdr:cNvPr id="195" name="Text Box 1">
          <a:extLst>
            <a:ext uri="{FF2B5EF4-FFF2-40B4-BE49-F238E27FC236}">
              <a16:creationId xmlns:a16="http://schemas.microsoft.com/office/drawing/2014/main" id="{09A35CDD-7FD9-4021-A92B-37E8CF98BEE4}"/>
            </a:ext>
          </a:extLst>
        </xdr:cNvPr>
        <xdr:cNvSpPr txBox="1">
          <a:spLocks noChangeArrowheads="1"/>
        </xdr:cNvSpPr>
      </xdr:nvSpPr>
      <xdr:spPr bwMode="auto">
        <a:xfrm>
          <a:off x="21021416" y="2943701"/>
          <a:ext cx="498027" cy="284724"/>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51</xdr:col>
      <xdr:colOff>92393</xdr:colOff>
      <xdr:row>35</xdr:row>
      <xdr:rowOff>657701</xdr:rowOff>
    </xdr:from>
    <xdr:to>
      <xdr:col>51</xdr:col>
      <xdr:colOff>647570</xdr:colOff>
      <xdr:row>36</xdr:row>
      <xdr:rowOff>7243</xdr:rowOff>
    </xdr:to>
    <xdr:sp macro="" textlink="">
      <xdr:nvSpPr>
        <xdr:cNvPr id="196" name="Text Box 1">
          <a:extLst>
            <a:ext uri="{FF2B5EF4-FFF2-40B4-BE49-F238E27FC236}">
              <a16:creationId xmlns:a16="http://schemas.microsoft.com/office/drawing/2014/main" id="{00E154A2-A5E1-4513-9B5A-372792D69315}"/>
            </a:ext>
          </a:extLst>
        </xdr:cNvPr>
        <xdr:cNvSpPr txBox="1">
          <a:spLocks noChangeArrowheads="1"/>
        </xdr:cNvSpPr>
      </xdr:nvSpPr>
      <xdr:spPr bwMode="auto">
        <a:xfrm>
          <a:off x="21021416" y="4257285"/>
          <a:ext cx="498027" cy="10231"/>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50</xdr:col>
      <xdr:colOff>40218</xdr:colOff>
      <xdr:row>35</xdr:row>
      <xdr:rowOff>699030</xdr:rowOff>
    </xdr:from>
    <xdr:to>
      <xdr:col>50</xdr:col>
      <xdr:colOff>487893</xdr:colOff>
      <xdr:row>36</xdr:row>
      <xdr:rowOff>14817</xdr:rowOff>
    </xdr:to>
    <xdr:sp macro="" textlink="">
      <xdr:nvSpPr>
        <xdr:cNvPr id="197" name="Text Box 9">
          <a:extLst>
            <a:ext uri="{FF2B5EF4-FFF2-40B4-BE49-F238E27FC236}">
              <a16:creationId xmlns:a16="http://schemas.microsoft.com/office/drawing/2014/main" id="{78A45574-8CBF-4B10-94C5-D571C3878E8B}"/>
            </a:ext>
          </a:extLst>
        </xdr:cNvPr>
        <xdr:cNvSpPr txBox="1">
          <a:spLocks noChangeArrowheads="1"/>
        </xdr:cNvSpPr>
      </xdr:nvSpPr>
      <xdr:spPr bwMode="auto">
        <a:xfrm>
          <a:off x="20484332" y="2985030"/>
          <a:ext cx="447675" cy="250969"/>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38</xdr:row>
      <xdr:rowOff>657701</xdr:rowOff>
    </xdr:from>
    <xdr:to>
      <xdr:col>51</xdr:col>
      <xdr:colOff>647570</xdr:colOff>
      <xdr:row>39</xdr:row>
      <xdr:rowOff>7243</xdr:rowOff>
    </xdr:to>
    <xdr:sp macro="" textlink="">
      <xdr:nvSpPr>
        <xdr:cNvPr id="199" name="Text Box 1">
          <a:extLst>
            <a:ext uri="{FF2B5EF4-FFF2-40B4-BE49-F238E27FC236}">
              <a16:creationId xmlns:a16="http://schemas.microsoft.com/office/drawing/2014/main" id="{296186E4-9BB8-4DB7-B955-451A65E564BE}"/>
            </a:ext>
          </a:extLst>
        </xdr:cNvPr>
        <xdr:cNvSpPr txBox="1">
          <a:spLocks noChangeArrowheads="1"/>
        </xdr:cNvSpPr>
      </xdr:nvSpPr>
      <xdr:spPr bwMode="auto">
        <a:xfrm>
          <a:off x="21021416" y="4257285"/>
          <a:ext cx="498027" cy="10231"/>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50</xdr:col>
      <xdr:colOff>40218</xdr:colOff>
      <xdr:row>38</xdr:row>
      <xdr:rowOff>699030</xdr:rowOff>
    </xdr:from>
    <xdr:to>
      <xdr:col>50</xdr:col>
      <xdr:colOff>487893</xdr:colOff>
      <xdr:row>39</xdr:row>
      <xdr:rowOff>14817</xdr:rowOff>
    </xdr:to>
    <xdr:sp macro="" textlink="">
      <xdr:nvSpPr>
        <xdr:cNvPr id="200" name="Text Box 9">
          <a:extLst>
            <a:ext uri="{FF2B5EF4-FFF2-40B4-BE49-F238E27FC236}">
              <a16:creationId xmlns:a16="http://schemas.microsoft.com/office/drawing/2014/main" id="{D7FD4BC6-4E0D-45A1-A873-DB2AB4CB7D99}"/>
            </a:ext>
          </a:extLst>
        </xdr:cNvPr>
        <xdr:cNvSpPr txBox="1">
          <a:spLocks noChangeArrowheads="1"/>
        </xdr:cNvSpPr>
      </xdr:nvSpPr>
      <xdr:spPr bwMode="auto">
        <a:xfrm>
          <a:off x="20484332" y="2985030"/>
          <a:ext cx="447675" cy="250969"/>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51</xdr:col>
      <xdr:colOff>92393</xdr:colOff>
      <xdr:row>41</xdr:row>
      <xdr:rowOff>657701</xdr:rowOff>
    </xdr:from>
    <xdr:to>
      <xdr:col>51</xdr:col>
      <xdr:colOff>647570</xdr:colOff>
      <xdr:row>42</xdr:row>
      <xdr:rowOff>7243</xdr:rowOff>
    </xdr:to>
    <xdr:sp macro="" textlink="">
      <xdr:nvSpPr>
        <xdr:cNvPr id="202" name="Text Box 1">
          <a:extLst>
            <a:ext uri="{FF2B5EF4-FFF2-40B4-BE49-F238E27FC236}">
              <a16:creationId xmlns:a16="http://schemas.microsoft.com/office/drawing/2014/main" id="{647E52E0-80CC-40A9-AAFB-12A2D35EFA96}"/>
            </a:ext>
          </a:extLst>
        </xdr:cNvPr>
        <xdr:cNvSpPr txBox="1">
          <a:spLocks noChangeArrowheads="1"/>
        </xdr:cNvSpPr>
      </xdr:nvSpPr>
      <xdr:spPr bwMode="auto">
        <a:xfrm>
          <a:off x="21021416" y="4257285"/>
          <a:ext cx="498027" cy="10231"/>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50</xdr:col>
      <xdr:colOff>40218</xdr:colOff>
      <xdr:row>41</xdr:row>
      <xdr:rowOff>699030</xdr:rowOff>
    </xdr:from>
    <xdr:to>
      <xdr:col>50</xdr:col>
      <xdr:colOff>487893</xdr:colOff>
      <xdr:row>42</xdr:row>
      <xdr:rowOff>14817</xdr:rowOff>
    </xdr:to>
    <xdr:sp macro="" textlink="">
      <xdr:nvSpPr>
        <xdr:cNvPr id="203" name="Text Box 9">
          <a:extLst>
            <a:ext uri="{FF2B5EF4-FFF2-40B4-BE49-F238E27FC236}">
              <a16:creationId xmlns:a16="http://schemas.microsoft.com/office/drawing/2014/main" id="{78556A6F-3693-460E-A107-521832200612}"/>
            </a:ext>
          </a:extLst>
        </xdr:cNvPr>
        <xdr:cNvSpPr txBox="1">
          <a:spLocks noChangeArrowheads="1"/>
        </xdr:cNvSpPr>
      </xdr:nvSpPr>
      <xdr:spPr bwMode="auto">
        <a:xfrm>
          <a:off x="20484332" y="2985030"/>
          <a:ext cx="447675" cy="250969"/>
        </a:xfrm>
        <a:prstGeom prst="rect">
          <a:avLst/>
        </a:prstGeom>
        <a:noFill/>
        <a:ln>
          <a:noFill/>
        </a:ln>
      </xdr:spPr>
      <xdr:txBody>
        <a:bodyPr vertOverflow="clip" wrap="square" lIns="36576" tIns="18288" rIns="36576" bIns="0" anchor="t" upright="1"/>
        <a:lstStyle/>
        <a:p>
          <a:pPr algn="ctr" rtl="0">
            <a:defRPr sz="1000"/>
          </a:pPr>
          <a:r>
            <a:rPr lang="ja-JP" altLang="en-US" sz="1200" b="1"/>
            <a:t>⑮</a:t>
          </a:r>
        </a:p>
      </xdr:txBody>
    </xdr:sp>
    <xdr:clientData/>
  </xdr:twoCellAnchor>
  <xdr:twoCellAnchor>
    <xdr:from>
      <xdr:col>65</xdr:col>
      <xdr:colOff>51328</xdr:colOff>
      <xdr:row>41</xdr:row>
      <xdr:rowOff>695326</xdr:rowOff>
    </xdr:from>
    <xdr:to>
      <xdr:col>66</xdr:col>
      <xdr:colOff>11907</xdr:colOff>
      <xdr:row>42</xdr:row>
      <xdr:rowOff>6351</xdr:rowOff>
    </xdr:to>
    <xdr:sp macro="" textlink="">
      <xdr:nvSpPr>
        <xdr:cNvPr id="206" name="Text Box 9">
          <a:extLst>
            <a:ext uri="{FF2B5EF4-FFF2-40B4-BE49-F238E27FC236}">
              <a16:creationId xmlns:a16="http://schemas.microsoft.com/office/drawing/2014/main" id="{E8AD9A8C-99CD-4F40-9CBB-43E6254B1E8F}"/>
            </a:ext>
          </a:extLst>
        </xdr:cNvPr>
        <xdr:cNvSpPr txBox="1">
          <a:spLocks noChangeArrowheads="1"/>
        </xdr:cNvSpPr>
      </xdr:nvSpPr>
      <xdr:spPr bwMode="auto">
        <a:xfrm>
          <a:off x="17301103" y="15601951"/>
          <a:ext cx="617804" cy="635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⑪</a:t>
          </a:r>
          <a:endParaRPr lang="ja-JP" altLang="en-US"/>
        </a:p>
      </xdr:txBody>
    </xdr:sp>
    <xdr:clientData/>
  </xdr:twoCellAnchor>
  <xdr:twoCellAnchor>
    <xdr:from>
      <xdr:col>28</xdr:col>
      <xdr:colOff>252413</xdr:colOff>
      <xdr:row>11</xdr:row>
      <xdr:rowOff>676275</xdr:rowOff>
    </xdr:from>
    <xdr:to>
      <xdr:col>29</xdr:col>
      <xdr:colOff>228600</xdr:colOff>
      <xdr:row>12</xdr:row>
      <xdr:rowOff>23018</xdr:rowOff>
    </xdr:to>
    <xdr:sp macro="" textlink="">
      <xdr:nvSpPr>
        <xdr:cNvPr id="183" name="Text Box 9">
          <a:extLst>
            <a:ext uri="{FF2B5EF4-FFF2-40B4-BE49-F238E27FC236}">
              <a16:creationId xmlns:a16="http://schemas.microsoft.com/office/drawing/2014/main" id="{B9CADC8E-5245-40DA-8664-16DFA8678C52}"/>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14</xdr:row>
      <xdr:rowOff>676275</xdr:rowOff>
    </xdr:from>
    <xdr:to>
      <xdr:col>29</xdr:col>
      <xdr:colOff>228600</xdr:colOff>
      <xdr:row>15</xdr:row>
      <xdr:rowOff>23018</xdr:rowOff>
    </xdr:to>
    <xdr:sp macro="" textlink="">
      <xdr:nvSpPr>
        <xdr:cNvPr id="186" name="Text Box 9">
          <a:extLst>
            <a:ext uri="{FF2B5EF4-FFF2-40B4-BE49-F238E27FC236}">
              <a16:creationId xmlns:a16="http://schemas.microsoft.com/office/drawing/2014/main" id="{CE562BD0-27E4-4C47-81C4-DE0A1F6EE920}"/>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17</xdr:row>
      <xdr:rowOff>676275</xdr:rowOff>
    </xdr:from>
    <xdr:to>
      <xdr:col>29</xdr:col>
      <xdr:colOff>228600</xdr:colOff>
      <xdr:row>18</xdr:row>
      <xdr:rowOff>23018</xdr:rowOff>
    </xdr:to>
    <xdr:sp macro="" textlink="">
      <xdr:nvSpPr>
        <xdr:cNvPr id="189" name="Text Box 9">
          <a:extLst>
            <a:ext uri="{FF2B5EF4-FFF2-40B4-BE49-F238E27FC236}">
              <a16:creationId xmlns:a16="http://schemas.microsoft.com/office/drawing/2014/main" id="{30810E4D-B2FF-4B35-8F84-A7AC68289954}"/>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20</xdr:row>
      <xdr:rowOff>676275</xdr:rowOff>
    </xdr:from>
    <xdr:to>
      <xdr:col>29</xdr:col>
      <xdr:colOff>228600</xdr:colOff>
      <xdr:row>21</xdr:row>
      <xdr:rowOff>23018</xdr:rowOff>
    </xdr:to>
    <xdr:sp macro="" textlink="">
      <xdr:nvSpPr>
        <xdr:cNvPr id="198" name="Text Box 9">
          <a:extLst>
            <a:ext uri="{FF2B5EF4-FFF2-40B4-BE49-F238E27FC236}">
              <a16:creationId xmlns:a16="http://schemas.microsoft.com/office/drawing/2014/main" id="{F60700B5-2837-4BBE-BAF6-F0CE8A8509A5}"/>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23</xdr:row>
      <xdr:rowOff>676275</xdr:rowOff>
    </xdr:from>
    <xdr:to>
      <xdr:col>29</xdr:col>
      <xdr:colOff>228600</xdr:colOff>
      <xdr:row>24</xdr:row>
      <xdr:rowOff>23018</xdr:rowOff>
    </xdr:to>
    <xdr:sp macro="" textlink="">
      <xdr:nvSpPr>
        <xdr:cNvPr id="201" name="Text Box 9">
          <a:extLst>
            <a:ext uri="{FF2B5EF4-FFF2-40B4-BE49-F238E27FC236}">
              <a16:creationId xmlns:a16="http://schemas.microsoft.com/office/drawing/2014/main" id="{9A6EE689-FC69-4D9F-A073-0E8D3FC4A234}"/>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26</xdr:row>
      <xdr:rowOff>676275</xdr:rowOff>
    </xdr:from>
    <xdr:to>
      <xdr:col>29</xdr:col>
      <xdr:colOff>228600</xdr:colOff>
      <xdr:row>27</xdr:row>
      <xdr:rowOff>23018</xdr:rowOff>
    </xdr:to>
    <xdr:sp macro="" textlink="">
      <xdr:nvSpPr>
        <xdr:cNvPr id="204" name="Text Box 9">
          <a:extLst>
            <a:ext uri="{FF2B5EF4-FFF2-40B4-BE49-F238E27FC236}">
              <a16:creationId xmlns:a16="http://schemas.microsoft.com/office/drawing/2014/main" id="{1ED74192-555D-40CA-80E8-ABF32BD40BAB}"/>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29</xdr:row>
      <xdr:rowOff>676275</xdr:rowOff>
    </xdr:from>
    <xdr:to>
      <xdr:col>29</xdr:col>
      <xdr:colOff>228600</xdr:colOff>
      <xdr:row>30</xdr:row>
      <xdr:rowOff>23018</xdr:rowOff>
    </xdr:to>
    <xdr:sp macro="" textlink="">
      <xdr:nvSpPr>
        <xdr:cNvPr id="207" name="Text Box 9">
          <a:extLst>
            <a:ext uri="{FF2B5EF4-FFF2-40B4-BE49-F238E27FC236}">
              <a16:creationId xmlns:a16="http://schemas.microsoft.com/office/drawing/2014/main" id="{63C8B38E-2EF3-40DE-BFF6-920FB259EA56}"/>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32</xdr:row>
      <xdr:rowOff>676275</xdr:rowOff>
    </xdr:from>
    <xdr:to>
      <xdr:col>29</xdr:col>
      <xdr:colOff>228600</xdr:colOff>
      <xdr:row>33</xdr:row>
      <xdr:rowOff>23018</xdr:rowOff>
    </xdr:to>
    <xdr:sp macro="" textlink="">
      <xdr:nvSpPr>
        <xdr:cNvPr id="208" name="Text Box 9">
          <a:extLst>
            <a:ext uri="{FF2B5EF4-FFF2-40B4-BE49-F238E27FC236}">
              <a16:creationId xmlns:a16="http://schemas.microsoft.com/office/drawing/2014/main" id="{88C12065-5EDE-4417-8AA6-B84979DC66BE}"/>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35</xdr:row>
      <xdr:rowOff>676275</xdr:rowOff>
    </xdr:from>
    <xdr:to>
      <xdr:col>29</xdr:col>
      <xdr:colOff>228600</xdr:colOff>
      <xdr:row>36</xdr:row>
      <xdr:rowOff>23018</xdr:rowOff>
    </xdr:to>
    <xdr:sp macro="" textlink="">
      <xdr:nvSpPr>
        <xdr:cNvPr id="209" name="Text Box 9">
          <a:extLst>
            <a:ext uri="{FF2B5EF4-FFF2-40B4-BE49-F238E27FC236}">
              <a16:creationId xmlns:a16="http://schemas.microsoft.com/office/drawing/2014/main" id="{CBA43F47-B59F-455C-B354-D3D3B6B628D4}"/>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38</xdr:row>
      <xdr:rowOff>676275</xdr:rowOff>
    </xdr:from>
    <xdr:to>
      <xdr:col>29</xdr:col>
      <xdr:colOff>228600</xdr:colOff>
      <xdr:row>39</xdr:row>
      <xdr:rowOff>23018</xdr:rowOff>
    </xdr:to>
    <xdr:sp macro="" textlink="">
      <xdr:nvSpPr>
        <xdr:cNvPr id="210" name="Text Box 9">
          <a:extLst>
            <a:ext uri="{FF2B5EF4-FFF2-40B4-BE49-F238E27FC236}">
              <a16:creationId xmlns:a16="http://schemas.microsoft.com/office/drawing/2014/main" id="{3E97C7FF-E385-4A67-85A7-F79AE4D02640}"/>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56</xdr:col>
      <xdr:colOff>357187</xdr:colOff>
      <xdr:row>5</xdr:row>
      <xdr:rowOff>381000</xdr:rowOff>
    </xdr:from>
    <xdr:to>
      <xdr:col>57</xdr:col>
      <xdr:colOff>312629</xdr:colOff>
      <xdr:row>5</xdr:row>
      <xdr:rowOff>676590</xdr:rowOff>
    </xdr:to>
    <xdr:sp macro="" textlink="">
      <xdr:nvSpPr>
        <xdr:cNvPr id="211" name="Text Box 4">
          <a:extLst>
            <a:ext uri="{FF2B5EF4-FFF2-40B4-BE49-F238E27FC236}">
              <a16:creationId xmlns:a16="http://schemas.microsoft.com/office/drawing/2014/main" id="{6ECDBF69-1045-4400-873A-80691D9A1DBF}"/>
            </a:ext>
          </a:extLst>
        </xdr:cNvPr>
        <xdr:cNvSpPr txBox="1">
          <a:spLocks noChangeArrowheads="1"/>
        </xdr:cNvSpPr>
      </xdr:nvSpPr>
      <xdr:spPr bwMode="auto">
        <a:xfrm>
          <a:off x="23229093" y="2833688"/>
          <a:ext cx="586474" cy="295590"/>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(様式２)</a:t>
          </a:r>
          <a:endParaRPr lang="ja-JP" altLang="en-US"/>
        </a:p>
      </xdr:txBody>
    </xdr:sp>
    <xdr:clientData/>
  </xdr:twoCellAnchor>
  <xdr:twoCellAnchor>
    <xdr:from>
      <xdr:col>44</xdr:col>
      <xdr:colOff>37572</xdr:colOff>
      <xdr:row>5</xdr:row>
      <xdr:rowOff>694004</xdr:rowOff>
    </xdr:from>
    <xdr:to>
      <xdr:col>45</xdr:col>
      <xdr:colOff>487100</xdr:colOff>
      <xdr:row>6</xdr:row>
      <xdr:rowOff>4501</xdr:rowOff>
    </xdr:to>
    <xdr:sp macro="" textlink="">
      <xdr:nvSpPr>
        <xdr:cNvPr id="213" name="Text Box 9">
          <a:extLst>
            <a:ext uri="{FF2B5EF4-FFF2-40B4-BE49-F238E27FC236}">
              <a16:creationId xmlns:a16="http://schemas.microsoft.com/office/drawing/2014/main" id="{DCB20A95-706E-4D99-B8BA-A85F58FF6275}"/>
            </a:ext>
          </a:extLst>
        </xdr:cNvPr>
        <xdr:cNvSpPr txBox="1">
          <a:spLocks noChangeArrowheads="1"/>
        </xdr:cNvSpPr>
      </xdr:nvSpPr>
      <xdr:spPr bwMode="auto">
        <a:xfrm>
          <a:off x="14296497" y="3351479"/>
          <a:ext cx="935303" cy="24394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⑩</a:t>
          </a:r>
          <a:endParaRPr lang="ja-JP" altLang="en-US"/>
        </a:p>
      </xdr:txBody>
    </xdr:sp>
    <xdr:clientData/>
  </xdr:twoCellAnchor>
  <xdr:twoCellAnchor>
    <xdr:from>
      <xdr:col>28</xdr:col>
      <xdr:colOff>252413</xdr:colOff>
      <xdr:row>8</xdr:row>
      <xdr:rowOff>676275</xdr:rowOff>
    </xdr:from>
    <xdr:to>
      <xdr:col>29</xdr:col>
      <xdr:colOff>228600</xdr:colOff>
      <xdr:row>9</xdr:row>
      <xdr:rowOff>23018</xdr:rowOff>
    </xdr:to>
    <xdr:sp macro="" textlink="">
      <xdr:nvSpPr>
        <xdr:cNvPr id="212" name="Text Box 9">
          <a:extLst>
            <a:ext uri="{FF2B5EF4-FFF2-40B4-BE49-F238E27FC236}">
              <a16:creationId xmlns:a16="http://schemas.microsoft.com/office/drawing/2014/main" id="{FE67CAF1-8BCD-405C-AF2F-F122A7994EA9}"/>
            </a:ext>
          </a:extLst>
        </xdr:cNvPr>
        <xdr:cNvSpPr txBox="1">
          <a:spLocks noChangeArrowheads="1"/>
        </xdr:cNvSpPr>
      </xdr:nvSpPr>
      <xdr:spPr bwMode="auto">
        <a:xfrm>
          <a:off x="11153246" y="3110442"/>
          <a:ext cx="2936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11</xdr:row>
      <xdr:rowOff>676275</xdr:rowOff>
    </xdr:from>
    <xdr:to>
      <xdr:col>29</xdr:col>
      <xdr:colOff>228600</xdr:colOff>
      <xdr:row>12</xdr:row>
      <xdr:rowOff>23018</xdr:rowOff>
    </xdr:to>
    <xdr:sp macro="" textlink="">
      <xdr:nvSpPr>
        <xdr:cNvPr id="214" name="Text Box 9">
          <a:extLst>
            <a:ext uri="{FF2B5EF4-FFF2-40B4-BE49-F238E27FC236}">
              <a16:creationId xmlns:a16="http://schemas.microsoft.com/office/drawing/2014/main" id="{85D9CED6-8076-40A6-B190-974930127D38}"/>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11</xdr:row>
      <xdr:rowOff>676275</xdr:rowOff>
    </xdr:from>
    <xdr:to>
      <xdr:col>29</xdr:col>
      <xdr:colOff>228600</xdr:colOff>
      <xdr:row>12</xdr:row>
      <xdr:rowOff>23018</xdr:rowOff>
    </xdr:to>
    <xdr:sp macro="" textlink="">
      <xdr:nvSpPr>
        <xdr:cNvPr id="215" name="Text Box 9">
          <a:extLst>
            <a:ext uri="{FF2B5EF4-FFF2-40B4-BE49-F238E27FC236}">
              <a16:creationId xmlns:a16="http://schemas.microsoft.com/office/drawing/2014/main" id="{EABDB002-FC99-42B4-8AE2-ADCE63D71157}"/>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14</xdr:row>
      <xdr:rowOff>676275</xdr:rowOff>
    </xdr:from>
    <xdr:to>
      <xdr:col>29</xdr:col>
      <xdr:colOff>228600</xdr:colOff>
      <xdr:row>15</xdr:row>
      <xdr:rowOff>23018</xdr:rowOff>
    </xdr:to>
    <xdr:sp macro="" textlink="">
      <xdr:nvSpPr>
        <xdr:cNvPr id="216" name="Text Box 9">
          <a:extLst>
            <a:ext uri="{FF2B5EF4-FFF2-40B4-BE49-F238E27FC236}">
              <a16:creationId xmlns:a16="http://schemas.microsoft.com/office/drawing/2014/main" id="{FA33BC81-22DA-4F5D-93A3-41A5A2C3D5D3}"/>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14</xdr:row>
      <xdr:rowOff>676275</xdr:rowOff>
    </xdr:from>
    <xdr:to>
      <xdr:col>29</xdr:col>
      <xdr:colOff>228600</xdr:colOff>
      <xdr:row>15</xdr:row>
      <xdr:rowOff>23018</xdr:rowOff>
    </xdr:to>
    <xdr:sp macro="" textlink="">
      <xdr:nvSpPr>
        <xdr:cNvPr id="217" name="Text Box 9">
          <a:extLst>
            <a:ext uri="{FF2B5EF4-FFF2-40B4-BE49-F238E27FC236}">
              <a16:creationId xmlns:a16="http://schemas.microsoft.com/office/drawing/2014/main" id="{D2F724B4-564B-4A74-AF32-C4174B4CC98C}"/>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17</xdr:row>
      <xdr:rowOff>676275</xdr:rowOff>
    </xdr:from>
    <xdr:to>
      <xdr:col>29</xdr:col>
      <xdr:colOff>228600</xdr:colOff>
      <xdr:row>18</xdr:row>
      <xdr:rowOff>23018</xdr:rowOff>
    </xdr:to>
    <xdr:sp macro="" textlink="">
      <xdr:nvSpPr>
        <xdr:cNvPr id="218" name="Text Box 9">
          <a:extLst>
            <a:ext uri="{FF2B5EF4-FFF2-40B4-BE49-F238E27FC236}">
              <a16:creationId xmlns:a16="http://schemas.microsoft.com/office/drawing/2014/main" id="{BFD666A4-93A9-4F63-B56B-8C8FF714103D}"/>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17</xdr:row>
      <xdr:rowOff>676275</xdr:rowOff>
    </xdr:from>
    <xdr:to>
      <xdr:col>29</xdr:col>
      <xdr:colOff>228600</xdr:colOff>
      <xdr:row>18</xdr:row>
      <xdr:rowOff>23018</xdr:rowOff>
    </xdr:to>
    <xdr:sp macro="" textlink="">
      <xdr:nvSpPr>
        <xdr:cNvPr id="219" name="Text Box 9">
          <a:extLst>
            <a:ext uri="{FF2B5EF4-FFF2-40B4-BE49-F238E27FC236}">
              <a16:creationId xmlns:a16="http://schemas.microsoft.com/office/drawing/2014/main" id="{00ADE4EE-22D8-4E32-9B91-28DDCA018F10}"/>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20</xdr:row>
      <xdr:rowOff>676275</xdr:rowOff>
    </xdr:from>
    <xdr:to>
      <xdr:col>29</xdr:col>
      <xdr:colOff>228600</xdr:colOff>
      <xdr:row>21</xdr:row>
      <xdr:rowOff>23018</xdr:rowOff>
    </xdr:to>
    <xdr:sp macro="" textlink="">
      <xdr:nvSpPr>
        <xdr:cNvPr id="220" name="Text Box 9">
          <a:extLst>
            <a:ext uri="{FF2B5EF4-FFF2-40B4-BE49-F238E27FC236}">
              <a16:creationId xmlns:a16="http://schemas.microsoft.com/office/drawing/2014/main" id="{29F5A1F4-5B24-4772-AD8B-47D8984FE408}"/>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20</xdr:row>
      <xdr:rowOff>676275</xdr:rowOff>
    </xdr:from>
    <xdr:to>
      <xdr:col>29</xdr:col>
      <xdr:colOff>228600</xdr:colOff>
      <xdr:row>21</xdr:row>
      <xdr:rowOff>23018</xdr:rowOff>
    </xdr:to>
    <xdr:sp macro="" textlink="">
      <xdr:nvSpPr>
        <xdr:cNvPr id="221" name="Text Box 9">
          <a:extLst>
            <a:ext uri="{FF2B5EF4-FFF2-40B4-BE49-F238E27FC236}">
              <a16:creationId xmlns:a16="http://schemas.microsoft.com/office/drawing/2014/main" id="{839DF53E-742C-4EC4-A883-9D2F5CC35B6D}"/>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23</xdr:row>
      <xdr:rowOff>676275</xdr:rowOff>
    </xdr:from>
    <xdr:to>
      <xdr:col>29</xdr:col>
      <xdr:colOff>228600</xdr:colOff>
      <xdr:row>24</xdr:row>
      <xdr:rowOff>23018</xdr:rowOff>
    </xdr:to>
    <xdr:sp macro="" textlink="">
      <xdr:nvSpPr>
        <xdr:cNvPr id="222" name="Text Box 9">
          <a:extLst>
            <a:ext uri="{FF2B5EF4-FFF2-40B4-BE49-F238E27FC236}">
              <a16:creationId xmlns:a16="http://schemas.microsoft.com/office/drawing/2014/main" id="{90DE813E-B966-45D5-988A-F564F859C736}"/>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23</xdr:row>
      <xdr:rowOff>676275</xdr:rowOff>
    </xdr:from>
    <xdr:to>
      <xdr:col>29</xdr:col>
      <xdr:colOff>228600</xdr:colOff>
      <xdr:row>24</xdr:row>
      <xdr:rowOff>23018</xdr:rowOff>
    </xdr:to>
    <xdr:sp macro="" textlink="">
      <xdr:nvSpPr>
        <xdr:cNvPr id="223" name="Text Box 9">
          <a:extLst>
            <a:ext uri="{FF2B5EF4-FFF2-40B4-BE49-F238E27FC236}">
              <a16:creationId xmlns:a16="http://schemas.microsoft.com/office/drawing/2014/main" id="{B6DE64F6-EDBB-4B74-BDB9-5DA8F52D87FB}"/>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26</xdr:row>
      <xdr:rowOff>676275</xdr:rowOff>
    </xdr:from>
    <xdr:to>
      <xdr:col>29</xdr:col>
      <xdr:colOff>228600</xdr:colOff>
      <xdr:row>27</xdr:row>
      <xdr:rowOff>23018</xdr:rowOff>
    </xdr:to>
    <xdr:sp macro="" textlink="">
      <xdr:nvSpPr>
        <xdr:cNvPr id="224" name="Text Box 9">
          <a:extLst>
            <a:ext uri="{FF2B5EF4-FFF2-40B4-BE49-F238E27FC236}">
              <a16:creationId xmlns:a16="http://schemas.microsoft.com/office/drawing/2014/main" id="{3D36756C-2EC4-4A30-9C63-923DE51BCE4B}"/>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26</xdr:row>
      <xdr:rowOff>676275</xdr:rowOff>
    </xdr:from>
    <xdr:to>
      <xdr:col>29</xdr:col>
      <xdr:colOff>228600</xdr:colOff>
      <xdr:row>27</xdr:row>
      <xdr:rowOff>23018</xdr:rowOff>
    </xdr:to>
    <xdr:sp macro="" textlink="">
      <xdr:nvSpPr>
        <xdr:cNvPr id="225" name="Text Box 9">
          <a:extLst>
            <a:ext uri="{FF2B5EF4-FFF2-40B4-BE49-F238E27FC236}">
              <a16:creationId xmlns:a16="http://schemas.microsoft.com/office/drawing/2014/main" id="{C972E831-460C-491D-AAAF-442B071D8A0D}"/>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29</xdr:row>
      <xdr:rowOff>676275</xdr:rowOff>
    </xdr:from>
    <xdr:to>
      <xdr:col>29</xdr:col>
      <xdr:colOff>228600</xdr:colOff>
      <xdr:row>30</xdr:row>
      <xdr:rowOff>23018</xdr:rowOff>
    </xdr:to>
    <xdr:sp macro="" textlink="">
      <xdr:nvSpPr>
        <xdr:cNvPr id="226" name="Text Box 9">
          <a:extLst>
            <a:ext uri="{FF2B5EF4-FFF2-40B4-BE49-F238E27FC236}">
              <a16:creationId xmlns:a16="http://schemas.microsoft.com/office/drawing/2014/main" id="{7F74ACFE-ACA5-4C51-853E-296B6AF6E172}"/>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29</xdr:row>
      <xdr:rowOff>676275</xdr:rowOff>
    </xdr:from>
    <xdr:to>
      <xdr:col>29</xdr:col>
      <xdr:colOff>228600</xdr:colOff>
      <xdr:row>30</xdr:row>
      <xdr:rowOff>23018</xdr:rowOff>
    </xdr:to>
    <xdr:sp macro="" textlink="">
      <xdr:nvSpPr>
        <xdr:cNvPr id="227" name="Text Box 9">
          <a:extLst>
            <a:ext uri="{FF2B5EF4-FFF2-40B4-BE49-F238E27FC236}">
              <a16:creationId xmlns:a16="http://schemas.microsoft.com/office/drawing/2014/main" id="{4161C7BB-13EE-4B95-8313-9D28522D6B95}"/>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32</xdr:row>
      <xdr:rowOff>676275</xdr:rowOff>
    </xdr:from>
    <xdr:to>
      <xdr:col>29</xdr:col>
      <xdr:colOff>228600</xdr:colOff>
      <xdr:row>33</xdr:row>
      <xdr:rowOff>23018</xdr:rowOff>
    </xdr:to>
    <xdr:sp macro="" textlink="">
      <xdr:nvSpPr>
        <xdr:cNvPr id="228" name="Text Box 9">
          <a:extLst>
            <a:ext uri="{FF2B5EF4-FFF2-40B4-BE49-F238E27FC236}">
              <a16:creationId xmlns:a16="http://schemas.microsoft.com/office/drawing/2014/main" id="{55565C78-101D-42CB-8551-E644243844DD}"/>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32</xdr:row>
      <xdr:rowOff>676275</xdr:rowOff>
    </xdr:from>
    <xdr:to>
      <xdr:col>29</xdr:col>
      <xdr:colOff>228600</xdr:colOff>
      <xdr:row>33</xdr:row>
      <xdr:rowOff>23018</xdr:rowOff>
    </xdr:to>
    <xdr:sp macro="" textlink="">
      <xdr:nvSpPr>
        <xdr:cNvPr id="229" name="Text Box 9">
          <a:extLst>
            <a:ext uri="{FF2B5EF4-FFF2-40B4-BE49-F238E27FC236}">
              <a16:creationId xmlns:a16="http://schemas.microsoft.com/office/drawing/2014/main" id="{1E024DE3-D3B9-46C5-A9D0-E6AF4668B3D6}"/>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35</xdr:row>
      <xdr:rowOff>676275</xdr:rowOff>
    </xdr:from>
    <xdr:to>
      <xdr:col>29</xdr:col>
      <xdr:colOff>228600</xdr:colOff>
      <xdr:row>36</xdr:row>
      <xdr:rowOff>23018</xdr:rowOff>
    </xdr:to>
    <xdr:sp macro="" textlink="">
      <xdr:nvSpPr>
        <xdr:cNvPr id="230" name="Text Box 9">
          <a:extLst>
            <a:ext uri="{FF2B5EF4-FFF2-40B4-BE49-F238E27FC236}">
              <a16:creationId xmlns:a16="http://schemas.microsoft.com/office/drawing/2014/main" id="{C91094FC-2DFE-4F53-8933-844354B42285}"/>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35</xdr:row>
      <xdr:rowOff>676275</xdr:rowOff>
    </xdr:from>
    <xdr:to>
      <xdr:col>29</xdr:col>
      <xdr:colOff>228600</xdr:colOff>
      <xdr:row>36</xdr:row>
      <xdr:rowOff>23018</xdr:rowOff>
    </xdr:to>
    <xdr:sp macro="" textlink="">
      <xdr:nvSpPr>
        <xdr:cNvPr id="231" name="Text Box 9">
          <a:extLst>
            <a:ext uri="{FF2B5EF4-FFF2-40B4-BE49-F238E27FC236}">
              <a16:creationId xmlns:a16="http://schemas.microsoft.com/office/drawing/2014/main" id="{736FC782-BCED-4ED7-A6BE-B2594FC28775}"/>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38</xdr:row>
      <xdr:rowOff>676275</xdr:rowOff>
    </xdr:from>
    <xdr:to>
      <xdr:col>29</xdr:col>
      <xdr:colOff>228600</xdr:colOff>
      <xdr:row>39</xdr:row>
      <xdr:rowOff>23018</xdr:rowOff>
    </xdr:to>
    <xdr:sp macro="" textlink="">
      <xdr:nvSpPr>
        <xdr:cNvPr id="232" name="Text Box 9">
          <a:extLst>
            <a:ext uri="{FF2B5EF4-FFF2-40B4-BE49-F238E27FC236}">
              <a16:creationId xmlns:a16="http://schemas.microsoft.com/office/drawing/2014/main" id="{0340482F-41D1-4560-BEBA-FF4909AF619E}"/>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252413</xdr:colOff>
      <xdr:row>38</xdr:row>
      <xdr:rowOff>676275</xdr:rowOff>
    </xdr:from>
    <xdr:to>
      <xdr:col>29</xdr:col>
      <xdr:colOff>228600</xdr:colOff>
      <xdr:row>39</xdr:row>
      <xdr:rowOff>23018</xdr:rowOff>
    </xdr:to>
    <xdr:sp macro="" textlink="">
      <xdr:nvSpPr>
        <xdr:cNvPr id="233" name="Text Box 9">
          <a:extLst>
            <a:ext uri="{FF2B5EF4-FFF2-40B4-BE49-F238E27FC236}">
              <a16:creationId xmlns:a16="http://schemas.microsoft.com/office/drawing/2014/main" id="{758FD98F-BEE4-48DC-BD49-31A53C60972B}"/>
            </a:ext>
          </a:extLst>
        </xdr:cNvPr>
        <xdr:cNvSpPr txBox="1">
          <a:spLocks noChangeArrowheads="1"/>
        </xdr:cNvSpPr>
      </xdr:nvSpPr>
      <xdr:spPr bwMode="auto">
        <a:xfrm>
          <a:off x="11153246" y="4385733"/>
          <a:ext cx="293687" cy="1878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18</xdr:col>
      <xdr:colOff>583406</xdr:colOff>
      <xdr:row>53</xdr:row>
      <xdr:rowOff>333371</xdr:rowOff>
    </xdr:from>
    <xdr:to>
      <xdr:col>33</xdr:col>
      <xdr:colOff>309562</xdr:colOff>
      <xdr:row>53</xdr:row>
      <xdr:rowOff>1321593</xdr:rowOff>
    </xdr:to>
    <xdr:sp macro="" textlink="">
      <xdr:nvSpPr>
        <xdr:cNvPr id="234" name="正方形/長方形 233">
          <a:extLst>
            <a:ext uri="{FF2B5EF4-FFF2-40B4-BE49-F238E27FC236}">
              <a16:creationId xmlns:a16="http://schemas.microsoft.com/office/drawing/2014/main" id="{39EB4353-6EE2-47B4-8177-65A1CBC60544}"/>
            </a:ext>
          </a:extLst>
        </xdr:cNvPr>
        <xdr:cNvSpPr/>
      </xdr:nvSpPr>
      <xdr:spPr bwMode="auto">
        <a:xfrm>
          <a:off x="11213306" y="21431246"/>
          <a:ext cx="8813006" cy="988222"/>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「適用済」の場合、現在の実配置数で、それぞれ</a:t>
          </a:r>
          <a:r>
            <a:rPr kumimoji="1" lang="en-US" altLang="ja-JP" sz="1100">
              <a:solidFill>
                <a:srgbClr val="FF0000"/>
              </a:solidFill>
              <a:latin typeface="BIZ UDゴシック" panose="020B0400000000000000" pitchFamily="49" charset="-128"/>
              <a:ea typeface="BIZ UDゴシック" panose="020B0400000000000000" pitchFamily="49" charset="-128"/>
            </a:rPr>
            <a:t>AR</a:t>
          </a:r>
          <a:r>
            <a:rPr kumimoji="1" lang="ja-JP" altLang="en-US" sz="1100">
              <a:solidFill>
                <a:srgbClr val="FF0000"/>
              </a:solidFill>
              <a:latin typeface="BIZ UDゴシック" panose="020B0400000000000000" pitchFamily="49" charset="-128"/>
              <a:ea typeface="BIZ UDゴシック" panose="020B0400000000000000" pitchFamily="49" charset="-128"/>
            </a:rPr>
            <a:t>～</a:t>
          </a:r>
          <a:r>
            <a:rPr kumimoji="1" lang="en-US" altLang="ja-JP" sz="1100">
              <a:solidFill>
                <a:srgbClr val="FF0000"/>
              </a:solidFill>
              <a:latin typeface="BIZ UDゴシック" panose="020B0400000000000000" pitchFamily="49" charset="-128"/>
              <a:ea typeface="BIZ UDゴシック" panose="020B0400000000000000" pitchFamily="49" charset="-128"/>
            </a:rPr>
            <a:t>AX</a:t>
          </a:r>
          <a:r>
            <a:rPr kumimoji="1" lang="ja-JP" altLang="en-US" sz="1100">
              <a:solidFill>
                <a:srgbClr val="FF0000"/>
              </a:solidFill>
              <a:latin typeface="BIZ UDゴシック" panose="020B0400000000000000" pitchFamily="49" charset="-128"/>
              <a:ea typeface="BIZ UDゴシック" panose="020B0400000000000000" pitchFamily="49" charset="-128"/>
            </a:rPr>
            <a:t>列</a:t>
          </a:r>
          <a:r>
            <a:rPr kumimoji="1" lang="en-US" altLang="ja-JP" sz="1100">
              <a:solidFill>
                <a:srgbClr val="FF0000"/>
              </a:solidFill>
              <a:latin typeface="BIZ UDゴシック" panose="020B0400000000000000" pitchFamily="49" charset="-128"/>
              <a:ea typeface="BIZ UDゴシック" panose="020B0400000000000000" pitchFamily="49" charset="-128"/>
            </a:rPr>
            <a:t>43</a:t>
          </a:r>
          <a:r>
            <a:rPr kumimoji="1" lang="ja-JP" altLang="en-US" sz="1100">
              <a:solidFill>
                <a:srgbClr val="FF0000"/>
              </a:solidFill>
              <a:latin typeface="BIZ UDゴシック" panose="020B0400000000000000" pitchFamily="49" charset="-128"/>
              <a:ea typeface="BIZ UDゴシック" panose="020B0400000000000000" pitchFamily="49" charset="-128"/>
            </a:rPr>
            <a:t>行目に記載の加配数が補助上限の算定に当たって考慮されています。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 数値が入っている場合は、各々記載の分、実配置数を増やすことで、当該加算が考慮されるようになります。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a:solidFill>
                <a:srgbClr val="FF0000"/>
              </a:solidFill>
              <a:latin typeface="BIZ UDゴシック" panose="020B0400000000000000" pitchFamily="49" charset="-128"/>
              <a:ea typeface="BIZ UDゴシック" panose="020B0400000000000000" pitchFamily="49" charset="-128"/>
            </a:rPr>
            <a:t> </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「障害児加配」以外の加配は、「適用済」であれば、実配置数の限りでなく、当該加配の人数（</a:t>
          </a:r>
          <a:r>
            <a:rPr kumimoji="1" lang="en-US" altLang="ja-JP" sz="1100">
              <a:solidFill>
                <a:schemeClr val="tx1"/>
              </a:solidFill>
              <a:latin typeface="BIZ UDゴシック" panose="020B0400000000000000" pitchFamily="49" charset="-128"/>
              <a:ea typeface="BIZ UDゴシック" panose="020B0400000000000000" pitchFamily="49" charset="-128"/>
            </a:rPr>
            <a:t>AR</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AX</a:t>
          </a:r>
          <a:r>
            <a:rPr kumimoji="1" lang="ja-JP" altLang="en-US" sz="1100">
              <a:solidFill>
                <a:schemeClr val="tx1"/>
              </a:solidFill>
              <a:latin typeface="BIZ UDゴシック" panose="020B0400000000000000" pitchFamily="49" charset="-128"/>
              <a:ea typeface="BIZ UDゴシック" panose="020B0400000000000000" pitchFamily="49" charset="-128"/>
            </a:rPr>
            <a:t>列</a:t>
          </a:r>
          <a:r>
            <a:rPr kumimoji="1" lang="en-US" altLang="ja-JP" sz="1100">
              <a:solidFill>
                <a:schemeClr val="tx1"/>
              </a:solidFill>
              <a:latin typeface="BIZ UDゴシック" panose="020B0400000000000000" pitchFamily="49" charset="-128"/>
              <a:ea typeface="BIZ UDゴシック" panose="020B0400000000000000" pitchFamily="49" charset="-128"/>
            </a:rPr>
            <a:t>43</a:t>
          </a:r>
          <a:r>
            <a:rPr kumimoji="1" lang="ja-JP" altLang="en-US" sz="1100">
              <a:solidFill>
                <a:schemeClr val="tx1"/>
              </a:solidFill>
              <a:latin typeface="BIZ UDゴシック" panose="020B0400000000000000" pitchFamily="49" charset="-128"/>
              <a:ea typeface="BIZ UDゴシック" panose="020B0400000000000000" pitchFamily="49" charset="-128"/>
            </a:rPr>
            <a:t>行目）全てが</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補助算定に含まれます。</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190500</xdr:colOff>
      <xdr:row>53</xdr:row>
      <xdr:rowOff>714373</xdr:rowOff>
    </xdr:from>
    <xdr:to>
      <xdr:col>18</xdr:col>
      <xdr:colOff>428623</xdr:colOff>
      <xdr:row>53</xdr:row>
      <xdr:rowOff>1333498</xdr:rowOff>
    </xdr:to>
    <xdr:sp macro="" textlink="">
      <xdr:nvSpPr>
        <xdr:cNvPr id="235" name="正方形/長方形 234">
          <a:extLst>
            <a:ext uri="{FF2B5EF4-FFF2-40B4-BE49-F238E27FC236}">
              <a16:creationId xmlns:a16="http://schemas.microsoft.com/office/drawing/2014/main" id="{7555FFF6-EE07-403C-ADF4-E05104995E01}"/>
            </a:ext>
          </a:extLst>
        </xdr:cNvPr>
        <xdr:cNvSpPr/>
      </xdr:nvSpPr>
      <xdr:spPr bwMode="auto">
        <a:xfrm>
          <a:off x="6619875" y="21812248"/>
          <a:ext cx="4438648" cy="619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「障害児加配」については、各月、実配置数の限りにおいて、</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a:solidFill>
                <a:srgbClr val="FF0000"/>
              </a:solidFill>
              <a:latin typeface="BIZ UDゴシック" panose="020B0400000000000000" pitchFamily="49" charset="-128"/>
              <a:ea typeface="BIZ UDゴシック" panose="020B0400000000000000" pitchFamily="49" charset="-128"/>
            </a:rPr>
            <a:t> </a:t>
          </a:r>
          <a:r>
            <a:rPr kumimoji="1" lang="ja-JP" altLang="en-US" sz="1100">
              <a:solidFill>
                <a:srgbClr val="FF0000"/>
              </a:solidFill>
              <a:latin typeface="BIZ UDゴシック" panose="020B0400000000000000" pitchFamily="49" charset="-128"/>
              <a:ea typeface="BIZ UDゴシック" panose="020B0400000000000000" pitchFamily="49" charset="-128"/>
            </a:rPr>
            <a:t>補助金の対象となります。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19</xdr:col>
      <xdr:colOff>14622</xdr:colOff>
      <xdr:row>53</xdr:row>
      <xdr:rowOff>23813</xdr:rowOff>
    </xdr:from>
    <xdr:to>
      <xdr:col>23</xdr:col>
      <xdr:colOff>11904</xdr:colOff>
      <xdr:row>53</xdr:row>
      <xdr:rowOff>311813</xdr:rowOff>
    </xdr:to>
    <xdr:sp macro="" textlink="">
      <xdr:nvSpPr>
        <xdr:cNvPr id="236" name="右中かっこ 235">
          <a:extLst>
            <a:ext uri="{FF2B5EF4-FFF2-40B4-BE49-F238E27FC236}">
              <a16:creationId xmlns:a16="http://schemas.microsoft.com/office/drawing/2014/main" id="{A3B70122-5D82-469B-B696-2E310141532A}"/>
            </a:ext>
          </a:extLst>
        </xdr:cNvPr>
        <xdr:cNvSpPr/>
      </xdr:nvSpPr>
      <xdr:spPr bwMode="auto">
        <a:xfrm rot="5400000">
          <a:off x="12342251" y="20024034"/>
          <a:ext cx="288000" cy="2483307"/>
        </a:xfrm>
        <a:prstGeom prst="rightBrace">
          <a:avLst>
            <a:gd name="adj1" fmla="val 79167"/>
            <a:gd name="adj2" fmla="val 50000"/>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18</xdr:col>
      <xdr:colOff>190500</xdr:colOff>
      <xdr:row>52</xdr:row>
      <xdr:rowOff>654843</xdr:rowOff>
    </xdr:from>
    <xdr:to>
      <xdr:col>18</xdr:col>
      <xdr:colOff>523872</xdr:colOff>
      <xdr:row>53</xdr:row>
      <xdr:rowOff>702468</xdr:rowOff>
    </xdr:to>
    <xdr:cxnSp macro="">
      <xdr:nvCxnSpPr>
        <xdr:cNvPr id="237" name="直線コネクタ 236">
          <a:extLst>
            <a:ext uri="{FF2B5EF4-FFF2-40B4-BE49-F238E27FC236}">
              <a16:creationId xmlns:a16="http://schemas.microsoft.com/office/drawing/2014/main" id="{CE775B93-C386-4940-BEF2-B89FEB2D57B9}"/>
            </a:ext>
          </a:extLst>
        </xdr:cNvPr>
        <xdr:cNvCxnSpPr/>
      </xdr:nvCxnSpPr>
      <xdr:spPr bwMode="auto">
        <a:xfrm flipH="1">
          <a:off x="10820400" y="20952618"/>
          <a:ext cx="333372" cy="847725"/>
        </a:xfrm>
        <a:prstGeom prst="line">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cxnSp>
    <xdr:clientData/>
  </xdr:twoCellAnchor>
  <xdr:twoCellAnchor>
    <xdr:from>
      <xdr:col>0</xdr:col>
      <xdr:colOff>35720</xdr:colOff>
      <xdr:row>46</xdr:row>
      <xdr:rowOff>59530</xdr:rowOff>
    </xdr:from>
    <xdr:to>
      <xdr:col>11</xdr:col>
      <xdr:colOff>547688</xdr:colOff>
      <xdr:row>53</xdr:row>
      <xdr:rowOff>1345968</xdr:rowOff>
    </xdr:to>
    <xdr:sp macro="" textlink="">
      <xdr:nvSpPr>
        <xdr:cNvPr id="238" name="吹き出し: 右矢印 237">
          <a:extLst>
            <a:ext uri="{FF2B5EF4-FFF2-40B4-BE49-F238E27FC236}">
              <a16:creationId xmlns:a16="http://schemas.microsoft.com/office/drawing/2014/main" id="{C6235AD7-30BC-4840-B74C-BEA64AD442B8}"/>
            </a:ext>
          </a:extLst>
        </xdr:cNvPr>
        <xdr:cNvSpPr/>
      </xdr:nvSpPr>
      <xdr:spPr bwMode="auto">
        <a:xfrm>
          <a:off x="35720" y="17366455"/>
          <a:ext cx="6941343" cy="5077388"/>
        </a:xfrm>
        <a:prstGeom prst="rightArrowCallout">
          <a:avLst>
            <a:gd name="adj1" fmla="val 9020"/>
            <a:gd name="adj2" fmla="val 9521"/>
            <a:gd name="adj3" fmla="val 6366"/>
            <a:gd name="adj4" fmla="val 93308"/>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200">
              <a:solidFill>
                <a:srgbClr val="FF0000"/>
              </a:solidFill>
              <a:latin typeface="BIZ UDゴシック" panose="020B0400000000000000" pitchFamily="49" charset="-128"/>
              <a:ea typeface="BIZ UDゴシック" panose="020B0400000000000000" pitchFamily="49" charset="-128"/>
            </a:rPr>
            <a:t> 右表は、</a:t>
          </a:r>
          <a:r>
            <a:rPr kumimoji="1" lang="ja-JP" altLang="ja-JP" sz="1200">
              <a:solidFill>
                <a:srgbClr val="FF0000"/>
              </a:solidFill>
              <a:effectLst/>
              <a:latin typeface="BIZ UDゴシック" panose="020B0400000000000000" pitchFamily="49" charset="-128"/>
              <a:ea typeface="BIZ UDゴシック" panose="020B0400000000000000" pitchFamily="49" charset="-128"/>
              <a:cs typeface="+mn-cs"/>
            </a:rPr>
            <a:t>実配置の現状</a:t>
          </a:r>
          <a:r>
            <a:rPr kumimoji="1" lang="ja-JP" altLang="en-US" sz="1200">
              <a:solidFill>
                <a:srgbClr val="FF0000"/>
              </a:solidFill>
              <a:effectLst/>
              <a:latin typeface="BIZ UDゴシック" panose="020B0400000000000000" pitchFamily="49" charset="-128"/>
              <a:ea typeface="BIZ UDゴシック" panose="020B0400000000000000" pitchFamily="49" charset="-128"/>
              <a:cs typeface="+mn-cs"/>
            </a:rPr>
            <a:t>を踏まえた</a:t>
          </a:r>
          <a:r>
            <a:rPr kumimoji="1" lang="ja-JP" altLang="en-US" sz="1200">
              <a:solidFill>
                <a:srgbClr val="FF0000"/>
              </a:solidFill>
              <a:latin typeface="BIZ UDゴシック" panose="020B0400000000000000" pitchFamily="49" charset="-128"/>
              <a:ea typeface="BIZ UDゴシック" panose="020B0400000000000000" pitchFamily="49" charset="-128"/>
            </a:rPr>
            <a:t>人件費等補助金の補助算定状況を示しています。</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endParaRPr lang="ja-JP" altLang="ja-JP" sz="500">
            <a:effectLst/>
          </a:endParaRPr>
        </a:p>
        <a:p>
          <a:pPr algn="l"/>
          <a:r>
            <a:rPr kumimoji="1" lang="en-US" altLang="ja-JP" sz="1200">
              <a:latin typeface="BIZ UDゴシック" panose="020B0400000000000000" pitchFamily="49" charset="-128"/>
              <a:ea typeface="BIZ UDゴシック" panose="020B0400000000000000" pitchFamily="49" charset="-128"/>
            </a:rPr>
            <a:t> ※</a:t>
          </a:r>
          <a:r>
            <a:rPr kumimoji="1" lang="ja-JP" altLang="en-US" sz="1200">
              <a:latin typeface="BIZ UDゴシック" panose="020B0400000000000000" pitchFamily="49" charset="-128"/>
              <a:ea typeface="BIZ UDゴシック" panose="020B0400000000000000" pitchFamily="49" charset="-128"/>
            </a:rPr>
            <a:t>人件費等補助金がいくらになるかは、収入額（給付費等）、支出額（各園で実際</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に支払われている人件費）、補助上限で計算しますが、補助上限について、保育</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士等の場合は「補助算定職員数</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単価」で算出します。</a:t>
          </a:r>
          <a:endParaRPr kumimoji="1" lang="en-US" altLang="ja-JP" sz="1200">
            <a:latin typeface="BIZ UDゴシック" panose="020B0400000000000000" pitchFamily="49" charset="-128"/>
            <a:ea typeface="BIZ UDゴシック" panose="020B0400000000000000" pitchFamily="49" charset="-128"/>
          </a:endParaRPr>
        </a:p>
        <a:p>
          <a:pPr algn="l"/>
          <a:r>
            <a:rPr kumimoji="1" lang="en-US" altLang="ja-JP" sz="1200">
              <a:latin typeface="BIZ UDゴシック" panose="020B0400000000000000" pitchFamily="49" charset="-128"/>
              <a:ea typeface="BIZ UDゴシック" panose="020B0400000000000000" pitchFamily="49" charset="-128"/>
            </a:rPr>
            <a:t> ※</a:t>
          </a:r>
          <a:r>
            <a:rPr kumimoji="1" lang="ja-JP" altLang="en-US" sz="1200">
              <a:latin typeface="BIZ UDゴシック" panose="020B0400000000000000" pitchFamily="49" charset="-128"/>
              <a:ea typeface="BIZ UDゴシック" panose="020B0400000000000000" pitchFamily="49" charset="-128"/>
            </a:rPr>
            <a:t>補助算定職員数は、①条例で定める配置基準に基づく職員数、②給付費の加算を</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取得するために配置が必要な職員数をベースに、③障害児加配、④１歳児加配、</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⑤標準保育時間対応保育士加配、⑥休憩対応保育士加配、⑦標準時間対応休憩保</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育士加配という市独自の加配があり、実配置数の状況で、適用範囲が決まります。</a:t>
          </a:r>
          <a:endParaRPr kumimoji="1" lang="en-US" altLang="ja-JP" sz="1200">
            <a:latin typeface="BIZ UDゴシック" panose="020B0400000000000000" pitchFamily="49" charset="-128"/>
            <a:ea typeface="BIZ UDゴシック" panose="020B0400000000000000" pitchFamily="49" charset="-128"/>
          </a:endParaRPr>
        </a:p>
        <a:p>
          <a:pPr algn="l"/>
          <a:endParaRPr kumimoji="1" lang="en-US" altLang="ja-JP" sz="400">
            <a:latin typeface="BIZ UDゴシック" panose="020B0400000000000000" pitchFamily="49" charset="-128"/>
            <a:ea typeface="BIZ UDゴシック" panose="020B0400000000000000" pitchFamily="49" charset="-128"/>
          </a:endParaRPr>
        </a:p>
        <a:p>
          <a:pPr algn="l"/>
          <a:r>
            <a:rPr kumimoji="1" lang="en-US" altLang="ja-JP" sz="1200">
              <a:solidFill>
                <a:srgbClr val="FF0000"/>
              </a:solidFill>
              <a:latin typeface="BIZ UDゴシック" panose="020B0400000000000000" pitchFamily="49" charset="-128"/>
              <a:ea typeface="BIZ UDゴシック" panose="020B0400000000000000" pitchFamily="49" charset="-128"/>
            </a:rPr>
            <a:t> 【</a:t>
          </a:r>
          <a:r>
            <a:rPr kumimoji="1" lang="ja-JP" altLang="en-US" sz="1200">
              <a:solidFill>
                <a:srgbClr val="FF0000"/>
              </a:solidFill>
              <a:latin typeface="BIZ UDゴシック" panose="020B0400000000000000" pitchFamily="49" charset="-128"/>
              <a:ea typeface="BIZ UDゴシック" panose="020B0400000000000000" pitchFamily="49" charset="-128"/>
            </a:rPr>
            <a:t>右表の見方</a:t>
          </a:r>
          <a:r>
            <a:rPr kumimoji="1" lang="en-US" altLang="ja-JP" sz="1200">
              <a:solidFill>
                <a:srgbClr val="FF0000"/>
              </a:solidFill>
              <a:latin typeface="BIZ UDゴシック" panose="020B0400000000000000" pitchFamily="49" charset="-128"/>
              <a:ea typeface="BIZ UDゴシック" panose="020B0400000000000000" pitchFamily="49" charset="-128"/>
            </a:rPr>
            <a:t>】</a:t>
          </a: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①「補助対象職員数の算定に含まれている加配」の行</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a:t>
          </a:r>
          <a:r>
            <a:rPr kumimoji="1" lang="ja-JP" altLang="en-US" sz="1200">
              <a:solidFill>
                <a:schemeClr val="tx1"/>
              </a:solidFill>
              <a:latin typeface="BIZ UDゴシック" panose="020B0400000000000000" pitchFamily="49" charset="-128"/>
              <a:ea typeface="BIZ UDゴシック" panose="020B0400000000000000" pitchFamily="49" charset="-128"/>
            </a:rPr>
            <a:t>現在の実配置数で、補助対象職員数の算定に含まれている加配に「○」、含まれ</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solidFill>
              <a:latin typeface="BIZ UDゴシック" panose="020B0400000000000000" pitchFamily="49" charset="-128"/>
              <a:ea typeface="BIZ UDゴシック" panose="020B0400000000000000" pitchFamily="49" charset="-128"/>
            </a:rPr>
            <a:t> れていない加配に「</a:t>
          </a:r>
          <a:r>
            <a:rPr kumimoji="1" lang="en-US" altLang="ja-JP" sz="1200">
              <a:solidFill>
                <a:schemeClr val="tx1"/>
              </a:solidFill>
              <a:latin typeface="BIZ UDゴシック" panose="020B0400000000000000" pitchFamily="49" charset="-128"/>
              <a:ea typeface="BIZ UDゴシック" panose="020B0400000000000000" pitchFamily="49" charset="-128"/>
            </a:rPr>
            <a:t>-</a:t>
          </a:r>
          <a:r>
            <a:rPr kumimoji="1" lang="ja-JP" altLang="en-US" sz="1200">
              <a:solidFill>
                <a:schemeClr val="tx1"/>
              </a:solidFill>
              <a:latin typeface="BIZ UDゴシック" panose="020B0400000000000000" pitchFamily="49" charset="-128"/>
              <a:ea typeface="BIZ UDゴシック" panose="020B0400000000000000" pitchFamily="49" charset="-128"/>
            </a:rPr>
            <a:t>」を表示します。</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solidFill>
              <a:latin typeface="BIZ UDゴシック" panose="020B0400000000000000" pitchFamily="49" charset="-128"/>
              <a:ea typeface="BIZ UDゴシック" panose="020B0400000000000000" pitchFamily="49" charset="-128"/>
            </a:rPr>
            <a:t>　 なお、障害児の受入がない場合、障害児加配は「非該当」を表示します。</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②「各加配を算定に含めるために必要な実配置数」の行</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a:t>
          </a:r>
          <a:r>
            <a:rPr kumimoji="1" lang="ja-JP" altLang="en-US" sz="1200">
              <a:solidFill>
                <a:schemeClr val="tx1"/>
              </a:solidFill>
              <a:latin typeface="BIZ UDゴシック" panose="020B0400000000000000" pitchFamily="49" charset="-128"/>
              <a:ea typeface="BIZ UDゴシック" panose="020B0400000000000000" pitchFamily="49" charset="-128"/>
            </a:rPr>
            <a:t>各加配を算定に含めるためには、あとどれだけ実配置（年間平均）を増やす必要</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baseline="0">
              <a:solidFill>
                <a:schemeClr val="tx1"/>
              </a:solidFill>
              <a:latin typeface="BIZ UDゴシック" panose="020B0400000000000000" pitchFamily="49" charset="-128"/>
              <a:ea typeface="BIZ UDゴシック" panose="020B0400000000000000" pitchFamily="49" charset="-128"/>
            </a:rPr>
            <a:t> が</a:t>
          </a:r>
          <a:r>
            <a:rPr kumimoji="1" lang="ja-JP" altLang="en-US" sz="1200">
              <a:solidFill>
                <a:schemeClr val="tx1"/>
              </a:solidFill>
              <a:latin typeface="BIZ UDゴシック" panose="020B0400000000000000" pitchFamily="49" charset="-128"/>
              <a:ea typeface="BIZ UDゴシック" panose="020B0400000000000000" pitchFamily="49" charset="-128"/>
            </a:rPr>
            <a:t>あるかを表示しています。なお既に算定に含まれている加配は「適用済」と表示</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solidFill>
              <a:latin typeface="BIZ UDゴシック" panose="020B0400000000000000" pitchFamily="49" charset="-128"/>
              <a:ea typeface="BIZ UDゴシック" panose="020B0400000000000000" pitchFamily="49" charset="-128"/>
            </a:rPr>
            <a:t> </a:t>
          </a:r>
          <a:r>
            <a:rPr kumimoji="1" lang="en-US" altLang="ja-JP" sz="1200" b="1" u="sng">
              <a:solidFill>
                <a:schemeClr val="tx1"/>
              </a:solidFill>
              <a:latin typeface="BIZ UDゴシック" panose="020B0400000000000000" pitchFamily="49" charset="-128"/>
              <a:ea typeface="BIZ UDゴシック" panose="020B0400000000000000" pitchFamily="49" charset="-128"/>
            </a:rPr>
            <a:t>※</a:t>
          </a:r>
          <a:r>
            <a:rPr kumimoji="1" lang="ja-JP" altLang="en-US" sz="1200" b="1" u="sng">
              <a:solidFill>
                <a:schemeClr val="tx1"/>
              </a:solidFill>
              <a:latin typeface="BIZ UDゴシック" panose="020B0400000000000000" pitchFamily="49" charset="-128"/>
              <a:ea typeface="BIZ UDゴシック" panose="020B0400000000000000" pitchFamily="49" charset="-128"/>
            </a:rPr>
            <a:t>新たに加配が適用されると補助上限が上がります（補助金は直ちに増えません）</a:t>
          </a:r>
          <a:endParaRPr kumimoji="1" lang="en-US" altLang="ja-JP" sz="1200" b="1" u="sng">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③「今後配置必要実配置数」の行</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a:t>
          </a:r>
          <a:r>
            <a:rPr kumimoji="1" lang="ja-JP" altLang="en-US" sz="1200">
              <a:solidFill>
                <a:schemeClr val="tx1"/>
              </a:solidFill>
              <a:latin typeface="BIZ UDゴシック" panose="020B0400000000000000" pitchFamily="49" charset="-128"/>
              <a:ea typeface="BIZ UDゴシック" panose="020B0400000000000000" pitchFamily="49" charset="-128"/>
            </a:rPr>
            <a:t>補助算定職員数は年間平均で算出します。雇用開始月に応じて、②を満たすため</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solidFill>
              <a:latin typeface="BIZ UDゴシック" panose="020B0400000000000000" pitchFamily="49" charset="-128"/>
              <a:ea typeface="BIZ UDゴシック" panose="020B0400000000000000" pitchFamily="49" charset="-128"/>
            </a:rPr>
            <a:t> に</a:t>
          </a:r>
          <a:r>
            <a:rPr kumimoji="1" lang="ja-JP" altLang="en-US" sz="1100">
              <a:solidFill>
                <a:schemeClr val="tx1"/>
              </a:solidFill>
              <a:effectLst/>
              <a:latin typeface="BIZ UDゴシック" panose="020B0400000000000000" pitchFamily="49" charset="-128"/>
              <a:ea typeface="BIZ UDゴシック" panose="020B0400000000000000" pitchFamily="49" charset="-128"/>
              <a:cs typeface="+mn-cs"/>
            </a:rPr>
            <a:t>今後毎月</a:t>
          </a:r>
          <a:r>
            <a:rPr kumimoji="1" lang="ja-JP" altLang="en-US" sz="1200">
              <a:solidFill>
                <a:schemeClr val="tx1"/>
              </a:solidFill>
              <a:latin typeface="BIZ UDゴシック" panose="020B0400000000000000" pitchFamily="49" charset="-128"/>
              <a:ea typeface="BIZ UDゴシック" panose="020B0400000000000000" pitchFamily="49" charset="-128"/>
            </a:rPr>
            <a:t>何人分の雇用が必要かを示しています。（表右側の補足も要参照）</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23</xdr:col>
      <xdr:colOff>11905</xdr:colOff>
      <xdr:row>49</xdr:row>
      <xdr:rowOff>71437</xdr:rowOff>
    </xdr:from>
    <xdr:to>
      <xdr:col>34</xdr:col>
      <xdr:colOff>71437</xdr:colOff>
      <xdr:row>51</xdr:row>
      <xdr:rowOff>47625</xdr:rowOff>
    </xdr:to>
    <xdr:sp macro="" textlink="">
      <xdr:nvSpPr>
        <xdr:cNvPr id="239" name="吹き出し: 左矢印 238">
          <a:extLst>
            <a:ext uri="{FF2B5EF4-FFF2-40B4-BE49-F238E27FC236}">
              <a16:creationId xmlns:a16="http://schemas.microsoft.com/office/drawing/2014/main" id="{E77021CC-6B58-4B68-9918-BBD64EBEFBB7}"/>
            </a:ext>
          </a:extLst>
        </xdr:cNvPr>
        <xdr:cNvSpPr/>
      </xdr:nvSpPr>
      <xdr:spPr bwMode="auto">
        <a:xfrm>
          <a:off x="13727905" y="18711862"/>
          <a:ext cx="6660357" cy="1176338"/>
        </a:xfrm>
        <a:prstGeom prst="leftArrowCallout">
          <a:avLst>
            <a:gd name="adj1" fmla="val 18478"/>
            <a:gd name="adj2" fmla="val 19565"/>
            <a:gd name="adj3" fmla="val 13470"/>
            <a:gd name="adj4" fmla="val 95479"/>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rgbClr val="FF0000"/>
              </a:solidFill>
              <a:effectLst/>
              <a:latin typeface="BIZ UDゴシック" panose="020B0400000000000000" pitchFamily="49" charset="-128"/>
              <a:ea typeface="BIZ UDゴシック" panose="020B0400000000000000" pitchFamily="49" charset="-128"/>
              <a:cs typeface="+mn-cs"/>
            </a:rPr>
            <a:t>様式２の「資格内容」のいずれかに○、「勤務実績」の雇用開始月以降に「○」を入れて</a:t>
          </a:r>
          <a:endPar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endParaRPr>
        </a:p>
        <a:p>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rgbClr val="FF0000"/>
              </a:solidFill>
              <a:effectLst/>
              <a:latin typeface="BIZ UDゴシック" panose="020B0400000000000000" pitchFamily="49" charset="-128"/>
              <a:ea typeface="BIZ UDゴシック" panose="020B0400000000000000" pitchFamily="49" charset="-128"/>
              <a:cs typeface="+mn-cs"/>
            </a:rPr>
            <a:t>いただく、又は様式３の「雇用期間」、「１箇月あたりの勤務時間」を仮に入力いただく</a:t>
          </a:r>
          <a:endPar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endParaRPr>
        </a:p>
        <a:p>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rgbClr val="FF0000"/>
              </a:solidFill>
              <a:effectLst/>
              <a:latin typeface="BIZ UDゴシック" panose="020B0400000000000000" pitchFamily="49" charset="-128"/>
              <a:ea typeface="BIZ UDゴシック" panose="020B0400000000000000" pitchFamily="49" charset="-128"/>
              <a:cs typeface="+mn-cs"/>
            </a:rPr>
            <a:t>ことで、新たに職員を雇用した場合にどうなるか、シミュレーションいただけます。</a:t>
          </a:r>
          <a:endParaRPr lang="ja-JP" altLang="ja-JP">
            <a:solidFill>
              <a:srgbClr val="FF0000"/>
            </a:solidFill>
            <a:effectLst/>
            <a:latin typeface="BIZ UDゴシック" panose="020B0400000000000000" pitchFamily="49" charset="-128"/>
            <a:ea typeface="BIZ UDゴシック" panose="020B0400000000000000" pitchFamily="49" charset="-128"/>
          </a:endParaRPr>
        </a:p>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新たに雇用することを検討</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されている</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職員が</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専従の</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常勤</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職員</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の場合は様式２</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を</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en-US" sz="1100" baseline="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非常勤</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職員や非専従の常勤職員</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の場合は様式３を使用</a:t>
          </a:r>
          <a:endParaRPr lang="ja-JP" altLang="ja-JP">
            <a:effectLst/>
            <a:latin typeface="BIZ UDゴシック" panose="020B0400000000000000" pitchFamily="49" charset="-128"/>
            <a:ea typeface="BIZ UDゴシック" panose="020B0400000000000000" pitchFamily="49" charset="-128"/>
          </a:endParaRPr>
        </a:p>
      </xdr:txBody>
    </xdr:sp>
    <xdr:clientData/>
  </xdr:twoCellAnchor>
  <xdr:twoCellAnchor>
    <xdr:from>
      <xdr:col>23</xdr:col>
      <xdr:colOff>21430</xdr:colOff>
      <xdr:row>51</xdr:row>
      <xdr:rowOff>107156</xdr:rowOff>
    </xdr:from>
    <xdr:to>
      <xdr:col>34</xdr:col>
      <xdr:colOff>80962</xdr:colOff>
      <xdr:row>53</xdr:row>
      <xdr:rowOff>166687</xdr:rowOff>
    </xdr:to>
    <xdr:sp macro="" textlink="">
      <xdr:nvSpPr>
        <xdr:cNvPr id="240" name="吹き出し: 左矢印 239">
          <a:extLst>
            <a:ext uri="{FF2B5EF4-FFF2-40B4-BE49-F238E27FC236}">
              <a16:creationId xmlns:a16="http://schemas.microsoft.com/office/drawing/2014/main" id="{AF8CD88A-4EF7-478B-93C9-1B2FA0E3032B}"/>
            </a:ext>
          </a:extLst>
        </xdr:cNvPr>
        <xdr:cNvSpPr/>
      </xdr:nvSpPr>
      <xdr:spPr bwMode="auto">
        <a:xfrm>
          <a:off x="13737430" y="19947731"/>
          <a:ext cx="6660357" cy="1316831"/>
        </a:xfrm>
        <a:prstGeom prst="leftArrowCallout">
          <a:avLst>
            <a:gd name="adj1" fmla="val 18590"/>
            <a:gd name="adj2" fmla="val 17219"/>
            <a:gd name="adj3" fmla="val 12922"/>
            <a:gd name="adj4" fmla="val 95479"/>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補足</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p>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補助算定職員数は年間平均で算出しますので、例えば年間</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0.5</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人分の実配置を増やすには、</a:t>
          </a:r>
          <a:endPar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endParaRPr>
        </a:p>
        <a:p>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 </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４月雇用の場合は</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0.5</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人分で足りますが、</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月雇用の場合は</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人分が必要です。</a:t>
          </a:r>
          <a:endPar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endParaRPr>
        </a:p>
        <a:p>
          <a:r>
            <a:rPr kumimoji="1" lang="ja-JP" altLang="en-US" sz="1100" baseline="0">
              <a:solidFill>
                <a:srgbClr val="FF0000"/>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複数人の組合せの場合、常勤換算人数は各々端数処理するため、若干誤差が生じます。</a:t>
          </a: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（例）４月雇用の場合　</a:t>
          </a:r>
          <a:r>
            <a:rPr kumimoji="1" lang="en-US" altLang="ja-JP" sz="1100" u="sng">
              <a:solidFill>
                <a:schemeClr val="dk1"/>
              </a:solidFill>
              <a:effectLst/>
              <a:latin typeface="BIZ UDゴシック" panose="020B0400000000000000" pitchFamily="49" charset="-128"/>
              <a:ea typeface="BIZ UDゴシック" panose="020B0400000000000000" pitchFamily="49" charset="-128"/>
              <a:cs typeface="+mn-cs"/>
            </a:rPr>
            <a:t>0.5</a:t>
          </a:r>
          <a:r>
            <a:rPr kumimoji="1" lang="ja-JP" altLang="en-US" sz="1100" u="sng">
              <a:solidFill>
                <a:schemeClr val="dk1"/>
              </a:solidFill>
              <a:effectLst/>
              <a:latin typeface="BIZ UDゴシック" panose="020B0400000000000000" pitchFamily="49" charset="-128"/>
              <a:ea typeface="BIZ UDゴシック" panose="020B0400000000000000" pitchFamily="49" charset="-128"/>
              <a:cs typeface="+mn-cs"/>
            </a:rPr>
            <a:t>人</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雇用月数</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12</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箇月（４月～３月）／年間</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12</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箇月＝平均</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0.5</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人</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月雇用の場合　</a:t>
          </a:r>
          <a:r>
            <a:rPr kumimoji="1" lang="en-US" altLang="ja-JP" sz="1100" u="sng">
              <a:solidFill>
                <a:schemeClr val="dk1"/>
              </a:solidFill>
              <a:effectLst/>
              <a:latin typeface="BIZ UDゴシック" panose="020B0400000000000000" pitchFamily="49" charset="-128"/>
              <a:ea typeface="BIZ UDゴシック" panose="020B0400000000000000" pitchFamily="49" charset="-128"/>
              <a:cs typeface="+mn-cs"/>
            </a:rPr>
            <a:t>1.0</a:t>
          </a:r>
          <a:r>
            <a:rPr kumimoji="1" lang="ja-JP" altLang="en-US" sz="1100" u="sng">
              <a:solidFill>
                <a:schemeClr val="dk1"/>
              </a:solidFill>
              <a:effectLst/>
              <a:latin typeface="BIZ UDゴシック" panose="020B0400000000000000" pitchFamily="49" charset="-128"/>
              <a:ea typeface="BIZ UDゴシック" panose="020B0400000000000000" pitchFamily="49" charset="-128"/>
              <a:cs typeface="+mn-cs"/>
            </a:rPr>
            <a:t>人</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雇用月数６箇月（</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月～３月）／年間</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12</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箇月＝平均</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0.5</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人</a:t>
          </a:r>
          <a:endParaRPr lang="ja-JP" altLang="ja-JP">
            <a:effectLst/>
            <a:latin typeface="BIZ UDゴシック" panose="020B0400000000000000" pitchFamily="49" charset="-128"/>
            <a:ea typeface="BIZ UDゴシック" panose="020B0400000000000000" pitchFamily="49" charset="-128"/>
          </a:endParaRPr>
        </a:p>
      </xdr:txBody>
    </xdr:sp>
    <xdr:clientData/>
  </xdr:twoCellAnchor>
  <xdr:twoCellAnchor>
    <xdr:from>
      <xdr:col>36</xdr:col>
      <xdr:colOff>67235</xdr:colOff>
      <xdr:row>5</xdr:row>
      <xdr:rowOff>688447</xdr:rowOff>
    </xdr:from>
    <xdr:to>
      <xdr:col>36</xdr:col>
      <xdr:colOff>533962</xdr:colOff>
      <xdr:row>6</xdr:row>
      <xdr:rowOff>4234</xdr:rowOff>
    </xdr:to>
    <xdr:sp macro="" textlink="">
      <xdr:nvSpPr>
        <xdr:cNvPr id="2" name="Text Box 9">
          <a:extLst>
            <a:ext uri="{FF2B5EF4-FFF2-40B4-BE49-F238E27FC236}">
              <a16:creationId xmlns:a16="http://schemas.microsoft.com/office/drawing/2014/main" id="{2D77BB5F-47BF-45A9-9CEF-8F8221D39E9D}"/>
            </a:ext>
          </a:extLst>
        </xdr:cNvPr>
        <xdr:cNvSpPr txBox="1">
          <a:spLocks noChangeArrowheads="1"/>
        </xdr:cNvSpPr>
      </xdr:nvSpPr>
      <xdr:spPr bwMode="auto">
        <a:xfrm>
          <a:off x="14068985" y="3126847"/>
          <a:ext cx="466727"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43</xdr:col>
      <xdr:colOff>92393</xdr:colOff>
      <xdr:row>5</xdr:row>
      <xdr:rowOff>657701</xdr:rowOff>
    </xdr:from>
    <xdr:to>
      <xdr:col>43</xdr:col>
      <xdr:colOff>647570</xdr:colOff>
      <xdr:row>6</xdr:row>
      <xdr:rowOff>7243</xdr:rowOff>
    </xdr:to>
    <xdr:sp macro="" textlink="">
      <xdr:nvSpPr>
        <xdr:cNvPr id="6" name="Text Box 1">
          <a:extLst>
            <a:ext uri="{FF2B5EF4-FFF2-40B4-BE49-F238E27FC236}">
              <a16:creationId xmlns:a16="http://schemas.microsoft.com/office/drawing/2014/main" id="{95C057E9-67DA-4A7D-ADF7-E482DF41DB4E}"/>
            </a:ext>
          </a:extLst>
        </xdr:cNvPr>
        <xdr:cNvSpPr txBox="1">
          <a:spLocks noChangeArrowheads="1"/>
        </xdr:cNvSpPr>
      </xdr:nvSpPr>
      <xdr:spPr bwMode="auto">
        <a:xfrm>
          <a:off x="16932593" y="3096101"/>
          <a:ext cx="55517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5</xdr:row>
      <xdr:rowOff>657701</xdr:rowOff>
    </xdr:from>
    <xdr:to>
      <xdr:col>43</xdr:col>
      <xdr:colOff>647570</xdr:colOff>
      <xdr:row>6</xdr:row>
      <xdr:rowOff>7243</xdr:rowOff>
    </xdr:to>
    <xdr:sp macro="" textlink="">
      <xdr:nvSpPr>
        <xdr:cNvPr id="7" name="Text Box 1">
          <a:extLst>
            <a:ext uri="{FF2B5EF4-FFF2-40B4-BE49-F238E27FC236}">
              <a16:creationId xmlns:a16="http://schemas.microsoft.com/office/drawing/2014/main" id="{EB962442-AFA4-4EB7-9684-971A59D907B3}"/>
            </a:ext>
          </a:extLst>
        </xdr:cNvPr>
        <xdr:cNvSpPr txBox="1">
          <a:spLocks noChangeArrowheads="1"/>
        </xdr:cNvSpPr>
      </xdr:nvSpPr>
      <xdr:spPr bwMode="auto">
        <a:xfrm>
          <a:off x="16932593" y="3096101"/>
          <a:ext cx="55517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5</xdr:row>
      <xdr:rowOff>657701</xdr:rowOff>
    </xdr:from>
    <xdr:to>
      <xdr:col>43</xdr:col>
      <xdr:colOff>647570</xdr:colOff>
      <xdr:row>6</xdr:row>
      <xdr:rowOff>7243</xdr:rowOff>
    </xdr:to>
    <xdr:sp macro="" textlink="">
      <xdr:nvSpPr>
        <xdr:cNvPr id="8" name="Text Box 1">
          <a:extLst>
            <a:ext uri="{FF2B5EF4-FFF2-40B4-BE49-F238E27FC236}">
              <a16:creationId xmlns:a16="http://schemas.microsoft.com/office/drawing/2014/main" id="{E4DA8510-E9F9-4D40-9A8D-96E64FD3ED6F}"/>
            </a:ext>
          </a:extLst>
        </xdr:cNvPr>
        <xdr:cNvSpPr txBox="1">
          <a:spLocks noChangeArrowheads="1"/>
        </xdr:cNvSpPr>
      </xdr:nvSpPr>
      <xdr:spPr bwMode="auto">
        <a:xfrm>
          <a:off x="16932593" y="3096101"/>
          <a:ext cx="55517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51</xdr:col>
      <xdr:colOff>92393</xdr:colOff>
      <xdr:row>5</xdr:row>
      <xdr:rowOff>657701</xdr:rowOff>
    </xdr:from>
    <xdr:to>
      <xdr:col>51</xdr:col>
      <xdr:colOff>647570</xdr:colOff>
      <xdr:row>6</xdr:row>
      <xdr:rowOff>7243</xdr:rowOff>
    </xdr:to>
    <xdr:sp macro="" textlink="">
      <xdr:nvSpPr>
        <xdr:cNvPr id="9" name="Text Box 1">
          <a:extLst>
            <a:ext uri="{FF2B5EF4-FFF2-40B4-BE49-F238E27FC236}">
              <a16:creationId xmlns:a16="http://schemas.microsoft.com/office/drawing/2014/main" id="{261B84AF-4FF9-4171-8467-FBDE4D04EA2D}"/>
            </a:ext>
          </a:extLst>
        </xdr:cNvPr>
        <xdr:cNvSpPr txBox="1">
          <a:spLocks noChangeArrowheads="1"/>
        </xdr:cNvSpPr>
      </xdr:nvSpPr>
      <xdr:spPr bwMode="auto">
        <a:xfrm>
          <a:off x="20990243" y="3096101"/>
          <a:ext cx="49802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51</xdr:col>
      <xdr:colOff>92393</xdr:colOff>
      <xdr:row>5</xdr:row>
      <xdr:rowOff>657701</xdr:rowOff>
    </xdr:from>
    <xdr:to>
      <xdr:col>51</xdr:col>
      <xdr:colOff>647570</xdr:colOff>
      <xdr:row>6</xdr:row>
      <xdr:rowOff>7243</xdr:rowOff>
    </xdr:to>
    <xdr:sp macro="" textlink="">
      <xdr:nvSpPr>
        <xdr:cNvPr id="10" name="Text Box 1">
          <a:extLst>
            <a:ext uri="{FF2B5EF4-FFF2-40B4-BE49-F238E27FC236}">
              <a16:creationId xmlns:a16="http://schemas.microsoft.com/office/drawing/2014/main" id="{C927E63B-98F4-49AB-AE7D-AAF4027B352E}"/>
            </a:ext>
          </a:extLst>
        </xdr:cNvPr>
        <xdr:cNvSpPr txBox="1">
          <a:spLocks noChangeArrowheads="1"/>
        </xdr:cNvSpPr>
      </xdr:nvSpPr>
      <xdr:spPr bwMode="auto">
        <a:xfrm>
          <a:off x="20990243" y="3096101"/>
          <a:ext cx="49802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51</xdr:col>
      <xdr:colOff>92393</xdr:colOff>
      <xdr:row>5</xdr:row>
      <xdr:rowOff>657701</xdr:rowOff>
    </xdr:from>
    <xdr:to>
      <xdr:col>51</xdr:col>
      <xdr:colOff>647570</xdr:colOff>
      <xdr:row>6</xdr:row>
      <xdr:rowOff>7243</xdr:rowOff>
    </xdr:to>
    <xdr:sp macro="" textlink="">
      <xdr:nvSpPr>
        <xdr:cNvPr id="11" name="Text Box 1">
          <a:extLst>
            <a:ext uri="{FF2B5EF4-FFF2-40B4-BE49-F238E27FC236}">
              <a16:creationId xmlns:a16="http://schemas.microsoft.com/office/drawing/2014/main" id="{1874F274-7ADC-4342-B163-C5E56924F60D}"/>
            </a:ext>
          </a:extLst>
        </xdr:cNvPr>
        <xdr:cNvSpPr txBox="1">
          <a:spLocks noChangeArrowheads="1"/>
        </xdr:cNvSpPr>
      </xdr:nvSpPr>
      <xdr:spPr bwMode="auto">
        <a:xfrm>
          <a:off x="20990243" y="3096101"/>
          <a:ext cx="49802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51</xdr:col>
      <xdr:colOff>92393</xdr:colOff>
      <xdr:row>5</xdr:row>
      <xdr:rowOff>657701</xdr:rowOff>
    </xdr:from>
    <xdr:to>
      <xdr:col>51</xdr:col>
      <xdr:colOff>647570</xdr:colOff>
      <xdr:row>6</xdr:row>
      <xdr:rowOff>7243</xdr:rowOff>
    </xdr:to>
    <xdr:sp macro="" textlink="">
      <xdr:nvSpPr>
        <xdr:cNvPr id="12" name="Text Box 1">
          <a:extLst>
            <a:ext uri="{FF2B5EF4-FFF2-40B4-BE49-F238E27FC236}">
              <a16:creationId xmlns:a16="http://schemas.microsoft.com/office/drawing/2014/main" id="{16B75C9E-DBEA-462F-915B-8FCC6870C8AA}"/>
            </a:ext>
          </a:extLst>
        </xdr:cNvPr>
        <xdr:cNvSpPr txBox="1">
          <a:spLocks noChangeArrowheads="1"/>
        </xdr:cNvSpPr>
      </xdr:nvSpPr>
      <xdr:spPr bwMode="auto">
        <a:xfrm>
          <a:off x="20990243" y="3096101"/>
          <a:ext cx="49802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51</xdr:col>
      <xdr:colOff>92393</xdr:colOff>
      <xdr:row>5</xdr:row>
      <xdr:rowOff>657701</xdr:rowOff>
    </xdr:from>
    <xdr:to>
      <xdr:col>51</xdr:col>
      <xdr:colOff>647570</xdr:colOff>
      <xdr:row>6</xdr:row>
      <xdr:rowOff>7243</xdr:rowOff>
    </xdr:to>
    <xdr:sp macro="" textlink="">
      <xdr:nvSpPr>
        <xdr:cNvPr id="13" name="Text Box 1">
          <a:extLst>
            <a:ext uri="{FF2B5EF4-FFF2-40B4-BE49-F238E27FC236}">
              <a16:creationId xmlns:a16="http://schemas.microsoft.com/office/drawing/2014/main" id="{817CEACF-BE2C-4FFD-8A2A-C381FFD6847C}"/>
            </a:ext>
          </a:extLst>
        </xdr:cNvPr>
        <xdr:cNvSpPr txBox="1">
          <a:spLocks noChangeArrowheads="1"/>
        </xdr:cNvSpPr>
      </xdr:nvSpPr>
      <xdr:spPr bwMode="auto">
        <a:xfrm>
          <a:off x="20990243" y="3096101"/>
          <a:ext cx="49802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51</xdr:col>
      <xdr:colOff>92393</xdr:colOff>
      <xdr:row>5</xdr:row>
      <xdr:rowOff>657701</xdr:rowOff>
    </xdr:from>
    <xdr:to>
      <xdr:col>51</xdr:col>
      <xdr:colOff>647570</xdr:colOff>
      <xdr:row>6</xdr:row>
      <xdr:rowOff>7243</xdr:rowOff>
    </xdr:to>
    <xdr:sp macro="" textlink="">
      <xdr:nvSpPr>
        <xdr:cNvPr id="14" name="Text Box 1">
          <a:extLst>
            <a:ext uri="{FF2B5EF4-FFF2-40B4-BE49-F238E27FC236}">
              <a16:creationId xmlns:a16="http://schemas.microsoft.com/office/drawing/2014/main" id="{A18FC760-C649-4DFF-8B72-834CD3795BCE}"/>
            </a:ext>
          </a:extLst>
        </xdr:cNvPr>
        <xdr:cNvSpPr txBox="1">
          <a:spLocks noChangeArrowheads="1"/>
        </xdr:cNvSpPr>
      </xdr:nvSpPr>
      <xdr:spPr bwMode="auto">
        <a:xfrm>
          <a:off x="20990243" y="3096101"/>
          <a:ext cx="49802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51</xdr:col>
      <xdr:colOff>92393</xdr:colOff>
      <xdr:row>5</xdr:row>
      <xdr:rowOff>657701</xdr:rowOff>
    </xdr:from>
    <xdr:to>
      <xdr:col>51</xdr:col>
      <xdr:colOff>647570</xdr:colOff>
      <xdr:row>6</xdr:row>
      <xdr:rowOff>7243</xdr:rowOff>
    </xdr:to>
    <xdr:sp macro="" textlink="">
      <xdr:nvSpPr>
        <xdr:cNvPr id="15" name="Text Box 1">
          <a:extLst>
            <a:ext uri="{FF2B5EF4-FFF2-40B4-BE49-F238E27FC236}">
              <a16:creationId xmlns:a16="http://schemas.microsoft.com/office/drawing/2014/main" id="{27EB6C11-5F0B-43E6-94A1-E25F042BAE8D}"/>
            </a:ext>
          </a:extLst>
        </xdr:cNvPr>
        <xdr:cNvSpPr txBox="1">
          <a:spLocks noChangeArrowheads="1"/>
        </xdr:cNvSpPr>
      </xdr:nvSpPr>
      <xdr:spPr bwMode="auto">
        <a:xfrm>
          <a:off x="20990243" y="3096101"/>
          <a:ext cx="49802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43</xdr:col>
      <xdr:colOff>92393</xdr:colOff>
      <xdr:row>8</xdr:row>
      <xdr:rowOff>657701</xdr:rowOff>
    </xdr:from>
    <xdr:to>
      <xdr:col>43</xdr:col>
      <xdr:colOff>647570</xdr:colOff>
      <xdr:row>9</xdr:row>
      <xdr:rowOff>7243</xdr:rowOff>
    </xdr:to>
    <xdr:sp macro="" textlink="">
      <xdr:nvSpPr>
        <xdr:cNvPr id="246" name="Text Box 1">
          <a:extLst>
            <a:ext uri="{FF2B5EF4-FFF2-40B4-BE49-F238E27FC236}">
              <a16:creationId xmlns:a16="http://schemas.microsoft.com/office/drawing/2014/main" id="{9C918E80-DD1B-4949-97B4-DD8F598EFB05}"/>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8</xdr:row>
      <xdr:rowOff>657701</xdr:rowOff>
    </xdr:from>
    <xdr:to>
      <xdr:col>43</xdr:col>
      <xdr:colOff>647570</xdr:colOff>
      <xdr:row>9</xdr:row>
      <xdr:rowOff>7243</xdr:rowOff>
    </xdr:to>
    <xdr:sp macro="" textlink="">
      <xdr:nvSpPr>
        <xdr:cNvPr id="247" name="Text Box 1">
          <a:extLst>
            <a:ext uri="{FF2B5EF4-FFF2-40B4-BE49-F238E27FC236}">
              <a16:creationId xmlns:a16="http://schemas.microsoft.com/office/drawing/2014/main" id="{F8849326-93D1-494D-9E5E-BB63AD1A201E}"/>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8</xdr:row>
      <xdr:rowOff>657701</xdr:rowOff>
    </xdr:from>
    <xdr:to>
      <xdr:col>43</xdr:col>
      <xdr:colOff>647570</xdr:colOff>
      <xdr:row>9</xdr:row>
      <xdr:rowOff>7243</xdr:rowOff>
    </xdr:to>
    <xdr:sp macro="" textlink="">
      <xdr:nvSpPr>
        <xdr:cNvPr id="248" name="Text Box 1">
          <a:extLst>
            <a:ext uri="{FF2B5EF4-FFF2-40B4-BE49-F238E27FC236}">
              <a16:creationId xmlns:a16="http://schemas.microsoft.com/office/drawing/2014/main" id="{0094345E-0DC9-4B42-82A6-8CC4CD37BD6C}"/>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8</xdr:row>
      <xdr:rowOff>657701</xdr:rowOff>
    </xdr:from>
    <xdr:to>
      <xdr:col>43</xdr:col>
      <xdr:colOff>647570</xdr:colOff>
      <xdr:row>9</xdr:row>
      <xdr:rowOff>7243</xdr:rowOff>
    </xdr:to>
    <xdr:sp macro="" textlink="">
      <xdr:nvSpPr>
        <xdr:cNvPr id="249" name="Text Box 1">
          <a:extLst>
            <a:ext uri="{FF2B5EF4-FFF2-40B4-BE49-F238E27FC236}">
              <a16:creationId xmlns:a16="http://schemas.microsoft.com/office/drawing/2014/main" id="{FDFBCA11-81EC-468D-B284-62D4A5948687}"/>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11</xdr:row>
      <xdr:rowOff>657701</xdr:rowOff>
    </xdr:from>
    <xdr:to>
      <xdr:col>43</xdr:col>
      <xdr:colOff>647570</xdr:colOff>
      <xdr:row>12</xdr:row>
      <xdr:rowOff>7243</xdr:rowOff>
    </xdr:to>
    <xdr:sp macro="" textlink="">
      <xdr:nvSpPr>
        <xdr:cNvPr id="250" name="Text Box 1">
          <a:extLst>
            <a:ext uri="{FF2B5EF4-FFF2-40B4-BE49-F238E27FC236}">
              <a16:creationId xmlns:a16="http://schemas.microsoft.com/office/drawing/2014/main" id="{E80DA1C9-3F83-41FB-92F0-98E63D420AB5}"/>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11</xdr:row>
      <xdr:rowOff>657701</xdr:rowOff>
    </xdr:from>
    <xdr:to>
      <xdr:col>43</xdr:col>
      <xdr:colOff>647570</xdr:colOff>
      <xdr:row>12</xdr:row>
      <xdr:rowOff>7243</xdr:rowOff>
    </xdr:to>
    <xdr:sp macro="" textlink="">
      <xdr:nvSpPr>
        <xdr:cNvPr id="251" name="Text Box 1">
          <a:extLst>
            <a:ext uri="{FF2B5EF4-FFF2-40B4-BE49-F238E27FC236}">
              <a16:creationId xmlns:a16="http://schemas.microsoft.com/office/drawing/2014/main" id="{9BBB7C9A-FC67-45EF-AC25-66FE1E161477}"/>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11</xdr:row>
      <xdr:rowOff>657701</xdr:rowOff>
    </xdr:from>
    <xdr:to>
      <xdr:col>43</xdr:col>
      <xdr:colOff>647570</xdr:colOff>
      <xdr:row>12</xdr:row>
      <xdr:rowOff>7243</xdr:rowOff>
    </xdr:to>
    <xdr:sp macro="" textlink="">
      <xdr:nvSpPr>
        <xdr:cNvPr id="252" name="Text Box 1">
          <a:extLst>
            <a:ext uri="{FF2B5EF4-FFF2-40B4-BE49-F238E27FC236}">
              <a16:creationId xmlns:a16="http://schemas.microsoft.com/office/drawing/2014/main" id="{E7B04712-39D8-4E1B-96C0-D953C92B77D6}"/>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11</xdr:row>
      <xdr:rowOff>657701</xdr:rowOff>
    </xdr:from>
    <xdr:to>
      <xdr:col>43</xdr:col>
      <xdr:colOff>647570</xdr:colOff>
      <xdr:row>12</xdr:row>
      <xdr:rowOff>7243</xdr:rowOff>
    </xdr:to>
    <xdr:sp macro="" textlink="">
      <xdr:nvSpPr>
        <xdr:cNvPr id="253" name="Text Box 1">
          <a:extLst>
            <a:ext uri="{FF2B5EF4-FFF2-40B4-BE49-F238E27FC236}">
              <a16:creationId xmlns:a16="http://schemas.microsoft.com/office/drawing/2014/main" id="{786E542C-D43E-43FD-98D9-7959D38CD60D}"/>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14</xdr:row>
      <xdr:rowOff>657701</xdr:rowOff>
    </xdr:from>
    <xdr:to>
      <xdr:col>43</xdr:col>
      <xdr:colOff>647570</xdr:colOff>
      <xdr:row>15</xdr:row>
      <xdr:rowOff>7243</xdr:rowOff>
    </xdr:to>
    <xdr:sp macro="" textlink="">
      <xdr:nvSpPr>
        <xdr:cNvPr id="254" name="Text Box 1">
          <a:extLst>
            <a:ext uri="{FF2B5EF4-FFF2-40B4-BE49-F238E27FC236}">
              <a16:creationId xmlns:a16="http://schemas.microsoft.com/office/drawing/2014/main" id="{86B5ADAA-B4CE-42F9-BBF2-26E7E29B3E24}"/>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14</xdr:row>
      <xdr:rowOff>657701</xdr:rowOff>
    </xdr:from>
    <xdr:to>
      <xdr:col>43</xdr:col>
      <xdr:colOff>647570</xdr:colOff>
      <xdr:row>15</xdr:row>
      <xdr:rowOff>7243</xdr:rowOff>
    </xdr:to>
    <xdr:sp macro="" textlink="">
      <xdr:nvSpPr>
        <xdr:cNvPr id="255" name="Text Box 1">
          <a:extLst>
            <a:ext uri="{FF2B5EF4-FFF2-40B4-BE49-F238E27FC236}">
              <a16:creationId xmlns:a16="http://schemas.microsoft.com/office/drawing/2014/main" id="{B15AD08E-3010-4EBD-A296-68E2F8967682}"/>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14</xdr:row>
      <xdr:rowOff>657701</xdr:rowOff>
    </xdr:from>
    <xdr:to>
      <xdr:col>43</xdr:col>
      <xdr:colOff>647570</xdr:colOff>
      <xdr:row>15</xdr:row>
      <xdr:rowOff>7243</xdr:rowOff>
    </xdr:to>
    <xdr:sp macro="" textlink="">
      <xdr:nvSpPr>
        <xdr:cNvPr id="30720" name="Text Box 1">
          <a:extLst>
            <a:ext uri="{FF2B5EF4-FFF2-40B4-BE49-F238E27FC236}">
              <a16:creationId xmlns:a16="http://schemas.microsoft.com/office/drawing/2014/main" id="{C3BD92A3-0EBD-4C34-98A0-DBBC6B9930BB}"/>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14</xdr:row>
      <xdr:rowOff>657701</xdr:rowOff>
    </xdr:from>
    <xdr:to>
      <xdr:col>43</xdr:col>
      <xdr:colOff>647570</xdr:colOff>
      <xdr:row>15</xdr:row>
      <xdr:rowOff>7243</xdr:rowOff>
    </xdr:to>
    <xdr:sp macro="" textlink="">
      <xdr:nvSpPr>
        <xdr:cNvPr id="30723" name="Text Box 1">
          <a:extLst>
            <a:ext uri="{FF2B5EF4-FFF2-40B4-BE49-F238E27FC236}">
              <a16:creationId xmlns:a16="http://schemas.microsoft.com/office/drawing/2014/main" id="{5889B542-F2B3-43D7-8B5B-56EC965A8179}"/>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17</xdr:row>
      <xdr:rowOff>657701</xdr:rowOff>
    </xdr:from>
    <xdr:to>
      <xdr:col>43</xdr:col>
      <xdr:colOff>647570</xdr:colOff>
      <xdr:row>18</xdr:row>
      <xdr:rowOff>7243</xdr:rowOff>
    </xdr:to>
    <xdr:sp macro="" textlink="">
      <xdr:nvSpPr>
        <xdr:cNvPr id="30726" name="Text Box 1">
          <a:extLst>
            <a:ext uri="{FF2B5EF4-FFF2-40B4-BE49-F238E27FC236}">
              <a16:creationId xmlns:a16="http://schemas.microsoft.com/office/drawing/2014/main" id="{F2FA9F91-3463-4AA8-A190-A1387F8C536C}"/>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17</xdr:row>
      <xdr:rowOff>657701</xdr:rowOff>
    </xdr:from>
    <xdr:to>
      <xdr:col>43</xdr:col>
      <xdr:colOff>647570</xdr:colOff>
      <xdr:row>18</xdr:row>
      <xdr:rowOff>7243</xdr:rowOff>
    </xdr:to>
    <xdr:sp macro="" textlink="">
      <xdr:nvSpPr>
        <xdr:cNvPr id="30727" name="Text Box 1">
          <a:extLst>
            <a:ext uri="{FF2B5EF4-FFF2-40B4-BE49-F238E27FC236}">
              <a16:creationId xmlns:a16="http://schemas.microsoft.com/office/drawing/2014/main" id="{D8CDFD90-9052-4E04-A80F-25F3A01C3D5C}"/>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17</xdr:row>
      <xdr:rowOff>657701</xdr:rowOff>
    </xdr:from>
    <xdr:to>
      <xdr:col>43</xdr:col>
      <xdr:colOff>647570</xdr:colOff>
      <xdr:row>18</xdr:row>
      <xdr:rowOff>7243</xdr:rowOff>
    </xdr:to>
    <xdr:sp macro="" textlink="">
      <xdr:nvSpPr>
        <xdr:cNvPr id="30728" name="Text Box 1">
          <a:extLst>
            <a:ext uri="{FF2B5EF4-FFF2-40B4-BE49-F238E27FC236}">
              <a16:creationId xmlns:a16="http://schemas.microsoft.com/office/drawing/2014/main" id="{0B085680-7443-4F2E-B3BE-C7A0B958AF27}"/>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17</xdr:row>
      <xdr:rowOff>657701</xdr:rowOff>
    </xdr:from>
    <xdr:to>
      <xdr:col>43</xdr:col>
      <xdr:colOff>647570</xdr:colOff>
      <xdr:row>18</xdr:row>
      <xdr:rowOff>7243</xdr:rowOff>
    </xdr:to>
    <xdr:sp macro="" textlink="">
      <xdr:nvSpPr>
        <xdr:cNvPr id="30729" name="Text Box 1">
          <a:extLst>
            <a:ext uri="{FF2B5EF4-FFF2-40B4-BE49-F238E27FC236}">
              <a16:creationId xmlns:a16="http://schemas.microsoft.com/office/drawing/2014/main" id="{3BC914E1-3B04-46E5-AF8E-9CF39BF9BBBF}"/>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20</xdr:row>
      <xdr:rowOff>657701</xdr:rowOff>
    </xdr:from>
    <xdr:to>
      <xdr:col>43</xdr:col>
      <xdr:colOff>647570</xdr:colOff>
      <xdr:row>21</xdr:row>
      <xdr:rowOff>7243</xdr:rowOff>
    </xdr:to>
    <xdr:sp macro="" textlink="">
      <xdr:nvSpPr>
        <xdr:cNvPr id="30731" name="Text Box 1">
          <a:extLst>
            <a:ext uri="{FF2B5EF4-FFF2-40B4-BE49-F238E27FC236}">
              <a16:creationId xmlns:a16="http://schemas.microsoft.com/office/drawing/2014/main" id="{1D285C13-294F-4E1B-864F-DF02ABD0D5C6}"/>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20</xdr:row>
      <xdr:rowOff>657701</xdr:rowOff>
    </xdr:from>
    <xdr:to>
      <xdr:col>43</xdr:col>
      <xdr:colOff>647570</xdr:colOff>
      <xdr:row>21</xdr:row>
      <xdr:rowOff>7243</xdr:rowOff>
    </xdr:to>
    <xdr:sp macro="" textlink="">
      <xdr:nvSpPr>
        <xdr:cNvPr id="30732" name="Text Box 1">
          <a:extLst>
            <a:ext uri="{FF2B5EF4-FFF2-40B4-BE49-F238E27FC236}">
              <a16:creationId xmlns:a16="http://schemas.microsoft.com/office/drawing/2014/main" id="{4FF1407A-8F0B-400F-89BB-7B3225DEF238}"/>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20</xdr:row>
      <xdr:rowOff>657701</xdr:rowOff>
    </xdr:from>
    <xdr:to>
      <xdr:col>43</xdr:col>
      <xdr:colOff>647570</xdr:colOff>
      <xdr:row>21</xdr:row>
      <xdr:rowOff>7243</xdr:rowOff>
    </xdr:to>
    <xdr:sp macro="" textlink="">
      <xdr:nvSpPr>
        <xdr:cNvPr id="30733" name="Text Box 1">
          <a:extLst>
            <a:ext uri="{FF2B5EF4-FFF2-40B4-BE49-F238E27FC236}">
              <a16:creationId xmlns:a16="http://schemas.microsoft.com/office/drawing/2014/main" id="{403EAE5A-8881-4028-9DFE-427075EEEE08}"/>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20</xdr:row>
      <xdr:rowOff>657701</xdr:rowOff>
    </xdr:from>
    <xdr:to>
      <xdr:col>43</xdr:col>
      <xdr:colOff>647570</xdr:colOff>
      <xdr:row>21</xdr:row>
      <xdr:rowOff>7243</xdr:rowOff>
    </xdr:to>
    <xdr:sp macro="" textlink="">
      <xdr:nvSpPr>
        <xdr:cNvPr id="30734" name="Text Box 1">
          <a:extLst>
            <a:ext uri="{FF2B5EF4-FFF2-40B4-BE49-F238E27FC236}">
              <a16:creationId xmlns:a16="http://schemas.microsoft.com/office/drawing/2014/main" id="{1139B23C-6810-410F-83C0-68F307773177}"/>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23</xdr:row>
      <xdr:rowOff>657701</xdr:rowOff>
    </xdr:from>
    <xdr:to>
      <xdr:col>43</xdr:col>
      <xdr:colOff>647570</xdr:colOff>
      <xdr:row>24</xdr:row>
      <xdr:rowOff>7243</xdr:rowOff>
    </xdr:to>
    <xdr:sp macro="" textlink="">
      <xdr:nvSpPr>
        <xdr:cNvPr id="30735" name="Text Box 1">
          <a:extLst>
            <a:ext uri="{FF2B5EF4-FFF2-40B4-BE49-F238E27FC236}">
              <a16:creationId xmlns:a16="http://schemas.microsoft.com/office/drawing/2014/main" id="{E49C723F-1AC1-489D-BE79-B65F85CDBA33}"/>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23</xdr:row>
      <xdr:rowOff>657701</xdr:rowOff>
    </xdr:from>
    <xdr:to>
      <xdr:col>43</xdr:col>
      <xdr:colOff>647570</xdr:colOff>
      <xdr:row>24</xdr:row>
      <xdr:rowOff>7243</xdr:rowOff>
    </xdr:to>
    <xdr:sp macro="" textlink="">
      <xdr:nvSpPr>
        <xdr:cNvPr id="30736" name="Text Box 1">
          <a:extLst>
            <a:ext uri="{FF2B5EF4-FFF2-40B4-BE49-F238E27FC236}">
              <a16:creationId xmlns:a16="http://schemas.microsoft.com/office/drawing/2014/main" id="{9FBBC6E3-35FC-4273-A310-18E1B7813FC3}"/>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23</xdr:row>
      <xdr:rowOff>657701</xdr:rowOff>
    </xdr:from>
    <xdr:to>
      <xdr:col>43</xdr:col>
      <xdr:colOff>647570</xdr:colOff>
      <xdr:row>24</xdr:row>
      <xdr:rowOff>7243</xdr:rowOff>
    </xdr:to>
    <xdr:sp macro="" textlink="">
      <xdr:nvSpPr>
        <xdr:cNvPr id="30737" name="Text Box 1">
          <a:extLst>
            <a:ext uri="{FF2B5EF4-FFF2-40B4-BE49-F238E27FC236}">
              <a16:creationId xmlns:a16="http://schemas.microsoft.com/office/drawing/2014/main" id="{F8C29C3B-5EB2-459B-93B1-5ABF0B12DDF4}"/>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23</xdr:row>
      <xdr:rowOff>657701</xdr:rowOff>
    </xdr:from>
    <xdr:to>
      <xdr:col>43</xdr:col>
      <xdr:colOff>647570</xdr:colOff>
      <xdr:row>24</xdr:row>
      <xdr:rowOff>7243</xdr:rowOff>
    </xdr:to>
    <xdr:sp macro="" textlink="">
      <xdr:nvSpPr>
        <xdr:cNvPr id="30738" name="Text Box 1">
          <a:extLst>
            <a:ext uri="{FF2B5EF4-FFF2-40B4-BE49-F238E27FC236}">
              <a16:creationId xmlns:a16="http://schemas.microsoft.com/office/drawing/2014/main" id="{393A3055-3061-4F40-B368-62208D2E6DE6}"/>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26</xdr:row>
      <xdr:rowOff>657701</xdr:rowOff>
    </xdr:from>
    <xdr:to>
      <xdr:col>43</xdr:col>
      <xdr:colOff>647570</xdr:colOff>
      <xdr:row>27</xdr:row>
      <xdr:rowOff>7243</xdr:rowOff>
    </xdr:to>
    <xdr:sp macro="" textlink="">
      <xdr:nvSpPr>
        <xdr:cNvPr id="30739" name="Text Box 1">
          <a:extLst>
            <a:ext uri="{FF2B5EF4-FFF2-40B4-BE49-F238E27FC236}">
              <a16:creationId xmlns:a16="http://schemas.microsoft.com/office/drawing/2014/main" id="{1D6C3525-B323-4633-9F33-7B2A655BA681}"/>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26</xdr:row>
      <xdr:rowOff>657701</xdr:rowOff>
    </xdr:from>
    <xdr:to>
      <xdr:col>43</xdr:col>
      <xdr:colOff>647570</xdr:colOff>
      <xdr:row>27</xdr:row>
      <xdr:rowOff>7243</xdr:rowOff>
    </xdr:to>
    <xdr:sp macro="" textlink="">
      <xdr:nvSpPr>
        <xdr:cNvPr id="30740" name="Text Box 1">
          <a:extLst>
            <a:ext uri="{FF2B5EF4-FFF2-40B4-BE49-F238E27FC236}">
              <a16:creationId xmlns:a16="http://schemas.microsoft.com/office/drawing/2014/main" id="{84BF6C92-850E-4997-BDE1-2BDE8D154B61}"/>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26</xdr:row>
      <xdr:rowOff>657701</xdr:rowOff>
    </xdr:from>
    <xdr:to>
      <xdr:col>43</xdr:col>
      <xdr:colOff>647570</xdr:colOff>
      <xdr:row>27</xdr:row>
      <xdr:rowOff>7243</xdr:rowOff>
    </xdr:to>
    <xdr:sp macro="" textlink="">
      <xdr:nvSpPr>
        <xdr:cNvPr id="30741" name="Text Box 1">
          <a:extLst>
            <a:ext uri="{FF2B5EF4-FFF2-40B4-BE49-F238E27FC236}">
              <a16:creationId xmlns:a16="http://schemas.microsoft.com/office/drawing/2014/main" id="{F64F8EDE-47AF-4BC4-9C43-CC035B75D76F}"/>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26</xdr:row>
      <xdr:rowOff>657701</xdr:rowOff>
    </xdr:from>
    <xdr:to>
      <xdr:col>43</xdr:col>
      <xdr:colOff>647570</xdr:colOff>
      <xdr:row>27</xdr:row>
      <xdr:rowOff>7243</xdr:rowOff>
    </xdr:to>
    <xdr:sp macro="" textlink="">
      <xdr:nvSpPr>
        <xdr:cNvPr id="30742" name="Text Box 1">
          <a:extLst>
            <a:ext uri="{FF2B5EF4-FFF2-40B4-BE49-F238E27FC236}">
              <a16:creationId xmlns:a16="http://schemas.microsoft.com/office/drawing/2014/main" id="{9FF48E79-E140-4B0F-8E10-1047F4A93A16}"/>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29</xdr:row>
      <xdr:rowOff>657701</xdr:rowOff>
    </xdr:from>
    <xdr:to>
      <xdr:col>43</xdr:col>
      <xdr:colOff>647570</xdr:colOff>
      <xdr:row>30</xdr:row>
      <xdr:rowOff>7243</xdr:rowOff>
    </xdr:to>
    <xdr:sp macro="" textlink="">
      <xdr:nvSpPr>
        <xdr:cNvPr id="30743" name="Text Box 1">
          <a:extLst>
            <a:ext uri="{FF2B5EF4-FFF2-40B4-BE49-F238E27FC236}">
              <a16:creationId xmlns:a16="http://schemas.microsoft.com/office/drawing/2014/main" id="{92535B42-8FA7-4ED1-9505-E05F7715AEDF}"/>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29</xdr:row>
      <xdr:rowOff>657701</xdr:rowOff>
    </xdr:from>
    <xdr:to>
      <xdr:col>43</xdr:col>
      <xdr:colOff>647570</xdr:colOff>
      <xdr:row>30</xdr:row>
      <xdr:rowOff>7243</xdr:rowOff>
    </xdr:to>
    <xdr:sp macro="" textlink="">
      <xdr:nvSpPr>
        <xdr:cNvPr id="30744" name="Text Box 1">
          <a:extLst>
            <a:ext uri="{FF2B5EF4-FFF2-40B4-BE49-F238E27FC236}">
              <a16:creationId xmlns:a16="http://schemas.microsoft.com/office/drawing/2014/main" id="{CFDDB7C3-67E4-4837-8427-E8B68409B62F}"/>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29</xdr:row>
      <xdr:rowOff>657701</xdr:rowOff>
    </xdr:from>
    <xdr:to>
      <xdr:col>43</xdr:col>
      <xdr:colOff>647570</xdr:colOff>
      <xdr:row>30</xdr:row>
      <xdr:rowOff>7243</xdr:rowOff>
    </xdr:to>
    <xdr:sp macro="" textlink="">
      <xdr:nvSpPr>
        <xdr:cNvPr id="30745" name="Text Box 1">
          <a:extLst>
            <a:ext uri="{FF2B5EF4-FFF2-40B4-BE49-F238E27FC236}">
              <a16:creationId xmlns:a16="http://schemas.microsoft.com/office/drawing/2014/main" id="{D9F91814-9B9A-4CB6-9448-141017B8F98E}"/>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29</xdr:row>
      <xdr:rowOff>657701</xdr:rowOff>
    </xdr:from>
    <xdr:to>
      <xdr:col>43</xdr:col>
      <xdr:colOff>647570</xdr:colOff>
      <xdr:row>30</xdr:row>
      <xdr:rowOff>7243</xdr:rowOff>
    </xdr:to>
    <xdr:sp macro="" textlink="">
      <xdr:nvSpPr>
        <xdr:cNvPr id="30746" name="Text Box 1">
          <a:extLst>
            <a:ext uri="{FF2B5EF4-FFF2-40B4-BE49-F238E27FC236}">
              <a16:creationId xmlns:a16="http://schemas.microsoft.com/office/drawing/2014/main" id="{44EBBBDF-5AE0-4A1A-88BB-309F9A91889D}"/>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32</xdr:row>
      <xdr:rowOff>657701</xdr:rowOff>
    </xdr:from>
    <xdr:to>
      <xdr:col>43</xdr:col>
      <xdr:colOff>647570</xdr:colOff>
      <xdr:row>33</xdr:row>
      <xdr:rowOff>7243</xdr:rowOff>
    </xdr:to>
    <xdr:sp macro="" textlink="">
      <xdr:nvSpPr>
        <xdr:cNvPr id="30747" name="Text Box 1">
          <a:extLst>
            <a:ext uri="{FF2B5EF4-FFF2-40B4-BE49-F238E27FC236}">
              <a16:creationId xmlns:a16="http://schemas.microsoft.com/office/drawing/2014/main" id="{5E93A34A-FC1F-4EE0-A594-A61C721B6AF5}"/>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32</xdr:row>
      <xdr:rowOff>657701</xdr:rowOff>
    </xdr:from>
    <xdr:to>
      <xdr:col>43</xdr:col>
      <xdr:colOff>647570</xdr:colOff>
      <xdr:row>33</xdr:row>
      <xdr:rowOff>7243</xdr:rowOff>
    </xdr:to>
    <xdr:sp macro="" textlink="">
      <xdr:nvSpPr>
        <xdr:cNvPr id="30748" name="Text Box 1">
          <a:extLst>
            <a:ext uri="{FF2B5EF4-FFF2-40B4-BE49-F238E27FC236}">
              <a16:creationId xmlns:a16="http://schemas.microsoft.com/office/drawing/2014/main" id="{9A3860D5-A8E4-4304-8A1B-16DD9785F1B3}"/>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32</xdr:row>
      <xdr:rowOff>657701</xdr:rowOff>
    </xdr:from>
    <xdr:to>
      <xdr:col>43</xdr:col>
      <xdr:colOff>647570</xdr:colOff>
      <xdr:row>33</xdr:row>
      <xdr:rowOff>7243</xdr:rowOff>
    </xdr:to>
    <xdr:sp macro="" textlink="">
      <xdr:nvSpPr>
        <xdr:cNvPr id="30749" name="Text Box 1">
          <a:extLst>
            <a:ext uri="{FF2B5EF4-FFF2-40B4-BE49-F238E27FC236}">
              <a16:creationId xmlns:a16="http://schemas.microsoft.com/office/drawing/2014/main" id="{072782D7-E0D9-464F-910D-D50EADB9D86B}"/>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32</xdr:row>
      <xdr:rowOff>657701</xdr:rowOff>
    </xdr:from>
    <xdr:to>
      <xdr:col>43</xdr:col>
      <xdr:colOff>647570</xdr:colOff>
      <xdr:row>33</xdr:row>
      <xdr:rowOff>7243</xdr:rowOff>
    </xdr:to>
    <xdr:sp macro="" textlink="">
      <xdr:nvSpPr>
        <xdr:cNvPr id="30750" name="Text Box 1">
          <a:extLst>
            <a:ext uri="{FF2B5EF4-FFF2-40B4-BE49-F238E27FC236}">
              <a16:creationId xmlns:a16="http://schemas.microsoft.com/office/drawing/2014/main" id="{3A80B9A0-D5AF-4351-BA7F-03E6C35CA344}"/>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35</xdr:row>
      <xdr:rowOff>657701</xdr:rowOff>
    </xdr:from>
    <xdr:to>
      <xdr:col>43</xdr:col>
      <xdr:colOff>647570</xdr:colOff>
      <xdr:row>36</xdr:row>
      <xdr:rowOff>7243</xdr:rowOff>
    </xdr:to>
    <xdr:sp macro="" textlink="">
      <xdr:nvSpPr>
        <xdr:cNvPr id="30751" name="Text Box 1">
          <a:extLst>
            <a:ext uri="{FF2B5EF4-FFF2-40B4-BE49-F238E27FC236}">
              <a16:creationId xmlns:a16="http://schemas.microsoft.com/office/drawing/2014/main" id="{DA7B49EE-7117-426D-9B82-3C9C61272760}"/>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35</xdr:row>
      <xdr:rowOff>657701</xdr:rowOff>
    </xdr:from>
    <xdr:to>
      <xdr:col>43</xdr:col>
      <xdr:colOff>647570</xdr:colOff>
      <xdr:row>36</xdr:row>
      <xdr:rowOff>7243</xdr:rowOff>
    </xdr:to>
    <xdr:sp macro="" textlink="">
      <xdr:nvSpPr>
        <xdr:cNvPr id="40" name="Text Box 1">
          <a:extLst>
            <a:ext uri="{FF2B5EF4-FFF2-40B4-BE49-F238E27FC236}">
              <a16:creationId xmlns:a16="http://schemas.microsoft.com/office/drawing/2014/main" id="{267508B6-B2DD-4BB1-9B18-F1E0228D89A6}"/>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35</xdr:row>
      <xdr:rowOff>657701</xdr:rowOff>
    </xdr:from>
    <xdr:to>
      <xdr:col>43</xdr:col>
      <xdr:colOff>647570</xdr:colOff>
      <xdr:row>36</xdr:row>
      <xdr:rowOff>7243</xdr:rowOff>
    </xdr:to>
    <xdr:sp macro="" textlink="">
      <xdr:nvSpPr>
        <xdr:cNvPr id="47" name="Text Box 1">
          <a:extLst>
            <a:ext uri="{FF2B5EF4-FFF2-40B4-BE49-F238E27FC236}">
              <a16:creationId xmlns:a16="http://schemas.microsoft.com/office/drawing/2014/main" id="{4DCDFEEB-FD5A-43CE-A39D-2449D3700232}"/>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35</xdr:row>
      <xdr:rowOff>657701</xdr:rowOff>
    </xdr:from>
    <xdr:to>
      <xdr:col>43</xdr:col>
      <xdr:colOff>647570</xdr:colOff>
      <xdr:row>36</xdr:row>
      <xdr:rowOff>7243</xdr:rowOff>
    </xdr:to>
    <xdr:sp macro="" textlink="">
      <xdr:nvSpPr>
        <xdr:cNvPr id="69" name="Text Box 1">
          <a:extLst>
            <a:ext uri="{FF2B5EF4-FFF2-40B4-BE49-F238E27FC236}">
              <a16:creationId xmlns:a16="http://schemas.microsoft.com/office/drawing/2014/main" id="{0F29D8BB-B3E9-4AD1-AAE4-191E78226635}"/>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38</xdr:row>
      <xdr:rowOff>657701</xdr:rowOff>
    </xdr:from>
    <xdr:to>
      <xdr:col>43</xdr:col>
      <xdr:colOff>647570</xdr:colOff>
      <xdr:row>39</xdr:row>
      <xdr:rowOff>7243</xdr:rowOff>
    </xdr:to>
    <xdr:sp macro="" textlink="">
      <xdr:nvSpPr>
        <xdr:cNvPr id="70" name="Text Box 1">
          <a:extLst>
            <a:ext uri="{FF2B5EF4-FFF2-40B4-BE49-F238E27FC236}">
              <a16:creationId xmlns:a16="http://schemas.microsoft.com/office/drawing/2014/main" id="{A797E6DB-BF28-4FB7-B4ED-B210C3BD9047}"/>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38</xdr:row>
      <xdr:rowOff>657701</xdr:rowOff>
    </xdr:from>
    <xdr:to>
      <xdr:col>43</xdr:col>
      <xdr:colOff>647570</xdr:colOff>
      <xdr:row>39</xdr:row>
      <xdr:rowOff>7243</xdr:rowOff>
    </xdr:to>
    <xdr:sp macro="" textlink="">
      <xdr:nvSpPr>
        <xdr:cNvPr id="71" name="Text Box 1">
          <a:extLst>
            <a:ext uri="{FF2B5EF4-FFF2-40B4-BE49-F238E27FC236}">
              <a16:creationId xmlns:a16="http://schemas.microsoft.com/office/drawing/2014/main" id="{7D9B6306-D281-441E-B6B3-982555966D1C}"/>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38</xdr:row>
      <xdr:rowOff>657701</xdr:rowOff>
    </xdr:from>
    <xdr:to>
      <xdr:col>43</xdr:col>
      <xdr:colOff>647570</xdr:colOff>
      <xdr:row>39</xdr:row>
      <xdr:rowOff>7243</xdr:rowOff>
    </xdr:to>
    <xdr:sp macro="" textlink="">
      <xdr:nvSpPr>
        <xdr:cNvPr id="72" name="Text Box 1">
          <a:extLst>
            <a:ext uri="{FF2B5EF4-FFF2-40B4-BE49-F238E27FC236}">
              <a16:creationId xmlns:a16="http://schemas.microsoft.com/office/drawing/2014/main" id="{83E0FE2B-9A0D-45CB-80B0-7175434E44C8}"/>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38</xdr:row>
      <xdr:rowOff>657701</xdr:rowOff>
    </xdr:from>
    <xdr:to>
      <xdr:col>43</xdr:col>
      <xdr:colOff>647570</xdr:colOff>
      <xdr:row>39</xdr:row>
      <xdr:rowOff>7243</xdr:rowOff>
    </xdr:to>
    <xdr:sp macro="" textlink="">
      <xdr:nvSpPr>
        <xdr:cNvPr id="91" name="Text Box 1">
          <a:extLst>
            <a:ext uri="{FF2B5EF4-FFF2-40B4-BE49-F238E27FC236}">
              <a16:creationId xmlns:a16="http://schemas.microsoft.com/office/drawing/2014/main" id="{F88F0778-5E83-401C-A928-ADC93A73F28C}"/>
            </a:ext>
          </a:extLst>
        </xdr:cNvPr>
        <xdr:cNvSpPr txBox="1">
          <a:spLocks noChangeArrowheads="1"/>
        </xdr:cNvSpPr>
      </xdr:nvSpPr>
      <xdr:spPr bwMode="auto">
        <a:xfrm>
          <a:off x="25981343" y="3096101"/>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41</xdr:row>
      <xdr:rowOff>657701</xdr:rowOff>
    </xdr:from>
    <xdr:to>
      <xdr:col>43</xdr:col>
      <xdr:colOff>647570</xdr:colOff>
      <xdr:row>42</xdr:row>
      <xdr:rowOff>7243</xdr:rowOff>
    </xdr:to>
    <xdr:sp macro="" textlink="">
      <xdr:nvSpPr>
        <xdr:cNvPr id="92" name="Text Box 1">
          <a:extLst>
            <a:ext uri="{FF2B5EF4-FFF2-40B4-BE49-F238E27FC236}">
              <a16:creationId xmlns:a16="http://schemas.microsoft.com/office/drawing/2014/main" id="{185B90A5-3D8D-4851-82F9-3CDB36B1B3EB}"/>
            </a:ext>
          </a:extLst>
        </xdr:cNvPr>
        <xdr:cNvSpPr txBox="1">
          <a:spLocks noChangeArrowheads="1"/>
        </xdr:cNvSpPr>
      </xdr:nvSpPr>
      <xdr:spPr bwMode="auto">
        <a:xfrm>
          <a:off x="25981343" y="14688026"/>
          <a:ext cx="507552" cy="676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41</xdr:row>
      <xdr:rowOff>657701</xdr:rowOff>
    </xdr:from>
    <xdr:to>
      <xdr:col>43</xdr:col>
      <xdr:colOff>647570</xdr:colOff>
      <xdr:row>42</xdr:row>
      <xdr:rowOff>7243</xdr:rowOff>
    </xdr:to>
    <xdr:sp macro="" textlink="">
      <xdr:nvSpPr>
        <xdr:cNvPr id="104" name="Text Box 1">
          <a:extLst>
            <a:ext uri="{FF2B5EF4-FFF2-40B4-BE49-F238E27FC236}">
              <a16:creationId xmlns:a16="http://schemas.microsoft.com/office/drawing/2014/main" id="{DAD9518B-A4F7-4680-982C-E137B290F7B8}"/>
            </a:ext>
          </a:extLst>
        </xdr:cNvPr>
        <xdr:cNvSpPr txBox="1">
          <a:spLocks noChangeArrowheads="1"/>
        </xdr:cNvSpPr>
      </xdr:nvSpPr>
      <xdr:spPr bwMode="auto">
        <a:xfrm>
          <a:off x="25981343" y="14688026"/>
          <a:ext cx="507552" cy="676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41</xdr:row>
      <xdr:rowOff>657701</xdr:rowOff>
    </xdr:from>
    <xdr:to>
      <xdr:col>43</xdr:col>
      <xdr:colOff>647570</xdr:colOff>
      <xdr:row>42</xdr:row>
      <xdr:rowOff>7243</xdr:rowOff>
    </xdr:to>
    <xdr:sp macro="" textlink="">
      <xdr:nvSpPr>
        <xdr:cNvPr id="114" name="Text Box 1">
          <a:extLst>
            <a:ext uri="{FF2B5EF4-FFF2-40B4-BE49-F238E27FC236}">
              <a16:creationId xmlns:a16="http://schemas.microsoft.com/office/drawing/2014/main" id="{53B0D25B-8418-429D-B8FB-DDDBCE941574}"/>
            </a:ext>
          </a:extLst>
        </xdr:cNvPr>
        <xdr:cNvSpPr txBox="1">
          <a:spLocks noChangeArrowheads="1"/>
        </xdr:cNvSpPr>
      </xdr:nvSpPr>
      <xdr:spPr bwMode="auto">
        <a:xfrm>
          <a:off x="25981343" y="14688026"/>
          <a:ext cx="507552" cy="676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43</xdr:col>
      <xdr:colOff>92393</xdr:colOff>
      <xdr:row>41</xdr:row>
      <xdr:rowOff>657701</xdr:rowOff>
    </xdr:from>
    <xdr:to>
      <xdr:col>43</xdr:col>
      <xdr:colOff>647570</xdr:colOff>
      <xdr:row>42</xdr:row>
      <xdr:rowOff>7243</xdr:rowOff>
    </xdr:to>
    <xdr:sp macro="" textlink="">
      <xdr:nvSpPr>
        <xdr:cNvPr id="115" name="Text Box 1">
          <a:extLst>
            <a:ext uri="{FF2B5EF4-FFF2-40B4-BE49-F238E27FC236}">
              <a16:creationId xmlns:a16="http://schemas.microsoft.com/office/drawing/2014/main" id="{335C2351-AC1B-47DC-A11A-2203D2FED490}"/>
            </a:ext>
          </a:extLst>
        </xdr:cNvPr>
        <xdr:cNvSpPr txBox="1">
          <a:spLocks noChangeArrowheads="1"/>
        </xdr:cNvSpPr>
      </xdr:nvSpPr>
      <xdr:spPr bwMode="auto">
        <a:xfrm>
          <a:off x="25981343" y="14688026"/>
          <a:ext cx="507552" cy="676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35</xdr:col>
      <xdr:colOff>126205</xdr:colOff>
      <xdr:row>11</xdr:row>
      <xdr:rowOff>688447</xdr:rowOff>
    </xdr:from>
    <xdr:to>
      <xdr:col>35</xdr:col>
      <xdr:colOff>592932</xdr:colOff>
      <xdr:row>12</xdr:row>
      <xdr:rowOff>4234</xdr:rowOff>
    </xdr:to>
    <xdr:sp macro="" textlink="">
      <xdr:nvSpPr>
        <xdr:cNvPr id="4" name="Text Box 9">
          <a:extLst>
            <a:ext uri="{FF2B5EF4-FFF2-40B4-BE49-F238E27FC236}">
              <a16:creationId xmlns:a16="http://schemas.microsoft.com/office/drawing/2014/main" id="{1D7354D8-F7B5-4AA0-87E4-D6640DA96AD1}"/>
            </a:ext>
          </a:extLst>
        </xdr:cNvPr>
        <xdr:cNvSpPr txBox="1">
          <a:spLocks noChangeArrowheads="1"/>
        </xdr:cNvSpPr>
      </xdr:nvSpPr>
      <xdr:spPr bwMode="auto">
        <a:xfrm>
          <a:off x="21214555" y="4403197"/>
          <a:ext cx="466727" cy="158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en-US" altLang="ja-JP" sz="1200" b="1" i="0" u="none" strike="noStrike" baseline="0">
            <a:solidFill>
              <a:srgbClr val="000000"/>
            </a:solidFill>
            <a:latin typeface="ＭＳ Ｐゴシック"/>
            <a:ea typeface="ＭＳ Ｐゴシック"/>
          </a:endParaRPr>
        </a:p>
      </xdr:txBody>
    </xdr:sp>
    <xdr:clientData/>
  </xdr:twoCellAnchor>
  <xdr:twoCellAnchor>
    <xdr:from>
      <xdr:col>35</xdr:col>
      <xdr:colOff>126205</xdr:colOff>
      <xdr:row>35</xdr:row>
      <xdr:rowOff>688447</xdr:rowOff>
    </xdr:from>
    <xdr:to>
      <xdr:col>35</xdr:col>
      <xdr:colOff>592932</xdr:colOff>
      <xdr:row>36</xdr:row>
      <xdr:rowOff>4234</xdr:rowOff>
    </xdr:to>
    <xdr:sp macro="" textlink="">
      <xdr:nvSpPr>
        <xdr:cNvPr id="122" name="Text Box 9">
          <a:extLst>
            <a:ext uri="{FF2B5EF4-FFF2-40B4-BE49-F238E27FC236}">
              <a16:creationId xmlns:a16="http://schemas.microsoft.com/office/drawing/2014/main" id="{3E36FAEE-6A99-4DFA-9A48-FFE7FC33B68C}"/>
            </a:ext>
          </a:extLst>
        </xdr:cNvPr>
        <xdr:cNvSpPr txBox="1">
          <a:spLocks noChangeArrowheads="1"/>
        </xdr:cNvSpPr>
      </xdr:nvSpPr>
      <xdr:spPr bwMode="auto">
        <a:xfrm>
          <a:off x="21214555" y="4403197"/>
          <a:ext cx="466727" cy="158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en-US" altLang="ja-JP" sz="1200" b="1" i="0" u="none" strike="noStrike" baseline="0">
            <a:solidFill>
              <a:srgbClr val="000000"/>
            </a:solidFill>
            <a:latin typeface="ＭＳ Ｐゴシック"/>
            <a:ea typeface="ＭＳ Ｐゴシック"/>
          </a:endParaRPr>
        </a:p>
      </xdr:txBody>
    </xdr:sp>
    <xdr:clientData/>
  </xdr:twoCellAnchor>
  <xdr:twoCellAnchor>
    <xdr:from>
      <xdr:col>35</xdr:col>
      <xdr:colOff>126205</xdr:colOff>
      <xdr:row>38</xdr:row>
      <xdr:rowOff>688447</xdr:rowOff>
    </xdr:from>
    <xdr:to>
      <xdr:col>35</xdr:col>
      <xdr:colOff>592932</xdr:colOff>
      <xdr:row>39</xdr:row>
      <xdr:rowOff>4234</xdr:rowOff>
    </xdr:to>
    <xdr:sp macro="" textlink="">
      <xdr:nvSpPr>
        <xdr:cNvPr id="123" name="Text Box 9">
          <a:extLst>
            <a:ext uri="{FF2B5EF4-FFF2-40B4-BE49-F238E27FC236}">
              <a16:creationId xmlns:a16="http://schemas.microsoft.com/office/drawing/2014/main" id="{A6E4013B-30D3-4862-8923-ACC95EB0BC1E}"/>
            </a:ext>
          </a:extLst>
        </xdr:cNvPr>
        <xdr:cNvSpPr txBox="1">
          <a:spLocks noChangeArrowheads="1"/>
        </xdr:cNvSpPr>
      </xdr:nvSpPr>
      <xdr:spPr bwMode="auto">
        <a:xfrm>
          <a:off x="21214555" y="4403197"/>
          <a:ext cx="466727" cy="158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en-US" altLang="ja-JP" sz="1200" b="1" i="0" u="none" strike="noStrike" baseline="0">
            <a:solidFill>
              <a:srgbClr val="000000"/>
            </a:solidFill>
            <a:latin typeface="ＭＳ Ｐゴシック"/>
            <a:ea typeface="ＭＳ Ｐゴシック"/>
          </a:endParaRPr>
        </a:p>
      </xdr:txBody>
    </xdr:sp>
    <xdr:clientData/>
  </xdr:twoCellAnchor>
  <xdr:twoCellAnchor>
    <xdr:from>
      <xdr:col>35</xdr:col>
      <xdr:colOff>126205</xdr:colOff>
      <xdr:row>41</xdr:row>
      <xdr:rowOff>688447</xdr:rowOff>
    </xdr:from>
    <xdr:to>
      <xdr:col>35</xdr:col>
      <xdr:colOff>592932</xdr:colOff>
      <xdr:row>42</xdr:row>
      <xdr:rowOff>4234</xdr:rowOff>
    </xdr:to>
    <xdr:sp macro="" textlink="">
      <xdr:nvSpPr>
        <xdr:cNvPr id="124" name="Text Box 9">
          <a:extLst>
            <a:ext uri="{FF2B5EF4-FFF2-40B4-BE49-F238E27FC236}">
              <a16:creationId xmlns:a16="http://schemas.microsoft.com/office/drawing/2014/main" id="{4796ED5E-1C36-4EBA-810E-E0D859C96D44}"/>
            </a:ext>
          </a:extLst>
        </xdr:cNvPr>
        <xdr:cNvSpPr txBox="1">
          <a:spLocks noChangeArrowheads="1"/>
        </xdr:cNvSpPr>
      </xdr:nvSpPr>
      <xdr:spPr bwMode="auto">
        <a:xfrm>
          <a:off x="21214555" y="4403197"/>
          <a:ext cx="466727" cy="158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en-US" altLang="ja-JP" sz="1200" b="1" i="0" u="none" strike="noStrike" baseline="0">
            <a:solidFill>
              <a:srgbClr val="000000"/>
            </a:solidFill>
            <a:latin typeface="ＭＳ Ｐゴシック"/>
            <a:ea typeface="ＭＳ Ｐゴシック"/>
          </a:endParaRPr>
        </a:p>
      </xdr:txBody>
    </xdr:sp>
    <xdr:clientData/>
  </xdr:twoCellAnchor>
  <xdr:twoCellAnchor>
    <xdr:from>
      <xdr:col>35</xdr:col>
      <xdr:colOff>126205</xdr:colOff>
      <xdr:row>11</xdr:row>
      <xdr:rowOff>688447</xdr:rowOff>
    </xdr:from>
    <xdr:to>
      <xdr:col>35</xdr:col>
      <xdr:colOff>592932</xdr:colOff>
      <xdr:row>12</xdr:row>
      <xdr:rowOff>4234</xdr:rowOff>
    </xdr:to>
    <xdr:sp macro="" textlink="">
      <xdr:nvSpPr>
        <xdr:cNvPr id="126" name="Text Box 9">
          <a:extLst>
            <a:ext uri="{FF2B5EF4-FFF2-40B4-BE49-F238E27FC236}">
              <a16:creationId xmlns:a16="http://schemas.microsoft.com/office/drawing/2014/main" id="{A0602427-09AD-471B-91AA-A6FE63B94430}"/>
            </a:ext>
          </a:extLst>
        </xdr:cNvPr>
        <xdr:cNvSpPr txBox="1">
          <a:spLocks noChangeArrowheads="1"/>
        </xdr:cNvSpPr>
      </xdr:nvSpPr>
      <xdr:spPr bwMode="auto">
        <a:xfrm>
          <a:off x="21214555" y="3126847"/>
          <a:ext cx="466727"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en-US" altLang="ja-JP" sz="1200" b="1" i="0" u="none" strike="noStrike" baseline="0">
            <a:solidFill>
              <a:srgbClr val="000000"/>
            </a:solidFill>
            <a:latin typeface="ＭＳ Ｐゴシック"/>
            <a:ea typeface="ＭＳ Ｐゴシック"/>
          </a:endParaRPr>
        </a:p>
      </xdr:txBody>
    </xdr:sp>
    <xdr:clientData/>
  </xdr:twoCellAnchor>
  <xdr:twoCellAnchor>
    <xdr:from>
      <xdr:col>35</xdr:col>
      <xdr:colOff>126205</xdr:colOff>
      <xdr:row>35</xdr:row>
      <xdr:rowOff>688447</xdr:rowOff>
    </xdr:from>
    <xdr:to>
      <xdr:col>35</xdr:col>
      <xdr:colOff>592932</xdr:colOff>
      <xdr:row>36</xdr:row>
      <xdr:rowOff>4234</xdr:rowOff>
    </xdr:to>
    <xdr:sp macro="" textlink="">
      <xdr:nvSpPr>
        <xdr:cNvPr id="134" name="Text Box 9">
          <a:extLst>
            <a:ext uri="{FF2B5EF4-FFF2-40B4-BE49-F238E27FC236}">
              <a16:creationId xmlns:a16="http://schemas.microsoft.com/office/drawing/2014/main" id="{AFFB3515-65EE-4F45-B646-D5E2A60BBEF8}"/>
            </a:ext>
          </a:extLst>
        </xdr:cNvPr>
        <xdr:cNvSpPr txBox="1">
          <a:spLocks noChangeArrowheads="1"/>
        </xdr:cNvSpPr>
      </xdr:nvSpPr>
      <xdr:spPr bwMode="auto">
        <a:xfrm>
          <a:off x="21214555" y="3126847"/>
          <a:ext cx="466727"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en-US" altLang="ja-JP" sz="1200" b="1" i="0" u="none" strike="noStrike" baseline="0">
            <a:solidFill>
              <a:srgbClr val="000000"/>
            </a:solidFill>
            <a:latin typeface="ＭＳ Ｐゴシック"/>
            <a:ea typeface="ＭＳ Ｐゴシック"/>
          </a:endParaRPr>
        </a:p>
      </xdr:txBody>
    </xdr:sp>
    <xdr:clientData/>
  </xdr:twoCellAnchor>
  <xdr:twoCellAnchor>
    <xdr:from>
      <xdr:col>35</xdr:col>
      <xdr:colOff>126205</xdr:colOff>
      <xdr:row>38</xdr:row>
      <xdr:rowOff>688447</xdr:rowOff>
    </xdr:from>
    <xdr:to>
      <xdr:col>35</xdr:col>
      <xdr:colOff>592932</xdr:colOff>
      <xdr:row>39</xdr:row>
      <xdr:rowOff>4234</xdr:rowOff>
    </xdr:to>
    <xdr:sp macro="" textlink="">
      <xdr:nvSpPr>
        <xdr:cNvPr id="144" name="Text Box 9">
          <a:extLst>
            <a:ext uri="{FF2B5EF4-FFF2-40B4-BE49-F238E27FC236}">
              <a16:creationId xmlns:a16="http://schemas.microsoft.com/office/drawing/2014/main" id="{F4FA034B-3EF1-42CC-8AC1-148FF20DE300}"/>
            </a:ext>
          </a:extLst>
        </xdr:cNvPr>
        <xdr:cNvSpPr txBox="1">
          <a:spLocks noChangeArrowheads="1"/>
        </xdr:cNvSpPr>
      </xdr:nvSpPr>
      <xdr:spPr bwMode="auto">
        <a:xfrm>
          <a:off x="21214555" y="3126847"/>
          <a:ext cx="466727"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en-US" altLang="ja-JP" sz="1200" b="1" i="0" u="none" strike="noStrike" baseline="0">
            <a:solidFill>
              <a:srgbClr val="000000"/>
            </a:solidFill>
            <a:latin typeface="ＭＳ Ｐゴシック"/>
            <a:ea typeface="ＭＳ Ｐゴシック"/>
          </a:endParaRPr>
        </a:p>
      </xdr:txBody>
    </xdr:sp>
    <xdr:clientData/>
  </xdr:twoCellAnchor>
  <xdr:twoCellAnchor>
    <xdr:from>
      <xdr:col>35</xdr:col>
      <xdr:colOff>126205</xdr:colOff>
      <xdr:row>41</xdr:row>
      <xdr:rowOff>688447</xdr:rowOff>
    </xdr:from>
    <xdr:to>
      <xdr:col>35</xdr:col>
      <xdr:colOff>592932</xdr:colOff>
      <xdr:row>42</xdr:row>
      <xdr:rowOff>4234</xdr:rowOff>
    </xdr:to>
    <xdr:sp macro="" textlink="">
      <xdr:nvSpPr>
        <xdr:cNvPr id="145" name="Text Box 9">
          <a:extLst>
            <a:ext uri="{FF2B5EF4-FFF2-40B4-BE49-F238E27FC236}">
              <a16:creationId xmlns:a16="http://schemas.microsoft.com/office/drawing/2014/main" id="{676911A9-5043-43F9-859E-830D41B5010A}"/>
            </a:ext>
          </a:extLst>
        </xdr:cNvPr>
        <xdr:cNvSpPr txBox="1">
          <a:spLocks noChangeArrowheads="1"/>
        </xdr:cNvSpPr>
      </xdr:nvSpPr>
      <xdr:spPr bwMode="auto">
        <a:xfrm>
          <a:off x="21214555" y="3126847"/>
          <a:ext cx="466727"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en-US" altLang="ja-JP" sz="1200" b="1" i="0" u="none" strike="noStrike" baseline="0">
            <a:solidFill>
              <a:srgbClr val="000000"/>
            </a:solidFill>
            <a:latin typeface="ＭＳ Ｐゴシック"/>
            <a:ea typeface="ＭＳ Ｐゴシック"/>
          </a:endParaRPr>
        </a:p>
      </xdr:txBody>
    </xdr:sp>
    <xdr:clientData/>
  </xdr:twoCellAnchor>
  <xdr:twoCellAnchor>
    <xdr:from>
      <xdr:col>35</xdr:col>
      <xdr:colOff>126205</xdr:colOff>
      <xdr:row>8</xdr:row>
      <xdr:rowOff>688447</xdr:rowOff>
    </xdr:from>
    <xdr:to>
      <xdr:col>35</xdr:col>
      <xdr:colOff>592932</xdr:colOff>
      <xdr:row>9</xdr:row>
      <xdr:rowOff>4234</xdr:rowOff>
    </xdr:to>
    <xdr:sp macro="" textlink="">
      <xdr:nvSpPr>
        <xdr:cNvPr id="30810" name="Text Box 9">
          <a:extLst>
            <a:ext uri="{FF2B5EF4-FFF2-40B4-BE49-F238E27FC236}">
              <a16:creationId xmlns:a16="http://schemas.microsoft.com/office/drawing/2014/main" id="{09E2C559-518A-451D-B93F-1BC3A5C46AED}"/>
            </a:ext>
          </a:extLst>
        </xdr:cNvPr>
        <xdr:cNvSpPr txBox="1">
          <a:spLocks noChangeArrowheads="1"/>
        </xdr:cNvSpPr>
      </xdr:nvSpPr>
      <xdr:spPr bwMode="auto">
        <a:xfrm>
          <a:off x="21162848" y="3124126"/>
          <a:ext cx="466727" cy="25467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en-US" altLang="ja-JP" sz="1200" b="1" i="0" u="none" strike="noStrike" baseline="0">
            <a:solidFill>
              <a:srgbClr val="000000"/>
            </a:solidFill>
            <a:latin typeface="ＭＳ Ｐゴシック"/>
            <a:ea typeface="ＭＳ Ｐゴシック"/>
          </a:endParaRPr>
        </a:p>
      </xdr:txBody>
    </xdr:sp>
    <xdr:clientData/>
  </xdr:twoCellAnchor>
  <xdr:twoCellAnchor>
    <xdr:from>
      <xdr:col>35</xdr:col>
      <xdr:colOff>126205</xdr:colOff>
      <xdr:row>11</xdr:row>
      <xdr:rowOff>688447</xdr:rowOff>
    </xdr:from>
    <xdr:to>
      <xdr:col>35</xdr:col>
      <xdr:colOff>592932</xdr:colOff>
      <xdr:row>12</xdr:row>
      <xdr:rowOff>4234</xdr:rowOff>
    </xdr:to>
    <xdr:sp macro="" textlink="">
      <xdr:nvSpPr>
        <xdr:cNvPr id="30811" name="Text Box 9">
          <a:extLst>
            <a:ext uri="{FF2B5EF4-FFF2-40B4-BE49-F238E27FC236}">
              <a16:creationId xmlns:a16="http://schemas.microsoft.com/office/drawing/2014/main" id="{BC26A790-41D2-46F5-88D7-ECBDBF9240A3}"/>
            </a:ext>
          </a:extLst>
        </xdr:cNvPr>
        <xdr:cNvSpPr txBox="1">
          <a:spLocks noChangeArrowheads="1"/>
        </xdr:cNvSpPr>
      </xdr:nvSpPr>
      <xdr:spPr bwMode="auto">
        <a:xfrm>
          <a:off x="21162848" y="3124126"/>
          <a:ext cx="466727" cy="25467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en-US" altLang="ja-JP" sz="1200" b="1" i="0" u="none" strike="noStrike" baseline="0">
            <a:solidFill>
              <a:srgbClr val="000000"/>
            </a:solidFill>
            <a:latin typeface="ＭＳ Ｐゴシック"/>
            <a:ea typeface="ＭＳ Ｐゴシック"/>
          </a:endParaRPr>
        </a:p>
      </xdr:txBody>
    </xdr:sp>
    <xdr:clientData/>
  </xdr:twoCellAnchor>
  <xdr:twoCellAnchor>
    <xdr:from>
      <xdr:col>35</xdr:col>
      <xdr:colOff>126205</xdr:colOff>
      <xdr:row>14</xdr:row>
      <xdr:rowOff>688447</xdr:rowOff>
    </xdr:from>
    <xdr:to>
      <xdr:col>35</xdr:col>
      <xdr:colOff>592932</xdr:colOff>
      <xdr:row>15</xdr:row>
      <xdr:rowOff>4234</xdr:rowOff>
    </xdr:to>
    <xdr:sp macro="" textlink="">
      <xdr:nvSpPr>
        <xdr:cNvPr id="30812" name="Text Box 9">
          <a:extLst>
            <a:ext uri="{FF2B5EF4-FFF2-40B4-BE49-F238E27FC236}">
              <a16:creationId xmlns:a16="http://schemas.microsoft.com/office/drawing/2014/main" id="{E00000F8-58A3-4DE3-A7B4-88D3A587BF15}"/>
            </a:ext>
          </a:extLst>
        </xdr:cNvPr>
        <xdr:cNvSpPr txBox="1">
          <a:spLocks noChangeArrowheads="1"/>
        </xdr:cNvSpPr>
      </xdr:nvSpPr>
      <xdr:spPr bwMode="auto">
        <a:xfrm>
          <a:off x="21162848" y="3124126"/>
          <a:ext cx="466727" cy="25467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en-US" altLang="ja-JP" sz="1200" b="1" i="0" u="none" strike="noStrike" baseline="0">
            <a:solidFill>
              <a:srgbClr val="000000"/>
            </a:solidFill>
            <a:latin typeface="ＭＳ Ｐゴシック"/>
            <a:ea typeface="ＭＳ Ｐゴシック"/>
          </a:endParaRPr>
        </a:p>
      </xdr:txBody>
    </xdr:sp>
    <xdr:clientData/>
  </xdr:twoCellAnchor>
  <xdr:twoCellAnchor>
    <xdr:from>
      <xdr:col>35</xdr:col>
      <xdr:colOff>126205</xdr:colOff>
      <xdr:row>35</xdr:row>
      <xdr:rowOff>688447</xdr:rowOff>
    </xdr:from>
    <xdr:to>
      <xdr:col>35</xdr:col>
      <xdr:colOff>592932</xdr:colOff>
      <xdr:row>36</xdr:row>
      <xdr:rowOff>4234</xdr:rowOff>
    </xdr:to>
    <xdr:sp macro="" textlink="">
      <xdr:nvSpPr>
        <xdr:cNvPr id="30817" name="Text Box 9">
          <a:extLst>
            <a:ext uri="{FF2B5EF4-FFF2-40B4-BE49-F238E27FC236}">
              <a16:creationId xmlns:a16="http://schemas.microsoft.com/office/drawing/2014/main" id="{2B9590D9-078B-40FA-ABE0-387254C04401}"/>
            </a:ext>
          </a:extLst>
        </xdr:cNvPr>
        <xdr:cNvSpPr txBox="1">
          <a:spLocks noChangeArrowheads="1"/>
        </xdr:cNvSpPr>
      </xdr:nvSpPr>
      <xdr:spPr bwMode="auto">
        <a:xfrm>
          <a:off x="21162848" y="3124126"/>
          <a:ext cx="466727" cy="25467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en-US" altLang="ja-JP" sz="1200" b="1" i="0" u="none" strike="noStrike" baseline="0">
            <a:solidFill>
              <a:srgbClr val="000000"/>
            </a:solidFill>
            <a:latin typeface="ＭＳ Ｐゴシック"/>
            <a:ea typeface="ＭＳ Ｐゴシック"/>
          </a:endParaRPr>
        </a:p>
      </xdr:txBody>
    </xdr:sp>
    <xdr:clientData/>
  </xdr:twoCellAnchor>
  <xdr:twoCellAnchor>
    <xdr:from>
      <xdr:col>35</xdr:col>
      <xdr:colOff>126205</xdr:colOff>
      <xdr:row>38</xdr:row>
      <xdr:rowOff>688447</xdr:rowOff>
    </xdr:from>
    <xdr:to>
      <xdr:col>35</xdr:col>
      <xdr:colOff>592932</xdr:colOff>
      <xdr:row>39</xdr:row>
      <xdr:rowOff>4234</xdr:rowOff>
    </xdr:to>
    <xdr:sp macro="" textlink="">
      <xdr:nvSpPr>
        <xdr:cNvPr id="30818" name="Text Box 9">
          <a:extLst>
            <a:ext uri="{FF2B5EF4-FFF2-40B4-BE49-F238E27FC236}">
              <a16:creationId xmlns:a16="http://schemas.microsoft.com/office/drawing/2014/main" id="{BCAFD05F-BC22-4226-A53A-77CDD3594002}"/>
            </a:ext>
          </a:extLst>
        </xdr:cNvPr>
        <xdr:cNvSpPr txBox="1">
          <a:spLocks noChangeArrowheads="1"/>
        </xdr:cNvSpPr>
      </xdr:nvSpPr>
      <xdr:spPr bwMode="auto">
        <a:xfrm>
          <a:off x="21162848" y="3124126"/>
          <a:ext cx="466727" cy="25467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en-US" altLang="ja-JP" sz="1200" b="1" i="0" u="none" strike="noStrike" baseline="0">
            <a:solidFill>
              <a:srgbClr val="000000"/>
            </a:solidFill>
            <a:latin typeface="ＭＳ Ｐゴシック"/>
            <a:ea typeface="ＭＳ Ｐゴシック"/>
          </a:endParaRPr>
        </a:p>
      </xdr:txBody>
    </xdr:sp>
    <xdr:clientData/>
  </xdr:twoCellAnchor>
  <xdr:twoCellAnchor>
    <xdr:from>
      <xdr:col>35</xdr:col>
      <xdr:colOff>126205</xdr:colOff>
      <xdr:row>41</xdr:row>
      <xdr:rowOff>688447</xdr:rowOff>
    </xdr:from>
    <xdr:to>
      <xdr:col>35</xdr:col>
      <xdr:colOff>592932</xdr:colOff>
      <xdr:row>42</xdr:row>
      <xdr:rowOff>4234</xdr:rowOff>
    </xdr:to>
    <xdr:sp macro="" textlink="">
      <xdr:nvSpPr>
        <xdr:cNvPr id="30819" name="Text Box 9">
          <a:extLst>
            <a:ext uri="{FF2B5EF4-FFF2-40B4-BE49-F238E27FC236}">
              <a16:creationId xmlns:a16="http://schemas.microsoft.com/office/drawing/2014/main" id="{A251DFCA-3A5B-4373-9FB8-D355510998D4}"/>
            </a:ext>
          </a:extLst>
        </xdr:cNvPr>
        <xdr:cNvSpPr txBox="1">
          <a:spLocks noChangeArrowheads="1"/>
        </xdr:cNvSpPr>
      </xdr:nvSpPr>
      <xdr:spPr bwMode="auto">
        <a:xfrm>
          <a:off x="21162848" y="3124126"/>
          <a:ext cx="466727" cy="25467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en-US" altLang="ja-JP" sz="1200" b="1" i="0" u="none" strike="noStrike" baseline="0">
            <a:solidFill>
              <a:srgbClr val="000000"/>
            </a:solidFill>
            <a:latin typeface="ＭＳ Ｐゴシック"/>
            <a:ea typeface="ＭＳ Ｐゴシック"/>
          </a:endParaRPr>
        </a:p>
      </xdr:txBody>
    </xdr:sp>
    <xdr:clientData/>
  </xdr:twoCellAnchor>
  <xdr:twoCellAnchor>
    <xdr:from>
      <xdr:col>29</xdr:col>
      <xdr:colOff>593459</xdr:colOff>
      <xdr:row>8</xdr:row>
      <xdr:rowOff>703792</xdr:rowOff>
    </xdr:from>
    <xdr:to>
      <xdr:col>31</xdr:col>
      <xdr:colOff>29103</xdr:colOff>
      <xdr:row>9</xdr:row>
      <xdr:rowOff>14817</xdr:rowOff>
    </xdr:to>
    <xdr:sp macro="" textlink="">
      <xdr:nvSpPr>
        <xdr:cNvPr id="3" name="Text Box 9">
          <a:extLst>
            <a:ext uri="{FF2B5EF4-FFF2-40B4-BE49-F238E27FC236}">
              <a16:creationId xmlns:a16="http://schemas.microsoft.com/office/drawing/2014/main" id="{5A7948FE-D180-4352-98DD-8CA36D132293}"/>
            </a:ext>
          </a:extLst>
        </xdr:cNvPr>
        <xdr:cNvSpPr txBox="1">
          <a:spLocks noChangeArrowheads="1"/>
        </xdr:cNvSpPr>
      </xdr:nvSpPr>
      <xdr:spPr bwMode="auto">
        <a:xfrm>
          <a:off x="18037816" y="3139471"/>
          <a:ext cx="633073" cy="24991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29</xdr:col>
      <xdr:colOff>593459</xdr:colOff>
      <xdr:row>11</xdr:row>
      <xdr:rowOff>703792</xdr:rowOff>
    </xdr:from>
    <xdr:to>
      <xdr:col>31</xdr:col>
      <xdr:colOff>29103</xdr:colOff>
      <xdr:row>12</xdr:row>
      <xdr:rowOff>14817</xdr:rowOff>
    </xdr:to>
    <xdr:sp macro="" textlink="">
      <xdr:nvSpPr>
        <xdr:cNvPr id="5" name="Text Box 9">
          <a:extLst>
            <a:ext uri="{FF2B5EF4-FFF2-40B4-BE49-F238E27FC236}">
              <a16:creationId xmlns:a16="http://schemas.microsoft.com/office/drawing/2014/main" id="{B9BD3595-E1FD-4564-B873-4A3F5F98D6FE}"/>
            </a:ext>
          </a:extLst>
        </xdr:cNvPr>
        <xdr:cNvSpPr txBox="1">
          <a:spLocks noChangeArrowheads="1"/>
        </xdr:cNvSpPr>
      </xdr:nvSpPr>
      <xdr:spPr bwMode="auto">
        <a:xfrm>
          <a:off x="18037816" y="3139471"/>
          <a:ext cx="633073" cy="24991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29</xdr:col>
      <xdr:colOff>593459</xdr:colOff>
      <xdr:row>14</xdr:row>
      <xdr:rowOff>703792</xdr:rowOff>
    </xdr:from>
    <xdr:to>
      <xdr:col>31</xdr:col>
      <xdr:colOff>29103</xdr:colOff>
      <xdr:row>15</xdr:row>
      <xdr:rowOff>14817</xdr:rowOff>
    </xdr:to>
    <xdr:sp macro="" textlink="">
      <xdr:nvSpPr>
        <xdr:cNvPr id="46" name="Text Box 9">
          <a:extLst>
            <a:ext uri="{FF2B5EF4-FFF2-40B4-BE49-F238E27FC236}">
              <a16:creationId xmlns:a16="http://schemas.microsoft.com/office/drawing/2014/main" id="{3380DD32-E233-4A95-BC75-0812DA8D2128}"/>
            </a:ext>
          </a:extLst>
        </xdr:cNvPr>
        <xdr:cNvSpPr txBox="1">
          <a:spLocks noChangeArrowheads="1"/>
        </xdr:cNvSpPr>
      </xdr:nvSpPr>
      <xdr:spPr bwMode="auto">
        <a:xfrm>
          <a:off x="18037816" y="3139471"/>
          <a:ext cx="633073" cy="24991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29</xdr:col>
      <xdr:colOff>593459</xdr:colOff>
      <xdr:row>17</xdr:row>
      <xdr:rowOff>703792</xdr:rowOff>
    </xdr:from>
    <xdr:to>
      <xdr:col>31</xdr:col>
      <xdr:colOff>29103</xdr:colOff>
      <xdr:row>18</xdr:row>
      <xdr:rowOff>14817</xdr:rowOff>
    </xdr:to>
    <xdr:sp macro="" textlink="">
      <xdr:nvSpPr>
        <xdr:cNvPr id="116" name="Text Box 9">
          <a:extLst>
            <a:ext uri="{FF2B5EF4-FFF2-40B4-BE49-F238E27FC236}">
              <a16:creationId xmlns:a16="http://schemas.microsoft.com/office/drawing/2014/main" id="{0EFEBB57-532A-4896-AD4B-9789641E3C89}"/>
            </a:ext>
          </a:extLst>
        </xdr:cNvPr>
        <xdr:cNvSpPr txBox="1">
          <a:spLocks noChangeArrowheads="1"/>
        </xdr:cNvSpPr>
      </xdr:nvSpPr>
      <xdr:spPr bwMode="auto">
        <a:xfrm>
          <a:off x="18037816" y="3139471"/>
          <a:ext cx="633073" cy="24991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29</xdr:col>
      <xdr:colOff>593459</xdr:colOff>
      <xdr:row>20</xdr:row>
      <xdr:rowOff>703792</xdr:rowOff>
    </xdr:from>
    <xdr:to>
      <xdr:col>31</xdr:col>
      <xdr:colOff>29103</xdr:colOff>
      <xdr:row>21</xdr:row>
      <xdr:rowOff>14817</xdr:rowOff>
    </xdr:to>
    <xdr:sp macro="" textlink="">
      <xdr:nvSpPr>
        <xdr:cNvPr id="117" name="Text Box 9">
          <a:extLst>
            <a:ext uri="{FF2B5EF4-FFF2-40B4-BE49-F238E27FC236}">
              <a16:creationId xmlns:a16="http://schemas.microsoft.com/office/drawing/2014/main" id="{818A2829-0EEC-4E1F-80DB-F4FC7945F9C6}"/>
            </a:ext>
          </a:extLst>
        </xdr:cNvPr>
        <xdr:cNvSpPr txBox="1">
          <a:spLocks noChangeArrowheads="1"/>
        </xdr:cNvSpPr>
      </xdr:nvSpPr>
      <xdr:spPr bwMode="auto">
        <a:xfrm>
          <a:off x="18037816" y="3139471"/>
          <a:ext cx="633073" cy="24991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29</xdr:col>
      <xdr:colOff>593459</xdr:colOff>
      <xdr:row>23</xdr:row>
      <xdr:rowOff>703792</xdr:rowOff>
    </xdr:from>
    <xdr:to>
      <xdr:col>31</xdr:col>
      <xdr:colOff>29103</xdr:colOff>
      <xdr:row>24</xdr:row>
      <xdr:rowOff>14817</xdr:rowOff>
    </xdr:to>
    <xdr:sp macro="" textlink="">
      <xdr:nvSpPr>
        <xdr:cNvPr id="118" name="Text Box 9">
          <a:extLst>
            <a:ext uri="{FF2B5EF4-FFF2-40B4-BE49-F238E27FC236}">
              <a16:creationId xmlns:a16="http://schemas.microsoft.com/office/drawing/2014/main" id="{614354AF-6D2E-45D3-9D72-ACF5BF21B129}"/>
            </a:ext>
          </a:extLst>
        </xdr:cNvPr>
        <xdr:cNvSpPr txBox="1">
          <a:spLocks noChangeArrowheads="1"/>
        </xdr:cNvSpPr>
      </xdr:nvSpPr>
      <xdr:spPr bwMode="auto">
        <a:xfrm>
          <a:off x="18037816" y="3139471"/>
          <a:ext cx="633073" cy="24991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29</xdr:col>
      <xdr:colOff>593459</xdr:colOff>
      <xdr:row>26</xdr:row>
      <xdr:rowOff>703792</xdr:rowOff>
    </xdr:from>
    <xdr:to>
      <xdr:col>31</xdr:col>
      <xdr:colOff>29103</xdr:colOff>
      <xdr:row>27</xdr:row>
      <xdr:rowOff>14817</xdr:rowOff>
    </xdr:to>
    <xdr:sp macro="" textlink="">
      <xdr:nvSpPr>
        <xdr:cNvPr id="119" name="Text Box 9">
          <a:extLst>
            <a:ext uri="{FF2B5EF4-FFF2-40B4-BE49-F238E27FC236}">
              <a16:creationId xmlns:a16="http://schemas.microsoft.com/office/drawing/2014/main" id="{F8B6E226-1E92-41BE-87E3-7EAFB13CB0A9}"/>
            </a:ext>
          </a:extLst>
        </xdr:cNvPr>
        <xdr:cNvSpPr txBox="1">
          <a:spLocks noChangeArrowheads="1"/>
        </xdr:cNvSpPr>
      </xdr:nvSpPr>
      <xdr:spPr bwMode="auto">
        <a:xfrm>
          <a:off x="18037816" y="3139471"/>
          <a:ext cx="633073" cy="24991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29</xdr:col>
      <xdr:colOff>593459</xdr:colOff>
      <xdr:row>29</xdr:row>
      <xdr:rowOff>703792</xdr:rowOff>
    </xdr:from>
    <xdr:to>
      <xdr:col>31</xdr:col>
      <xdr:colOff>29103</xdr:colOff>
      <xdr:row>30</xdr:row>
      <xdr:rowOff>14817</xdr:rowOff>
    </xdr:to>
    <xdr:sp macro="" textlink="">
      <xdr:nvSpPr>
        <xdr:cNvPr id="120" name="Text Box 9">
          <a:extLst>
            <a:ext uri="{FF2B5EF4-FFF2-40B4-BE49-F238E27FC236}">
              <a16:creationId xmlns:a16="http://schemas.microsoft.com/office/drawing/2014/main" id="{0BECA165-EB44-43F9-B9CF-620DC5357867}"/>
            </a:ext>
          </a:extLst>
        </xdr:cNvPr>
        <xdr:cNvSpPr txBox="1">
          <a:spLocks noChangeArrowheads="1"/>
        </xdr:cNvSpPr>
      </xdr:nvSpPr>
      <xdr:spPr bwMode="auto">
        <a:xfrm>
          <a:off x="18037816" y="3139471"/>
          <a:ext cx="633073" cy="24991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29</xdr:col>
      <xdr:colOff>593459</xdr:colOff>
      <xdr:row>32</xdr:row>
      <xdr:rowOff>703792</xdr:rowOff>
    </xdr:from>
    <xdr:to>
      <xdr:col>31</xdr:col>
      <xdr:colOff>29103</xdr:colOff>
      <xdr:row>33</xdr:row>
      <xdr:rowOff>14817</xdr:rowOff>
    </xdr:to>
    <xdr:sp macro="" textlink="">
      <xdr:nvSpPr>
        <xdr:cNvPr id="121" name="Text Box 9">
          <a:extLst>
            <a:ext uri="{FF2B5EF4-FFF2-40B4-BE49-F238E27FC236}">
              <a16:creationId xmlns:a16="http://schemas.microsoft.com/office/drawing/2014/main" id="{FC7261C6-D6BB-4B45-A088-BF8D0A094DD8}"/>
            </a:ext>
          </a:extLst>
        </xdr:cNvPr>
        <xdr:cNvSpPr txBox="1">
          <a:spLocks noChangeArrowheads="1"/>
        </xdr:cNvSpPr>
      </xdr:nvSpPr>
      <xdr:spPr bwMode="auto">
        <a:xfrm>
          <a:off x="18037816" y="3139471"/>
          <a:ext cx="633073" cy="24991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29</xdr:col>
      <xdr:colOff>593459</xdr:colOff>
      <xdr:row>35</xdr:row>
      <xdr:rowOff>703792</xdr:rowOff>
    </xdr:from>
    <xdr:to>
      <xdr:col>31</xdr:col>
      <xdr:colOff>29103</xdr:colOff>
      <xdr:row>36</xdr:row>
      <xdr:rowOff>14817</xdr:rowOff>
    </xdr:to>
    <xdr:sp macro="" textlink="">
      <xdr:nvSpPr>
        <xdr:cNvPr id="125" name="Text Box 9">
          <a:extLst>
            <a:ext uri="{FF2B5EF4-FFF2-40B4-BE49-F238E27FC236}">
              <a16:creationId xmlns:a16="http://schemas.microsoft.com/office/drawing/2014/main" id="{BFED1AD7-B9B3-4490-9692-B1EE055428B5}"/>
            </a:ext>
          </a:extLst>
        </xdr:cNvPr>
        <xdr:cNvSpPr txBox="1">
          <a:spLocks noChangeArrowheads="1"/>
        </xdr:cNvSpPr>
      </xdr:nvSpPr>
      <xdr:spPr bwMode="auto">
        <a:xfrm>
          <a:off x="18037816" y="3139471"/>
          <a:ext cx="633073" cy="24991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29</xdr:col>
      <xdr:colOff>593459</xdr:colOff>
      <xdr:row>38</xdr:row>
      <xdr:rowOff>703792</xdr:rowOff>
    </xdr:from>
    <xdr:to>
      <xdr:col>31</xdr:col>
      <xdr:colOff>29103</xdr:colOff>
      <xdr:row>39</xdr:row>
      <xdr:rowOff>14817</xdr:rowOff>
    </xdr:to>
    <xdr:sp macro="" textlink="">
      <xdr:nvSpPr>
        <xdr:cNvPr id="127" name="Text Box 9">
          <a:extLst>
            <a:ext uri="{FF2B5EF4-FFF2-40B4-BE49-F238E27FC236}">
              <a16:creationId xmlns:a16="http://schemas.microsoft.com/office/drawing/2014/main" id="{CB9988B7-4725-424D-AC27-CAB6B5532F9E}"/>
            </a:ext>
          </a:extLst>
        </xdr:cNvPr>
        <xdr:cNvSpPr txBox="1">
          <a:spLocks noChangeArrowheads="1"/>
        </xdr:cNvSpPr>
      </xdr:nvSpPr>
      <xdr:spPr bwMode="auto">
        <a:xfrm>
          <a:off x="18037816" y="3139471"/>
          <a:ext cx="633073" cy="24991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29</xdr:col>
      <xdr:colOff>593459</xdr:colOff>
      <xdr:row>41</xdr:row>
      <xdr:rowOff>703792</xdr:rowOff>
    </xdr:from>
    <xdr:to>
      <xdr:col>31</xdr:col>
      <xdr:colOff>29103</xdr:colOff>
      <xdr:row>42</xdr:row>
      <xdr:rowOff>14817</xdr:rowOff>
    </xdr:to>
    <xdr:sp macro="" textlink="">
      <xdr:nvSpPr>
        <xdr:cNvPr id="30784" name="Text Box 9">
          <a:extLst>
            <a:ext uri="{FF2B5EF4-FFF2-40B4-BE49-F238E27FC236}">
              <a16:creationId xmlns:a16="http://schemas.microsoft.com/office/drawing/2014/main" id="{7C9B6DEE-E988-4727-BAFE-5E381F3E119B}"/>
            </a:ext>
          </a:extLst>
        </xdr:cNvPr>
        <xdr:cNvSpPr txBox="1">
          <a:spLocks noChangeArrowheads="1"/>
        </xdr:cNvSpPr>
      </xdr:nvSpPr>
      <xdr:spPr bwMode="auto">
        <a:xfrm>
          <a:off x="18037816" y="3139471"/>
          <a:ext cx="633073" cy="24991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50800</xdr:colOff>
      <xdr:row>0</xdr:row>
      <xdr:rowOff>114300</xdr:rowOff>
    </xdr:from>
    <xdr:to>
      <xdr:col>17</xdr:col>
      <xdr:colOff>622300</xdr:colOff>
      <xdr:row>2</xdr:row>
      <xdr:rowOff>406400</xdr:rowOff>
    </xdr:to>
    <xdr:sp macro="" textlink="">
      <xdr:nvSpPr>
        <xdr:cNvPr id="2" name="テキスト ボックス 1">
          <a:extLst>
            <a:ext uri="{FF2B5EF4-FFF2-40B4-BE49-F238E27FC236}">
              <a16:creationId xmlns:a16="http://schemas.microsoft.com/office/drawing/2014/main" id="{F9A27FBB-1F1E-485E-A259-89DC7C929F0C}"/>
            </a:ext>
          </a:extLst>
        </xdr:cNvPr>
        <xdr:cNvSpPr txBox="1"/>
      </xdr:nvSpPr>
      <xdr:spPr>
        <a:xfrm>
          <a:off x="10261600" y="114300"/>
          <a:ext cx="3416300" cy="800100"/>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「講師配置加算」の算定を受けている場合、</a:t>
          </a:r>
          <a:endParaRPr kumimoji="1" lang="en-US" altLang="ja-JP" sz="1200" b="1">
            <a:solidFill>
              <a:srgbClr val="FF0000"/>
            </a:solidFill>
          </a:endParaRPr>
        </a:p>
        <a:p>
          <a:r>
            <a:rPr kumimoji="1" lang="ja-JP" altLang="en-US" sz="1200" b="1">
              <a:solidFill>
                <a:srgbClr val="FF0000"/>
              </a:solidFill>
            </a:rPr>
            <a:t>当該加算の算定を受けるために配置している</a:t>
          </a:r>
          <a:endParaRPr kumimoji="1" lang="en-US" altLang="ja-JP" sz="1200" b="1">
            <a:solidFill>
              <a:srgbClr val="FF0000"/>
            </a:solidFill>
          </a:endParaRPr>
        </a:p>
        <a:p>
          <a:r>
            <a:rPr kumimoji="1" lang="ja-JP" altLang="en-US" sz="1200" b="1">
              <a:solidFill>
                <a:srgbClr val="FF0000"/>
              </a:solidFill>
            </a:rPr>
            <a:t>講師は入力しないでください。</a:t>
          </a:r>
          <a:endParaRPr kumimoji="1" lang="en-US" altLang="ja-JP"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257175</xdr:colOff>
      <xdr:row>45</xdr:row>
      <xdr:rowOff>28575</xdr:rowOff>
    </xdr:from>
    <xdr:to>
      <xdr:col>13</xdr:col>
      <xdr:colOff>190500</xdr:colOff>
      <xdr:row>55</xdr:row>
      <xdr:rowOff>66675</xdr:rowOff>
    </xdr:to>
    <xdr:cxnSp macro="">
      <xdr:nvCxnSpPr>
        <xdr:cNvPr id="51571" name="直線矢印コネクタ 2">
          <a:extLst>
            <a:ext uri="{FF2B5EF4-FFF2-40B4-BE49-F238E27FC236}">
              <a16:creationId xmlns:a16="http://schemas.microsoft.com/office/drawing/2014/main" id="{52F0EF3D-15F1-406D-A7B8-B1AA7BD607C7}"/>
            </a:ext>
          </a:extLst>
        </xdr:cNvPr>
        <xdr:cNvCxnSpPr>
          <a:cxnSpLocks noChangeShapeType="1"/>
        </xdr:cNvCxnSpPr>
      </xdr:nvCxnSpPr>
      <xdr:spPr bwMode="auto">
        <a:xfrm flipH="1">
          <a:off x="5095875" y="10086975"/>
          <a:ext cx="209550" cy="2819400"/>
        </a:xfrm>
        <a:prstGeom prst="straightConnector1">
          <a:avLst/>
        </a:prstGeom>
        <a:noFill/>
        <a:ln w="9525" algn="ctr">
          <a:solidFill>
            <a:srgbClr val="4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25400</xdr:colOff>
      <xdr:row>0</xdr:row>
      <xdr:rowOff>114300</xdr:rowOff>
    </xdr:from>
    <xdr:to>
      <xdr:col>37</xdr:col>
      <xdr:colOff>254000</xdr:colOff>
      <xdr:row>2</xdr:row>
      <xdr:rowOff>457200</xdr:rowOff>
    </xdr:to>
    <xdr:sp macro="" textlink="">
      <xdr:nvSpPr>
        <xdr:cNvPr id="4" name="テキスト ボックス 3">
          <a:extLst>
            <a:ext uri="{FF2B5EF4-FFF2-40B4-BE49-F238E27FC236}">
              <a16:creationId xmlns:a16="http://schemas.microsoft.com/office/drawing/2014/main" id="{09233F06-3E3D-493D-9B63-BADA473948CE}"/>
            </a:ext>
          </a:extLst>
        </xdr:cNvPr>
        <xdr:cNvSpPr txBox="1"/>
      </xdr:nvSpPr>
      <xdr:spPr>
        <a:xfrm>
          <a:off x="13601700" y="114300"/>
          <a:ext cx="3556000" cy="850900"/>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「講師配置加算」の算定を受けている場合、</a:t>
          </a:r>
          <a:endParaRPr kumimoji="1" lang="en-US" altLang="ja-JP" sz="1200" b="1">
            <a:solidFill>
              <a:srgbClr val="FF0000"/>
            </a:solidFill>
          </a:endParaRPr>
        </a:p>
        <a:p>
          <a:r>
            <a:rPr kumimoji="1" lang="ja-JP" altLang="en-US" sz="1200" b="1">
              <a:solidFill>
                <a:srgbClr val="FF0000"/>
              </a:solidFill>
            </a:rPr>
            <a:t>当該加算の算定を受けるために配置している</a:t>
          </a:r>
          <a:endParaRPr kumimoji="1" lang="en-US" altLang="ja-JP" sz="1200" b="1">
            <a:solidFill>
              <a:srgbClr val="FF0000"/>
            </a:solidFill>
          </a:endParaRPr>
        </a:p>
        <a:p>
          <a:r>
            <a:rPr kumimoji="1" lang="ja-JP" altLang="en-US" sz="1200" b="1">
              <a:solidFill>
                <a:srgbClr val="FF0000"/>
              </a:solidFill>
            </a:rPr>
            <a:t>講師は入力しないでください。</a:t>
          </a:r>
          <a:endParaRPr kumimoji="1" lang="en-US" altLang="ja-JP" sz="12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304800</xdr:colOff>
      <xdr:row>11</xdr:row>
      <xdr:rowOff>215900</xdr:rowOff>
    </xdr:from>
    <xdr:to>
      <xdr:col>50</xdr:col>
      <xdr:colOff>571500</xdr:colOff>
      <xdr:row>15</xdr:row>
      <xdr:rowOff>317501</xdr:rowOff>
    </xdr:to>
    <xdr:sp macro="" textlink="">
      <xdr:nvSpPr>
        <xdr:cNvPr id="2" name="線吹き出し 2 (枠付き) 1">
          <a:extLst>
            <a:ext uri="{FF2B5EF4-FFF2-40B4-BE49-F238E27FC236}">
              <a16:creationId xmlns:a16="http://schemas.microsoft.com/office/drawing/2014/main" id="{78C96DE4-0848-49FB-9AE8-1E8A7425EEC2}"/>
            </a:ext>
          </a:extLst>
        </xdr:cNvPr>
        <xdr:cNvSpPr/>
      </xdr:nvSpPr>
      <xdr:spPr bwMode="auto">
        <a:xfrm>
          <a:off x="20535900" y="3365500"/>
          <a:ext cx="3619500" cy="1422401"/>
        </a:xfrm>
        <a:prstGeom prst="borderCallout2">
          <a:avLst>
            <a:gd name="adj1" fmla="val 18750"/>
            <a:gd name="adj2" fmla="val -8333"/>
            <a:gd name="adj3" fmla="val 18750"/>
            <a:gd name="adj4" fmla="val -16667"/>
            <a:gd name="adj5" fmla="val -37037"/>
            <a:gd name="adj6" fmla="val -85108"/>
          </a:avLst>
        </a:prstGeom>
        <a:solidFill>
          <a:schemeClr val="bg1"/>
        </a:solidFill>
        <a:ln w="9525" cap="flat" cmpd="sng" algn="ctr">
          <a:solidFill>
            <a:srgbClr val="400000"/>
          </a:solidFill>
          <a:prstDash val="solid"/>
          <a:round/>
          <a:headEnd type="none" w="med" len="med"/>
          <a:tailEnd type="none" w="med" len="med"/>
        </a:ln>
        <a:effectLst>
          <a:outerShdw blurRad="50800" dist="38100" dir="5400000" algn="ctr" rotWithShape="0">
            <a:srgbClr val="000000">
              <a:alpha val="86000"/>
            </a:srgbClr>
          </a:outerShdw>
        </a:effectLst>
      </xdr:spPr>
      <xdr:txBody>
        <a:bodyPr vertOverflow="clip" wrap="square" lIns="18288" tIns="0" rIns="0" bIns="0" rtlCol="0" anchor="t" upright="1"/>
        <a:lstStyle/>
        <a:p>
          <a:pPr algn="l">
            <a:lnSpc>
              <a:spcPts val="1400"/>
            </a:lnSpc>
          </a:pPr>
          <a:r>
            <a:rPr kumimoji="1" lang="ja-JP" altLang="en-US" sz="1200">
              <a:latin typeface="+mj-ea"/>
              <a:ea typeface="+mj-ea"/>
            </a:rPr>
            <a:t>雇用契約等における</a:t>
          </a:r>
          <a:r>
            <a:rPr kumimoji="1" lang="en-US" altLang="ja-JP" sz="1200">
              <a:latin typeface="+mj-ea"/>
              <a:ea typeface="+mj-ea"/>
            </a:rPr>
            <a:t>1</a:t>
          </a:r>
          <a:r>
            <a:rPr kumimoji="1" lang="ja-JP" altLang="en-US" sz="1200">
              <a:latin typeface="+mj-ea"/>
              <a:ea typeface="+mj-ea"/>
            </a:rPr>
            <a:t>箇月あたりの労働時間数，又は変形労働時間制の場合は</a:t>
          </a:r>
          <a:r>
            <a:rPr kumimoji="1" lang="en-US" altLang="ja-JP" sz="1200">
              <a:latin typeface="+mj-ea"/>
              <a:ea typeface="+mj-ea"/>
            </a:rPr>
            <a:t>1</a:t>
          </a:r>
          <a:r>
            <a:rPr kumimoji="1" lang="ja-JP" altLang="en-US" sz="1200">
              <a:latin typeface="+mj-ea"/>
              <a:ea typeface="+mj-ea"/>
            </a:rPr>
            <a:t>箇月あたりの平均労働時間数を入力してください。</a:t>
          </a:r>
        </a:p>
        <a:p>
          <a:pPr algn="l">
            <a:lnSpc>
              <a:spcPts val="1400"/>
            </a:lnSpc>
          </a:pPr>
          <a:r>
            <a:rPr kumimoji="1" lang="ja-JP" altLang="en-US" sz="1200">
              <a:latin typeface="+mj-ea"/>
              <a:ea typeface="+mj-ea"/>
            </a:rPr>
            <a:t>契約の変更がない限り，全月（</a:t>
          </a:r>
          <a:r>
            <a:rPr kumimoji="1" lang="en-US" altLang="ja-JP" sz="1200">
              <a:latin typeface="+mj-ea"/>
              <a:ea typeface="+mj-ea"/>
            </a:rPr>
            <a:t>4</a:t>
          </a:r>
          <a:r>
            <a:rPr kumimoji="1" lang="ja-JP" altLang="en-US" sz="1200">
              <a:latin typeface="+mj-ea"/>
              <a:ea typeface="+mj-ea"/>
            </a:rPr>
            <a:t>月～</a:t>
          </a:r>
          <a:r>
            <a:rPr kumimoji="1" lang="en-US" altLang="ja-JP" sz="1200">
              <a:latin typeface="+mj-ea"/>
              <a:ea typeface="+mj-ea"/>
            </a:rPr>
            <a:t>3</a:t>
          </a:r>
          <a:r>
            <a:rPr kumimoji="1" lang="ja-JP" altLang="en-US" sz="1200">
              <a:latin typeface="+mj-ea"/>
              <a:ea typeface="+mj-ea"/>
            </a:rPr>
            <a:t>月）同じ時間数になります。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I31"/>
  <sheetViews>
    <sheetView view="pageBreakPreview" topLeftCell="B7" zoomScale="84" zoomScaleNormal="100" zoomScaleSheetLayoutView="84" workbookViewId="0">
      <selection activeCell="N21" sqref="N21:P21"/>
    </sheetView>
  </sheetViews>
  <sheetFormatPr defaultRowHeight="13.5"/>
  <cols>
    <col min="1" max="1" width="4" customWidth="1"/>
    <col min="2" max="3" width="3.625" customWidth="1"/>
    <col min="4" max="4" width="10.75" customWidth="1"/>
    <col min="5" max="5" width="10" customWidth="1"/>
    <col min="6" max="7" width="8.5" customWidth="1"/>
    <col min="8" max="10" width="3.875" customWidth="1"/>
    <col min="11" max="11" width="9.375" customWidth="1"/>
    <col min="12" max="13" width="4.25" customWidth="1"/>
    <col min="14" max="26" width="3.625" customWidth="1"/>
    <col min="27" max="28" width="5" customWidth="1"/>
    <col min="29" max="29" width="11.875" customWidth="1"/>
    <col min="30" max="32" width="9.875" customWidth="1"/>
    <col min="34" max="36" width="9" customWidth="1"/>
    <col min="37" max="37" width="11.625" customWidth="1"/>
    <col min="38" max="38" width="14.5" customWidth="1"/>
    <col min="39" max="39" width="4.625" customWidth="1"/>
    <col min="40" max="42" width="9" customWidth="1"/>
    <col min="43" max="43" width="11.125" customWidth="1"/>
    <col min="44" max="44" width="13.5" customWidth="1"/>
    <col min="45" max="46" width="9" customWidth="1"/>
  </cols>
  <sheetData>
    <row r="1" spans="1:61" ht="14.25">
      <c r="B1" s="201"/>
      <c r="C1" s="202"/>
      <c r="D1" s="202"/>
      <c r="E1" s="202"/>
      <c r="F1" s="202"/>
      <c r="G1" s="202"/>
      <c r="H1" s="202"/>
      <c r="I1" s="202"/>
      <c r="J1" s="202"/>
      <c r="K1" s="201"/>
      <c r="L1" s="201"/>
      <c r="M1" s="201"/>
      <c r="N1" s="201"/>
      <c r="O1" s="201"/>
      <c r="P1" s="201"/>
      <c r="Q1" s="201"/>
      <c r="R1" s="201"/>
      <c r="S1" s="201"/>
      <c r="T1" s="201"/>
      <c r="U1" s="201"/>
      <c r="V1" s="201"/>
      <c r="W1" s="201"/>
      <c r="X1" s="201"/>
      <c r="Y1" s="201"/>
      <c r="Z1" s="201"/>
      <c r="AA1" s="201"/>
      <c r="AB1" s="201"/>
      <c r="AC1" s="202"/>
      <c r="AD1" s="202"/>
      <c r="AE1" s="202"/>
      <c r="AF1" s="202"/>
    </row>
    <row r="2" spans="1:61" ht="22.5" customHeight="1">
      <c r="B2" s="401" t="s">
        <v>262</v>
      </c>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row>
    <row r="3" spans="1:61" ht="14.25">
      <c r="B3" s="201"/>
      <c r="C3" s="202"/>
      <c r="D3" s="202"/>
      <c r="E3" s="202"/>
      <c r="F3" s="202"/>
      <c r="G3" s="202"/>
      <c r="H3" s="202"/>
      <c r="I3" s="202"/>
      <c r="J3" s="202"/>
      <c r="K3" s="201"/>
      <c r="L3" s="201"/>
      <c r="M3" s="201"/>
      <c r="N3" s="201"/>
      <c r="O3" s="201"/>
      <c r="P3" s="201"/>
      <c r="Q3" s="201"/>
      <c r="R3" s="201"/>
      <c r="S3" s="201"/>
      <c r="T3" s="201"/>
      <c r="U3" s="201"/>
      <c r="V3" s="201"/>
      <c r="W3" s="201"/>
      <c r="X3" s="201"/>
      <c r="Y3" s="201"/>
      <c r="Z3" s="201"/>
      <c r="AA3" s="426" t="s">
        <v>189</v>
      </c>
      <c r="AB3" s="426"/>
      <c r="AC3" s="400">
        <f>様式１!C1</f>
        <v>0</v>
      </c>
      <c r="AD3" s="400"/>
      <c r="AE3" s="262"/>
      <c r="AF3" s="263"/>
    </row>
    <row r="4" spans="1:61" ht="14.25">
      <c r="B4" s="201"/>
      <c r="C4" s="202"/>
      <c r="D4" s="202"/>
      <c r="E4" s="202"/>
      <c r="F4" s="202"/>
      <c r="G4" s="202"/>
      <c r="H4" s="202"/>
      <c r="I4" s="202"/>
      <c r="J4" s="202"/>
      <c r="K4" s="201"/>
      <c r="L4" s="201"/>
      <c r="M4" s="201"/>
      <c r="N4" s="201"/>
      <c r="O4" s="201"/>
      <c r="P4" s="201"/>
      <c r="Q4" s="201"/>
      <c r="R4" s="201"/>
      <c r="S4" s="201"/>
      <c r="T4" s="201"/>
      <c r="U4" s="201"/>
      <c r="V4" s="201"/>
      <c r="W4" s="201"/>
      <c r="X4" s="201"/>
      <c r="Y4" s="201"/>
      <c r="Z4" s="201"/>
      <c r="AA4" s="426" t="s">
        <v>92</v>
      </c>
      <c r="AB4" s="426"/>
      <c r="AC4" s="400">
        <f>様式１!C2</f>
        <v>0</v>
      </c>
      <c r="AD4" s="400"/>
      <c r="AE4" s="262"/>
      <c r="AF4" s="263"/>
    </row>
    <row r="5" spans="1:61" ht="18" thickBot="1">
      <c r="B5" s="283" t="s">
        <v>257</v>
      </c>
      <c r="C5" s="284"/>
      <c r="D5" s="284"/>
      <c r="E5" s="202"/>
      <c r="F5" s="202"/>
      <c r="G5" s="202"/>
      <c r="H5" s="202"/>
      <c r="I5" s="202"/>
      <c r="J5" s="202"/>
      <c r="K5" s="201"/>
      <c r="L5" s="201"/>
      <c r="M5" s="201"/>
      <c r="N5" s="201"/>
      <c r="O5" s="201"/>
      <c r="P5" s="201"/>
      <c r="Q5" s="201"/>
      <c r="R5" s="201"/>
      <c r="S5" s="201"/>
      <c r="T5" s="201"/>
      <c r="U5" s="201"/>
      <c r="V5" s="201"/>
      <c r="W5" s="201"/>
      <c r="X5" s="201"/>
      <c r="Y5" s="201"/>
      <c r="Z5" s="201"/>
      <c r="AA5" s="201"/>
      <c r="AB5" s="201"/>
      <c r="AC5" s="202"/>
      <c r="AD5" s="202"/>
      <c r="AE5" s="202"/>
      <c r="AF5" s="202"/>
    </row>
    <row r="6" spans="1:61" ht="14.25" customHeight="1" thickBot="1">
      <c r="B6" s="409"/>
      <c r="C6" s="410"/>
      <c r="D6" s="420" t="s">
        <v>215</v>
      </c>
      <c r="E6" s="277" t="s">
        <v>77</v>
      </c>
      <c r="F6" s="415" t="s">
        <v>75</v>
      </c>
      <c r="G6" s="416"/>
      <c r="H6" s="420" t="s">
        <v>256</v>
      </c>
      <c r="I6" s="421"/>
      <c r="J6" s="421"/>
      <c r="K6" s="321" t="s">
        <v>109</v>
      </c>
      <c r="L6" s="325"/>
      <c r="M6" s="325"/>
      <c r="N6" s="325" t="s">
        <v>108</v>
      </c>
      <c r="O6" s="325"/>
      <c r="P6" s="325"/>
      <c r="Q6" s="403" t="s">
        <v>226</v>
      </c>
      <c r="R6" s="403"/>
      <c r="S6" s="403"/>
      <c r="T6" s="403" t="s">
        <v>227</v>
      </c>
      <c r="U6" s="403"/>
      <c r="V6" s="403"/>
      <c r="W6" s="403" t="s">
        <v>228</v>
      </c>
      <c r="X6" s="403"/>
      <c r="Y6" s="403"/>
      <c r="Z6" s="403" t="s">
        <v>229</v>
      </c>
      <c r="AA6" s="403"/>
      <c r="AB6" s="403"/>
      <c r="AC6" s="444" t="s">
        <v>216</v>
      </c>
      <c r="AD6" s="278" t="s">
        <v>230</v>
      </c>
      <c r="AE6" s="440" t="s">
        <v>231</v>
      </c>
      <c r="AF6" s="441"/>
      <c r="AG6" s="461"/>
      <c r="AH6" s="462" t="s">
        <v>232</v>
      </c>
      <c r="AI6" s="462"/>
      <c r="AJ6" s="462"/>
      <c r="AK6" s="462"/>
      <c r="AL6" s="462"/>
      <c r="AM6" s="462"/>
      <c r="AN6" s="462"/>
      <c r="AO6" s="462"/>
      <c r="AP6" s="462"/>
      <c r="AQ6" s="462"/>
      <c r="AR6" s="462"/>
      <c r="AS6" s="462"/>
      <c r="AT6" s="462"/>
      <c r="AU6" s="288"/>
      <c r="AV6" s="288"/>
      <c r="AW6" s="458" t="s">
        <v>253</v>
      </c>
      <c r="AX6" s="459"/>
      <c r="AY6" s="459"/>
      <c r="AZ6" s="459"/>
      <c r="BA6" s="459"/>
      <c r="BB6" s="459"/>
      <c r="BC6" s="459"/>
      <c r="BD6" s="459"/>
      <c r="BE6" s="459"/>
      <c r="BF6" s="459"/>
      <c r="BG6" s="459"/>
      <c r="BH6" s="459"/>
      <c r="BI6" s="460"/>
    </row>
    <row r="7" spans="1:61" ht="19.5" customHeight="1" thickBot="1">
      <c r="B7" s="411"/>
      <c r="C7" s="412"/>
      <c r="D7" s="422"/>
      <c r="E7" s="417" t="s">
        <v>269</v>
      </c>
      <c r="F7" s="419" t="s">
        <v>263</v>
      </c>
      <c r="G7" s="416"/>
      <c r="H7" s="422"/>
      <c r="I7" s="423"/>
      <c r="J7" s="423"/>
      <c r="K7" s="417" t="s">
        <v>190</v>
      </c>
      <c r="L7" s="450" t="s">
        <v>191</v>
      </c>
      <c r="M7" s="451"/>
      <c r="N7" s="451"/>
      <c r="O7" s="451"/>
      <c r="P7" s="451"/>
      <c r="Q7" s="450" t="s">
        <v>192</v>
      </c>
      <c r="R7" s="451"/>
      <c r="S7" s="452"/>
      <c r="T7" s="450" t="s">
        <v>43</v>
      </c>
      <c r="U7" s="451"/>
      <c r="V7" s="452"/>
      <c r="W7" s="450" t="s">
        <v>193</v>
      </c>
      <c r="X7" s="451"/>
      <c r="Y7" s="452"/>
      <c r="Z7" s="450" t="s">
        <v>194</v>
      </c>
      <c r="AA7" s="451"/>
      <c r="AB7" s="451"/>
      <c r="AC7" s="445"/>
      <c r="AD7" s="456" t="s">
        <v>269</v>
      </c>
      <c r="AE7" s="442" t="s">
        <v>263</v>
      </c>
      <c r="AF7" s="443"/>
      <c r="AG7" s="461"/>
      <c r="AH7" s="458" t="s">
        <v>259</v>
      </c>
      <c r="AI7" s="459"/>
      <c r="AJ7" s="459"/>
      <c r="AK7" s="459"/>
      <c r="AL7" s="460"/>
      <c r="AM7" s="289"/>
      <c r="AN7" s="458" t="s">
        <v>233</v>
      </c>
      <c r="AO7" s="459"/>
      <c r="AP7" s="459"/>
      <c r="AQ7" s="459"/>
      <c r="AR7" s="459"/>
      <c r="AS7" s="459"/>
      <c r="AT7" s="463"/>
      <c r="AU7" s="288"/>
      <c r="AV7" s="288"/>
      <c r="AW7" s="447" t="s">
        <v>225</v>
      </c>
      <c r="AX7" s="448"/>
      <c r="AY7" s="448"/>
      <c r="AZ7" s="448"/>
      <c r="BA7" s="448"/>
      <c r="BB7" s="448"/>
      <c r="BC7" s="448"/>
      <c r="BD7" s="448"/>
      <c r="BE7" s="448"/>
      <c r="BF7" s="448"/>
      <c r="BG7" s="448"/>
      <c r="BH7" s="448"/>
      <c r="BI7" s="449"/>
    </row>
    <row r="8" spans="1:61" ht="18.75" customHeight="1">
      <c r="B8" s="413"/>
      <c r="C8" s="414"/>
      <c r="D8" s="424"/>
      <c r="E8" s="418"/>
      <c r="F8" s="279" t="s">
        <v>222</v>
      </c>
      <c r="G8" s="280" t="s">
        <v>223</v>
      </c>
      <c r="H8" s="424"/>
      <c r="I8" s="425"/>
      <c r="J8" s="425"/>
      <c r="K8" s="418"/>
      <c r="L8" s="419" t="s">
        <v>224</v>
      </c>
      <c r="M8" s="416"/>
      <c r="N8" s="419" t="s">
        <v>225</v>
      </c>
      <c r="O8" s="415"/>
      <c r="P8" s="416"/>
      <c r="Q8" s="453"/>
      <c r="R8" s="454"/>
      <c r="S8" s="455"/>
      <c r="T8" s="453"/>
      <c r="U8" s="454"/>
      <c r="V8" s="455"/>
      <c r="W8" s="453"/>
      <c r="X8" s="454"/>
      <c r="Y8" s="455"/>
      <c r="Z8" s="453"/>
      <c r="AA8" s="454"/>
      <c r="AB8" s="454"/>
      <c r="AC8" s="446"/>
      <c r="AD8" s="457"/>
      <c r="AE8" s="281" t="s">
        <v>254</v>
      </c>
      <c r="AF8" s="282" t="s">
        <v>255</v>
      </c>
      <c r="AG8" s="261"/>
      <c r="AH8" s="290" t="s">
        <v>76</v>
      </c>
      <c r="AI8" s="290" t="s">
        <v>234</v>
      </c>
      <c r="AJ8" s="290" t="s">
        <v>235</v>
      </c>
      <c r="AK8" s="290" t="s">
        <v>236</v>
      </c>
      <c r="AL8" s="290" t="s">
        <v>237</v>
      </c>
      <c r="AM8" s="289"/>
      <c r="AN8" s="290" t="s">
        <v>76</v>
      </c>
      <c r="AO8" s="290" t="s">
        <v>234</v>
      </c>
      <c r="AP8" s="290" t="s">
        <v>235</v>
      </c>
      <c r="AQ8" s="290" t="s">
        <v>236</v>
      </c>
      <c r="AR8" s="290" t="s">
        <v>237</v>
      </c>
      <c r="AS8" s="291" t="s">
        <v>238</v>
      </c>
      <c r="AT8" s="292" t="s">
        <v>239</v>
      </c>
      <c r="AU8" s="288"/>
      <c r="AV8" s="288"/>
      <c r="AW8" s="293" t="s">
        <v>240</v>
      </c>
      <c r="AX8" s="294" t="s">
        <v>241</v>
      </c>
      <c r="AY8" s="295" t="s">
        <v>242</v>
      </c>
      <c r="AZ8" s="295" t="s">
        <v>243</v>
      </c>
      <c r="BA8" s="295" t="s">
        <v>244</v>
      </c>
      <c r="BB8" s="295" t="s">
        <v>245</v>
      </c>
      <c r="BC8" s="296" t="s">
        <v>246</v>
      </c>
      <c r="BD8" s="294" t="s">
        <v>247</v>
      </c>
      <c r="BE8" s="295" t="s">
        <v>248</v>
      </c>
      <c r="BF8" s="295" t="s">
        <v>249</v>
      </c>
      <c r="BG8" s="295" t="s">
        <v>250</v>
      </c>
      <c r="BH8" s="295" t="s">
        <v>251</v>
      </c>
      <c r="BI8" s="296" t="s">
        <v>252</v>
      </c>
    </row>
    <row r="9" spans="1:61" ht="18.75" customHeight="1">
      <c r="A9">
        <f>$AC$3</f>
        <v>0</v>
      </c>
      <c r="B9" s="406" t="s">
        <v>195</v>
      </c>
      <c r="C9" s="406"/>
      <c r="D9" s="323">
        <f>様式１!BJ7-様式１!BU7</f>
        <v>0</v>
      </c>
      <c r="E9" s="264">
        <f>D9-SUM(F9:G9)</f>
        <v>0</v>
      </c>
      <c r="F9" s="264">
        <f>IF(MIN(L9,D9-K9)&lt;0,0,MIN(L9,D9-K9))</f>
        <v>0</v>
      </c>
      <c r="G9" s="264">
        <f t="shared" ref="G9:G20" si="0">IF(MIN(N9,D9-K9-F9)&lt;0,0,MIN(N9,D9-K9-F9))</f>
        <v>0</v>
      </c>
      <c r="H9" s="407">
        <f t="shared" ref="H9:H20" si="1">SUM(K9:AB9)</f>
        <v>4</v>
      </c>
      <c r="I9" s="407"/>
      <c r="J9" s="407"/>
      <c r="K9" s="323">
        <f>様式１!AA8+様式１!AC8+様式１!AE8+様式１!AH8+様式１!AL8+様式１!AQ8</f>
        <v>2</v>
      </c>
      <c r="L9" s="466">
        <f>様式１!AS7</f>
        <v>0</v>
      </c>
      <c r="M9" s="467"/>
      <c r="N9" s="466">
        <f>様式１!AT7</f>
        <v>0</v>
      </c>
      <c r="O9" s="468"/>
      <c r="P9" s="467"/>
      <c r="Q9" s="407">
        <f>様式１!AU7</f>
        <v>0</v>
      </c>
      <c r="R9" s="407"/>
      <c r="S9" s="407"/>
      <c r="T9" s="407">
        <f>様式１!AV7+様式１!AW7</f>
        <v>0</v>
      </c>
      <c r="U9" s="407"/>
      <c r="V9" s="407"/>
      <c r="W9" s="407">
        <f>様式１!AY7</f>
        <v>0</v>
      </c>
      <c r="X9" s="407"/>
      <c r="Y9" s="407"/>
      <c r="Z9" s="407">
        <f>様式１!AX7</f>
        <v>2</v>
      </c>
      <c r="AA9" s="407"/>
      <c r="AB9" s="439"/>
      <c r="AC9" s="322">
        <f>SUM(AD9:AF9)</f>
        <v>2</v>
      </c>
      <c r="AD9" s="269">
        <f>AT9</f>
        <v>2</v>
      </c>
      <c r="AE9" s="269">
        <f>MIN(F9,L9)</f>
        <v>0</v>
      </c>
      <c r="AF9" s="270">
        <f>MIN(G9,N9)</f>
        <v>0</v>
      </c>
      <c r="AH9" s="297">
        <f>E9-K9</f>
        <v>-2</v>
      </c>
      <c r="AI9" s="297">
        <f>E9-SUM(K9,Q9)</f>
        <v>-2</v>
      </c>
      <c r="AJ9" s="297">
        <f>E9-SUM(K9,Q9:V9)</f>
        <v>-2</v>
      </c>
      <c r="AK9" s="297">
        <f>E9-SUM(K9,Q9:Y9)</f>
        <v>-2</v>
      </c>
      <c r="AL9" s="297">
        <f>E9-SUM(K9,Q9:AB9)</f>
        <v>-4</v>
      </c>
      <c r="AM9" s="298"/>
      <c r="AN9" s="297">
        <f>IF(AH9&lt;=0,SUM(K9),99)</f>
        <v>2</v>
      </c>
      <c r="AO9" s="297">
        <f>IF(AI9&lt;=0,SUM(K9,Q9),99)</f>
        <v>2</v>
      </c>
      <c r="AP9" s="297">
        <f>IF(AJ9&lt;=0,SUM(K9,Q9:V9),99)</f>
        <v>2</v>
      </c>
      <c r="AQ9" s="297">
        <f>IF(AK9&lt;=0,SUM(K9,Q9:Y9),99)</f>
        <v>2</v>
      </c>
      <c r="AR9" s="297">
        <f>IF(AL9&lt;=0,SUM(K9,Q9:AB9),99)</f>
        <v>4</v>
      </c>
      <c r="AS9" s="309">
        <f>H9-SUM(L9:P9)</f>
        <v>4</v>
      </c>
      <c r="AT9" s="299">
        <f>MIN(AN9:AS9)</f>
        <v>2</v>
      </c>
      <c r="AU9" s="288"/>
      <c r="AV9" s="288"/>
      <c r="AW9" s="300">
        <f>SUM(様式１!C8:D9)</f>
        <v>0</v>
      </c>
      <c r="AX9" s="301">
        <f>SUM('様式１－１（【本園分】標準時間対応）'!J7,'様式１－２（【分園分】標準時間対応）'!J7)</f>
        <v>0</v>
      </c>
      <c r="AY9" s="302">
        <f>SUM('様式１－１（【本園分】標準時間対応）'!R7,'様式１－２（【分園分】標準時間対応）'!R7)</f>
        <v>0</v>
      </c>
      <c r="AZ9" s="302">
        <f>SUM('様式１－１（【本園分】標準時間対応）'!Z7,'様式１－２（【分園分】標準時間対応）'!Z7)</f>
        <v>0</v>
      </c>
      <c r="BA9" s="302">
        <f>SUM('様式１－１（【本園分】標準時間対応）'!AH7,'様式１－２（【分園分】標準時間対応）'!AH7)</f>
        <v>0</v>
      </c>
      <c r="BB9" s="302">
        <f>SUM('様式１－１（【本園分】標準時間対応）'!AP7,'様式１－２（【分園分】標準時間対応）'!AP7)</f>
        <v>0</v>
      </c>
      <c r="BC9" s="303">
        <f>SUM('様式１－１（【本園分】標準時間対応）'!AX7,'様式１－２（【分園分】標準時間対応）'!AX7)</f>
        <v>0</v>
      </c>
      <c r="BD9" s="301">
        <f>SUM(様式１!E9,様式１!N9)-SUM('様式１－１（【本園分】標準時間対応）'!J7,'様式１－２（【分園分】標準時間対応）'!J7)</f>
        <v>0</v>
      </c>
      <c r="BE9" s="302">
        <f>SUM(様式１!F9,様式１!O9)-SUM('様式１－１（【本園分】標準時間対応）'!R7,'様式１－２（【分園分】標準時間対応）'!R7)</f>
        <v>0</v>
      </c>
      <c r="BF9" s="302">
        <f>SUM(様式１!H9,様式１!Q9)-SUM('様式１－１（【本園分】標準時間対応）'!Z7,'様式１－２（【分園分】標準時間対応）'!Z7)</f>
        <v>0</v>
      </c>
      <c r="BG9" s="302">
        <f>SUM(様式１!J8,様式１!S8)-SUM('様式１－１（【本園分】標準時間対応）'!AH7,'様式１－２（【分園分】標準時間対応）'!AH7)</f>
        <v>0</v>
      </c>
      <c r="BH9" s="302">
        <f>SUM(様式１!K8,様式１!T8)-SUM('様式１－１（【本園分】標準時間対応）'!AP7,'様式１－２（【分園分】標準時間対応）'!AP7)</f>
        <v>0</v>
      </c>
      <c r="BI9" s="303">
        <f>SUM(様式１!L8,様式１!U8)-SUM('様式１－１（【本園分】標準時間対応）'!AX7,'様式１－２（【分園分】標準時間対応）'!AX7)</f>
        <v>0</v>
      </c>
    </row>
    <row r="10" spans="1:61" ht="18.75" customHeight="1">
      <c r="A10">
        <f t="shared" ref="A10:A21" si="2">$AC$3</f>
        <v>0</v>
      </c>
      <c r="B10" s="404" t="s">
        <v>196</v>
      </c>
      <c r="C10" s="404"/>
      <c r="D10" s="317">
        <f>様式１!BJ10-様式１!BU10</f>
        <v>0</v>
      </c>
      <c r="E10" s="265">
        <f t="shared" ref="E10:E21" si="3">D10-SUM(F10:G10)</f>
        <v>0</v>
      </c>
      <c r="F10" s="265">
        <f t="shared" ref="F10:F20" si="4">IF(MIN(L10,D10-K10)&lt;0,0,MIN(L10,D10-K10))</f>
        <v>0</v>
      </c>
      <c r="G10" s="265">
        <f t="shared" si="0"/>
        <v>0</v>
      </c>
      <c r="H10" s="405">
        <f t="shared" si="1"/>
        <v>4</v>
      </c>
      <c r="I10" s="405"/>
      <c r="J10" s="405"/>
      <c r="K10" s="317">
        <f>様式１!AA11+様式１!AC11+様式１!AE11+様式１!AH11+様式１!AL11+様式１!AQ11</f>
        <v>2</v>
      </c>
      <c r="L10" s="427">
        <f>様式１!AS10</f>
        <v>0</v>
      </c>
      <c r="M10" s="428"/>
      <c r="N10" s="427">
        <f>様式１!AT10</f>
        <v>0</v>
      </c>
      <c r="O10" s="429"/>
      <c r="P10" s="428"/>
      <c r="Q10" s="405">
        <f>様式１!AU10</f>
        <v>0</v>
      </c>
      <c r="R10" s="405"/>
      <c r="S10" s="405"/>
      <c r="T10" s="405">
        <f>様式１!AV10+様式１!AW10</f>
        <v>0</v>
      </c>
      <c r="U10" s="405"/>
      <c r="V10" s="405"/>
      <c r="W10" s="405">
        <f>様式１!AY10</f>
        <v>0</v>
      </c>
      <c r="X10" s="405"/>
      <c r="Y10" s="405"/>
      <c r="Z10" s="405">
        <f>様式１!AX10</f>
        <v>2</v>
      </c>
      <c r="AA10" s="405"/>
      <c r="AB10" s="427"/>
      <c r="AC10" s="318">
        <f t="shared" ref="AC10:AC21" si="5">SUM(AD10:AF10)</f>
        <v>2</v>
      </c>
      <c r="AD10" s="271">
        <f t="shared" ref="AD10:AD21" si="6">AT10</f>
        <v>2</v>
      </c>
      <c r="AE10" s="271">
        <f t="shared" ref="AE10:AE20" si="7">MIN(F10,L10)</f>
        <v>0</v>
      </c>
      <c r="AF10" s="272">
        <f t="shared" ref="AF10:AF20" si="8">MIN(G10,N10)</f>
        <v>0</v>
      </c>
      <c r="AH10" s="297">
        <f>E10-K10</f>
        <v>-2</v>
      </c>
      <c r="AI10" s="297">
        <f t="shared" ref="AI10:AI21" si="9">E10-SUM(K10,Q10)</f>
        <v>-2</v>
      </c>
      <c r="AJ10" s="297">
        <f t="shared" ref="AJ10:AJ21" si="10">E10-SUM(K10,Q10:V10)</f>
        <v>-2</v>
      </c>
      <c r="AK10" s="297">
        <f t="shared" ref="AK10:AK21" si="11">E10-SUM(K10,Q10:Y10)</f>
        <v>-2</v>
      </c>
      <c r="AL10" s="297">
        <f t="shared" ref="AL10:AL21" si="12">E10-SUM(K10,Q10:AB10)</f>
        <v>-4</v>
      </c>
      <c r="AM10" s="298"/>
      <c r="AN10" s="297">
        <f>IF(AH10&lt;=0,SUM(K10),99)</f>
        <v>2</v>
      </c>
      <c r="AO10" s="297">
        <f t="shared" ref="AO10:AO21" si="13">IF(AI10&lt;=0,SUM(K10,Q10),99)</f>
        <v>2</v>
      </c>
      <c r="AP10" s="297">
        <f t="shared" ref="AP10:AP21" si="14">IF(AJ10&lt;=0,SUM(K10,Q10:V10),99)</f>
        <v>2</v>
      </c>
      <c r="AQ10" s="297">
        <f t="shared" ref="AQ10:AQ21" si="15">IF(AK10&lt;=0,SUM(K10,Q10:Y10),99)</f>
        <v>2</v>
      </c>
      <c r="AR10" s="297">
        <f t="shared" ref="AR10:AR21" si="16">IF(AL10&lt;=0,SUM(K10,Q10:AB10),99)</f>
        <v>4</v>
      </c>
      <c r="AS10" s="309">
        <f t="shared" ref="AS10:AS21" si="17">H10-SUM(L10:P10)</f>
        <v>4</v>
      </c>
      <c r="AT10" s="299">
        <f t="shared" ref="AT10:AT20" si="18">MIN(AN10:AS10)</f>
        <v>2</v>
      </c>
      <c r="AU10" s="288"/>
      <c r="AV10" s="288"/>
      <c r="AW10" s="300">
        <f>SUM(様式１!C11:D12)</f>
        <v>0</v>
      </c>
      <c r="AX10" s="301">
        <f>SUM('様式１－１（【本園分】標準時間対応）'!J9,'様式１－２（【分園分】標準時間対応）'!J9)</f>
        <v>0</v>
      </c>
      <c r="AY10" s="302">
        <f>SUM('様式１－１（【本園分】標準時間対応）'!R9,'様式１－２（【分園分】標準時間対応）'!R9)</f>
        <v>0</v>
      </c>
      <c r="AZ10" s="302">
        <f>SUM('様式１－１（【本園分】標準時間対応）'!Z9,'様式１－２（【分園分】標準時間対応）'!Z9)</f>
        <v>0</v>
      </c>
      <c r="BA10" s="302">
        <f>SUM('様式１－１（【本園分】標準時間対応）'!AH9,'様式１－２（【分園分】標準時間対応）'!AH9)</f>
        <v>0</v>
      </c>
      <c r="BB10" s="302">
        <f>SUM('様式１－１（【本園分】標準時間対応）'!AP9,'様式１－２（【分園分】標準時間対応）'!AP9)</f>
        <v>0</v>
      </c>
      <c r="BC10" s="303">
        <f>SUM('様式１－１（【本園分】標準時間対応）'!AX9,'様式１－２（【分園分】標準時間対応）'!AX9)</f>
        <v>0</v>
      </c>
      <c r="BD10" s="301">
        <f>SUM(様式１!E12,様式１!N12)-SUM('様式１－１（【本園分】標準時間対応）'!J9,'様式１－２（【分園分】標準時間対応）'!J9)</f>
        <v>0</v>
      </c>
      <c r="BE10" s="302">
        <f>SUM(様式１!F12,様式１!O12)-SUM('様式１－１（【本園分】標準時間対応）'!R9,'様式１－２（【分園分】標準時間対応）'!R9)</f>
        <v>0</v>
      </c>
      <c r="BF10" s="302">
        <f>SUM(様式１!H12,様式１!Q12)-SUM('様式１－１（【本園分】標準時間対応）'!Z9,'様式１－２（【分園分】標準時間対応）'!Z9)</f>
        <v>0</v>
      </c>
      <c r="BG10" s="302">
        <f>SUM(様式１!J11,様式１!S11)-SUM('様式１－１（【本園分】標準時間対応）'!AH9,'様式１－２（【分園分】標準時間対応）'!AH9)</f>
        <v>0</v>
      </c>
      <c r="BH10" s="302">
        <f>SUM(様式１!K11,様式１!T11)-SUM('様式１－１（【本園分】標準時間対応）'!AP9,'様式１－２（【分園分】標準時間対応）'!AP9)</f>
        <v>0</v>
      </c>
      <c r="BI10" s="303">
        <f>SUM(様式１!L11,様式１!U11)-SUM('様式１－１（【本園分】標準時間対応）'!AX9,'様式１－２（【分園分】標準時間対応）'!AX9)</f>
        <v>0</v>
      </c>
    </row>
    <row r="11" spans="1:61" ht="18.75" customHeight="1">
      <c r="A11">
        <f t="shared" si="2"/>
        <v>0</v>
      </c>
      <c r="B11" s="404" t="s">
        <v>197</v>
      </c>
      <c r="C11" s="404"/>
      <c r="D11" s="317">
        <f>様式１!BJ13-様式１!BU13</f>
        <v>0</v>
      </c>
      <c r="E11" s="265">
        <f t="shared" si="3"/>
        <v>0</v>
      </c>
      <c r="F11" s="265">
        <f t="shared" si="4"/>
        <v>0</v>
      </c>
      <c r="G11" s="265">
        <f t="shared" si="0"/>
        <v>0</v>
      </c>
      <c r="H11" s="405">
        <f t="shared" si="1"/>
        <v>4</v>
      </c>
      <c r="I11" s="405"/>
      <c r="J11" s="405"/>
      <c r="K11" s="317">
        <f>様式１!AA14+様式１!AC14+様式１!AE14+様式１!AH14+様式１!AL14+様式１!AQ14</f>
        <v>2</v>
      </c>
      <c r="L11" s="427">
        <f>様式１!AS13</f>
        <v>0</v>
      </c>
      <c r="M11" s="428"/>
      <c r="N11" s="427">
        <f>様式１!AT13</f>
        <v>0</v>
      </c>
      <c r="O11" s="429"/>
      <c r="P11" s="428"/>
      <c r="Q11" s="405">
        <f>様式１!AU13</f>
        <v>0</v>
      </c>
      <c r="R11" s="405"/>
      <c r="S11" s="405"/>
      <c r="T11" s="405">
        <f>様式１!AV13+様式１!AW13</f>
        <v>0</v>
      </c>
      <c r="U11" s="405"/>
      <c r="V11" s="405"/>
      <c r="W11" s="405">
        <f>様式１!AY13</f>
        <v>0</v>
      </c>
      <c r="X11" s="405"/>
      <c r="Y11" s="405"/>
      <c r="Z11" s="405">
        <f>様式１!AX13</f>
        <v>2</v>
      </c>
      <c r="AA11" s="405"/>
      <c r="AB11" s="427"/>
      <c r="AC11" s="318">
        <f t="shared" si="5"/>
        <v>2</v>
      </c>
      <c r="AD11" s="271">
        <f t="shared" si="6"/>
        <v>2</v>
      </c>
      <c r="AE11" s="271">
        <f t="shared" si="7"/>
        <v>0</v>
      </c>
      <c r="AF11" s="272">
        <f t="shared" si="8"/>
        <v>0</v>
      </c>
      <c r="AH11" s="297">
        <f t="shared" ref="AH11:AH20" si="19">E11-K11</f>
        <v>-2</v>
      </c>
      <c r="AI11" s="297">
        <f t="shared" si="9"/>
        <v>-2</v>
      </c>
      <c r="AJ11" s="297">
        <f t="shared" si="10"/>
        <v>-2</v>
      </c>
      <c r="AK11" s="297">
        <f t="shared" si="11"/>
        <v>-2</v>
      </c>
      <c r="AL11" s="297">
        <f t="shared" si="12"/>
        <v>-4</v>
      </c>
      <c r="AM11" s="298"/>
      <c r="AN11" s="297">
        <f t="shared" ref="AN11:AN21" si="20">IF(AH11&lt;=0,SUM(K11),99)</f>
        <v>2</v>
      </c>
      <c r="AO11" s="297">
        <f t="shared" si="13"/>
        <v>2</v>
      </c>
      <c r="AP11" s="297">
        <f t="shared" si="14"/>
        <v>2</v>
      </c>
      <c r="AQ11" s="297">
        <f t="shared" si="15"/>
        <v>2</v>
      </c>
      <c r="AR11" s="297">
        <f t="shared" si="16"/>
        <v>4</v>
      </c>
      <c r="AS11" s="309">
        <f t="shared" si="17"/>
        <v>4</v>
      </c>
      <c r="AT11" s="299">
        <f t="shared" si="18"/>
        <v>2</v>
      </c>
      <c r="AU11" s="288"/>
      <c r="AV11" s="288"/>
      <c r="AW11" s="300">
        <f>SUM(様式１!C14:D15)</f>
        <v>0</v>
      </c>
      <c r="AX11" s="301">
        <f>SUM('様式１－１（【本園分】標準時間対応）'!J11,'様式１－２（【分園分】標準時間対応）'!J11)</f>
        <v>0</v>
      </c>
      <c r="AY11" s="302">
        <f>SUM('様式１－１（【本園分】標準時間対応）'!R11,'様式１－２（【分園分】標準時間対応）'!R11)</f>
        <v>0</v>
      </c>
      <c r="AZ11" s="302">
        <f>SUM('様式１－１（【本園分】標準時間対応）'!Z11,'様式１－２（【分園分】標準時間対応）'!Z11)</f>
        <v>0</v>
      </c>
      <c r="BA11" s="302">
        <f>SUM('様式１－１（【本園分】標準時間対応）'!AH11,'様式１－２（【分園分】標準時間対応）'!AH11)</f>
        <v>0</v>
      </c>
      <c r="BB11" s="302">
        <f>SUM('様式１－１（【本園分】標準時間対応）'!AP11,'様式１－２（【分園分】標準時間対応）'!AP11)</f>
        <v>0</v>
      </c>
      <c r="BC11" s="303">
        <f>SUM('様式１－１（【本園分】標準時間対応）'!AX11,'様式１－２（【分園分】標準時間対応）'!AX11)</f>
        <v>0</v>
      </c>
      <c r="BD11" s="301">
        <f>SUM(様式１!E15,様式１!N15)-SUM('様式１－１（【本園分】標準時間対応）'!J11,'様式１－２（【分園分】標準時間対応）'!J11)</f>
        <v>0</v>
      </c>
      <c r="BE11" s="302">
        <f>SUM(様式１!F15,様式１!O15)-SUM('様式１－１（【本園分】標準時間対応）'!R11,'様式１－２（【分園分】標準時間対応）'!R11)</f>
        <v>0</v>
      </c>
      <c r="BF11" s="302">
        <f>SUM(様式１!H15,様式１!Q15)-SUM('様式１－１（【本園分】標準時間対応）'!Z11,'様式１－２（【分園分】標準時間対応）'!Z11)</f>
        <v>0</v>
      </c>
      <c r="BG11" s="302">
        <f>SUM(様式１!J14,様式１!S14)-SUM('様式１－１（【本園分】標準時間対応）'!AH11,'様式１－２（【分園分】標準時間対応）'!AH11)</f>
        <v>0</v>
      </c>
      <c r="BH11" s="302">
        <f>SUM(様式１!K14,様式１!T14)-SUM('様式１－１（【本園分】標準時間対応）'!AP11,'様式１－２（【分園分】標準時間対応）'!AP11)</f>
        <v>0</v>
      </c>
      <c r="BI11" s="303">
        <f>SUM(様式１!L14,様式１!U14)-SUM('様式１－１（【本園分】標準時間対応）'!AX11,'様式１－２（【分園分】標準時間対応）'!AX11)</f>
        <v>0</v>
      </c>
    </row>
    <row r="12" spans="1:61" ht="18.75" customHeight="1">
      <c r="A12">
        <f t="shared" si="2"/>
        <v>0</v>
      </c>
      <c r="B12" s="404" t="s">
        <v>179</v>
      </c>
      <c r="C12" s="404"/>
      <c r="D12" s="317">
        <f>様式１!BJ16-様式１!BU16</f>
        <v>0</v>
      </c>
      <c r="E12" s="265">
        <f t="shared" si="3"/>
        <v>0</v>
      </c>
      <c r="F12" s="265">
        <f t="shared" si="4"/>
        <v>0</v>
      </c>
      <c r="G12" s="265">
        <f t="shared" si="0"/>
        <v>0</v>
      </c>
      <c r="H12" s="405">
        <f t="shared" si="1"/>
        <v>4</v>
      </c>
      <c r="I12" s="405"/>
      <c r="J12" s="405"/>
      <c r="K12" s="317">
        <f>様式１!AA17+様式１!AC17+様式１!AE17+様式１!AH17+様式１!AL17+様式１!AQ17</f>
        <v>2</v>
      </c>
      <c r="L12" s="427">
        <f>様式１!AS16</f>
        <v>0</v>
      </c>
      <c r="M12" s="428"/>
      <c r="N12" s="427">
        <f>様式１!AT16</f>
        <v>0</v>
      </c>
      <c r="O12" s="429"/>
      <c r="P12" s="428"/>
      <c r="Q12" s="405">
        <f>様式１!AU16</f>
        <v>0</v>
      </c>
      <c r="R12" s="405"/>
      <c r="S12" s="405"/>
      <c r="T12" s="405">
        <f>様式１!AV16+様式１!AW16</f>
        <v>0</v>
      </c>
      <c r="U12" s="405"/>
      <c r="V12" s="405"/>
      <c r="W12" s="405">
        <f>様式１!AY16</f>
        <v>0</v>
      </c>
      <c r="X12" s="405"/>
      <c r="Y12" s="405"/>
      <c r="Z12" s="405">
        <f>様式１!AX16</f>
        <v>2</v>
      </c>
      <c r="AA12" s="405"/>
      <c r="AB12" s="427"/>
      <c r="AC12" s="318">
        <f t="shared" si="5"/>
        <v>2</v>
      </c>
      <c r="AD12" s="271">
        <f t="shared" si="6"/>
        <v>2</v>
      </c>
      <c r="AE12" s="271">
        <f t="shared" si="7"/>
        <v>0</v>
      </c>
      <c r="AF12" s="272">
        <f t="shared" si="8"/>
        <v>0</v>
      </c>
      <c r="AH12" s="297">
        <f t="shared" si="19"/>
        <v>-2</v>
      </c>
      <c r="AI12" s="297">
        <f t="shared" si="9"/>
        <v>-2</v>
      </c>
      <c r="AJ12" s="297">
        <f t="shared" si="10"/>
        <v>-2</v>
      </c>
      <c r="AK12" s="297">
        <f t="shared" si="11"/>
        <v>-2</v>
      </c>
      <c r="AL12" s="297">
        <f t="shared" si="12"/>
        <v>-4</v>
      </c>
      <c r="AM12" s="298"/>
      <c r="AN12" s="297">
        <f t="shared" si="20"/>
        <v>2</v>
      </c>
      <c r="AO12" s="297">
        <f t="shared" si="13"/>
        <v>2</v>
      </c>
      <c r="AP12" s="297">
        <f t="shared" si="14"/>
        <v>2</v>
      </c>
      <c r="AQ12" s="297">
        <f t="shared" si="15"/>
        <v>2</v>
      </c>
      <c r="AR12" s="297">
        <f t="shared" si="16"/>
        <v>4</v>
      </c>
      <c r="AS12" s="309">
        <f t="shared" si="17"/>
        <v>4</v>
      </c>
      <c r="AT12" s="299">
        <f t="shared" si="18"/>
        <v>2</v>
      </c>
      <c r="AU12" s="288"/>
      <c r="AV12" s="288"/>
      <c r="AW12" s="300">
        <f>SUM(様式１!C17:D18)</f>
        <v>0</v>
      </c>
      <c r="AX12" s="301">
        <f>SUM('様式１－１（【本園分】標準時間対応）'!J13,'様式１－２（【分園分】標準時間対応）'!J13)</f>
        <v>0</v>
      </c>
      <c r="AY12" s="302">
        <f>SUM('様式１－１（【本園分】標準時間対応）'!R13,'様式１－２（【分園分】標準時間対応）'!R13)</f>
        <v>0</v>
      </c>
      <c r="AZ12" s="302">
        <f>SUM('様式１－１（【本園分】標準時間対応）'!Z13,'様式１－２（【分園分】標準時間対応）'!Z13)</f>
        <v>0</v>
      </c>
      <c r="BA12" s="302">
        <f>SUM('様式１－１（【本園分】標準時間対応）'!AH13,'様式１－２（【分園分】標準時間対応）'!AH13)</f>
        <v>0</v>
      </c>
      <c r="BB12" s="302">
        <f>SUM('様式１－１（【本園分】標準時間対応）'!AP13,'様式１－２（【分園分】標準時間対応）'!AP13)</f>
        <v>0</v>
      </c>
      <c r="BC12" s="303">
        <f>SUM('様式１－１（【本園分】標準時間対応）'!AX13,'様式１－２（【分園分】標準時間対応）'!AX13)</f>
        <v>0</v>
      </c>
      <c r="BD12" s="301">
        <f>SUM(様式１!E18,様式１!N18)-SUM('様式１－１（【本園分】標準時間対応）'!J13,'様式１－２（【分園分】標準時間対応）'!J13)</f>
        <v>0</v>
      </c>
      <c r="BE12" s="302">
        <f>SUM(様式１!F18,様式１!O18)-SUM('様式１－１（【本園分】標準時間対応）'!R13,'様式１－２（【分園分】標準時間対応）'!R13)</f>
        <v>0</v>
      </c>
      <c r="BF12" s="302">
        <f>SUM(様式１!H18,様式１!Q18)-SUM('様式１－１（【本園分】標準時間対応）'!Z13,'様式１－２（【分園分】標準時間対応）'!Z13)</f>
        <v>0</v>
      </c>
      <c r="BG12" s="302">
        <f>SUM(様式１!J17,様式１!S17)-SUM('様式１－１（【本園分】標準時間対応）'!AH13,'様式１－２（【分園分】標準時間対応）'!AH13)</f>
        <v>0</v>
      </c>
      <c r="BH12" s="302">
        <f>SUM(様式１!K17,様式１!T17)-SUM('様式１－１（【本園分】標準時間対応）'!AP13,'様式１－２（【分園分】標準時間対応）'!AP13)</f>
        <v>0</v>
      </c>
      <c r="BI12" s="303">
        <f>SUM(様式１!L17,様式１!U17)-SUM('様式１－１（【本園分】標準時間対応）'!AX13,'様式１－２（【分園分】標準時間対応）'!AX13)</f>
        <v>0</v>
      </c>
    </row>
    <row r="13" spans="1:61" ht="18.75" customHeight="1">
      <c r="A13">
        <f t="shared" si="2"/>
        <v>0</v>
      </c>
      <c r="B13" s="404" t="s">
        <v>180</v>
      </c>
      <c r="C13" s="404"/>
      <c r="D13" s="317">
        <f>様式１!BJ19-様式１!BU19</f>
        <v>0</v>
      </c>
      <c r="E13" s="265">
        <f t="shared" si="3"/>
        <v>0</v>
      </c>
      <c r="F13" s="265">
        <f t="shared" si="4"/>
        <v>0</v>
      </c>
      <c r="G13" s="265">
        <f t="shared" si="0"/>
        <v>0</v>
      </c>
      <c r="H13" s="405">
        <f t="shared" si="1"/>
        <v>4</v>
      </c>
      <c r="I13" s="405"/>
      <c r="J13" s="405"/>
      <c r="K13" s="317">
        <f>様式１!AA20+様式１!AC20+様式１!AE20+様式１!AH20+様式１!AL20+様式１!AQ20</f>
        <v>2</v>
      </c>
      <c r="L13" s="427">
        <f>様式１!AS19</f>
        <v>0</v>
      </c>
      <c r="M13" s="428"/>
      <c r="N13" s="427">
        <f>様式１!AT19</f>
        <v>0</v>
      </c>
      <c r="O13" s="429"/>
      <c r="P13" s="428"/>
      <c r="Q13" s="405">
        <f>様式１!AU19</f>
        <v>0</v>
      </c>
      <c r="R13" s="405"/>
      <c r="S13" s="405"/>
      <c r="T13" s="405">
        <f>様式１!AV19+様式１!AW19</f>
        <v>0</v>
      </c>
      <c r="U13" s="405"/>
      <c r="V13" s="405"/>
      <c r="W13" s="405">
        <f>様式１!AY19</f>
        <v>0</v>
      </c>
      <c r="X13" s="405"/>
      <c r="Y13" s="405"/>
      <c r="Z13" s="405">
        <f>様式１!AX19</f>
        <v>2</v>
      </c>
      <c r="AA13" s="405"/>
      <c r="AB13" s="427"/>
      <c r="AC13" s="318">
        <f t="shared" si="5"/>
        <v>2</v>
      </c>
      <c r="AD13" s="271">
        <f t="shared" si="6"/>
        <v>2</v>
      </c>
      <c r="AE13" s="271">
        <f t="shared" si="7"/>
        <v>0</v>
      </c>
      <c r="AF13" s="272">
        <f t="shared" si="8"/>
        <v>0</v>
      </c>
      <c r="AH13" s="297">
        <f t="shared" si="19"/>
        <v>-2</v>
      </c>
      <c r="AI13" s="297">
        <f t="shared" si="9"/>
        <v>-2</v>
      </c>
      <c r="AJ13" s="297">
        <f t="shared" si="10"/>
        <v>-2</v>
      </c>
      <c r="AK13" s="297">
        <f t="shared" si="11"/>
        <v>-2</v>
      </c>
      <c r="AL13" s="297">
        <f t="shared" si="12"/>
        <v>-4</v>
      </c>
      <c r="AM13" s="298"/>
      <c r="AN13" s="297">
        <f t="shared" si="20"/>
        <v>2</v>
      </c>
      <c r="AO13" s="297">
        <f t="shared" si="13"/>
        <v>2</v>
      </c>
      <c r="AP13" s="297">
        <f t="shared" si="14"/>
        <v>2</v>
      </c>
      <c r="AQ13" s="297">
        <f t="shared" si="15"/>
        <v>2</v>
      </c>
      <c r="AR13" s="297">
        <f t="shared" si="16"/>
        <v>4</v>
      </c>
      <c r="AS13" s="309">
        <f t="shared" si="17"/>
        <v>4</v>
      </c>
      <c r="AT13" s="299">
        <f t="shared" si="18"/>
        <v>2</v>
      </c>
      <c r="AU13" s="288"/>
      <c r="AV13" s="288"/>
      <c r="AW13" s="300">
        <f>SUM(様式１!C20:D21)</f>
        <v>0</v>
      </c>
      <c r="AX13" s="301">
        <f>SUM('様式１－１（【本園分】標準時間対応）'!J15,'様式１－２（【分園分】標準時間対応）'!J15)</f>
        <v>0</v>
      </c>
      <c r="AY13" s="302">
        <f>SUM('様式１－１（【本園分】標準時間対応）'!R15,'様式１－２（【分園分】標準時間対応）'!R15)</f>
        <v>0</v>
      </c>
      <c r="AZ13" s="302">
        <f>SUM('様式１－１（【本園分】標準時間対応）'!Z15,'様式１－２（【分園分】標準時間対応）'!Z15)</f>
        <v>0</v>
      </c>
      <c r="BA13" s="302">
        <f>SUM('様式１－１（【本園分】標準時間対応）'!AH15,'様式１－２（【分園分】標準時間対応）'!AH15)</f>
        <v>0</v>
      </c>
      <c r="BB13" s="302">
        <f>SUM('様式１－１（【本園分】標準時間対応）'!AP15,'様式１－２（【分園分】標準時間対応）'!AP15)</f>
        <v>0</v>
      </c>
      <c r="BC13" s="303">
        <f>SUM('様式１－１（【本園分】標準時間対応）'!AX15,'様式１－２（【分園分】標準時間対応）'!AX15)</f>
        <v>0</v>
      </c>
      <c r="BD13" s="301">
        <f>SUM(様式１!E21,様式１!N21)-SUM('様式１－１（【本園分】標準時間対応）'!J15,'様式１－２（【分園分】標準時間対応）'!J15)</f>
        <v>0</v>
      </c>
      <c r="BE13" s="302">
        <f>SUM(様式１!F21,様式１!O21)-SUM('様式１－１（【本園分】標準時間対応）'!R15,'様式１－２（【分園分】標準時間対応）'!R15)</f>
        <v>0</v>
      </c>
      <c r="BF13" s="302">
        <f>SUM(様式１!H21,様式１!Q21)-SUM('様式１－１（【本園分】標準時間対応）'!Z15,'様式１－２（【分園分】標準時間対応）'!Z15)</f>
        <v>0</v>
      </c>
      <c r="BG13" s="302">
        <f>SUM(様式１!J20,様式１!S20)-SUM('様式１－１（【本園分】標準時間対応）'!AH15,'様式１－２（【分園分】標準時間対応）'!AH15)</f>
        <v>0</v>
      </c>
      <c r="BH13" s="302">
        <f>SUM(様式１!K20,様式１!T20)-SUM('様式１－１（【本園分】標準時間対応）'!AP15,'様式１－２（【分園分】標準時間対応）'!AP15)</f>
        <v>0</v>
      </c>
      <c r="BI13" s="303">
        <f>SUM(様式１!L20,様式１!U20)-SUM('様式１－１（【本園分】標準時間対応）'!AX15,'様式１－２（【分園分】標準時間対応）'!AX15)</f>
        <v>0</v>
      </c>
    </row>
    <row r="14" spans="1:61" ht="18.75" customHeight="1">
      <c r="A14">
        <f t="shared" si="2"/>
        <v>0</v>
      </c>
      <c r="B14" s="404" t="s">
        <v>181</v>
      </c>
      <c r="C14" s="404"/>
      <c r="D14" s="317">
        <f>様式１!BJ22-様式１!BU22</f>
        <v>0</v>
      </c>
      <c r="E14" s="265">
        <f t="shared" si="3"/>
        <v>0</v>
      </c>
      <c r="F14" s="265">
        <f t="shared" si="4"/>
        <v>0</v>
      </c>
      <c r="G14" s="265">
        <f t="shared" si="0"/>
        <v>0</v>
      </c>
      <c r="H14" s="405">
        <f t="shared" si="1"/>
        <v>4</v>
      </c>
      <c r="I14" s="405"/>
      <c r="J14" s="405"/>
      <c r="K14" s="317">
        <f>様式１!AA23+様式１!AC23+様式１!AE23+様式１!AH23+様式１!AL23+様式１!AQ23</f>
        <v>2</v>
      </c>
      <c r="L14" s="427">
        <f>様式１!AS22</f>
        <v>0</v>
      </c>
      <c r="M14" s="428"/>
      <c r="N14" s="427">
        <f>様式１!AT22</f>
        <v>0</v>
      </c>
      <c r="O14" s="429"/>
      <c r="P14" s="428"/>
      <c r="Q14" s="405">
        <f>様式１!AU22</f>
        <v>0</v>
      </c>
      <c r="R14" s="405"/>
      <c r="S14" s="405"/>
      <c r="T14" s="405">
        <f>様式１!AV22+様式１!AW22</f>
        <v>0</v>
      </c>
      <c r="U14" s="405"/>
      <c r="V14" s="405"/>
      <c r="W14" s="405">
        <f>様式１!AY22</f>
        <v>0</v>
      </c>
      <c r="X14" s="405"/>
      <c r="Y14" s="405"/>
      <c r="Z14" s="405">
        <f>様式１!AX22</f>
        <v>2</v>
      </c>
      <c r="AA14" s="405"/>
      <c r="AB14" s="427"/>
      <c r="AC14" s="318">
        <f t="shared" si="5"/>
        <v>2</v>
      </c>
      <c r="AD14" s="271">
        <f t="shared" si="6"/>
        <v>2</v>
      </c>
      <c r="AE14" s="271">
        <f t="shared" si="7"/>
        <v>0</v>
      </c>
      <c r="AF14" s="272">
        <f t="shared" si="8"/>
        <v>0</v>
      </c>
      <c r="AH14" s="297">
        <f t="shared" si="19"/>
        <v>-2</v>
      </c>
      <c r="AI14" s="297">
        <f t="shared" si="9"/>
        <v>-2</v>
      </c>
      <c r="AJ14" s="297">
        <f t="shared" si="10"/>
        <v>-2</v>
      </c>
      <c r="AK14" s="297">
        <f t="shared" si="11"/>
        <v>-2</v>
      </c>
      <c r="AL14" s="297">
        <f t="shared" si="12"/>
        <v>-4</v>
      </c>
      <c r="AM14" s="298"/>
      <c r="AN14" s="297">
        <f t="shared" si="20"/>
        <v>2</v>
      </c>
      <c r="AO14" s="297">
        <f t="shared" si="13"/>
        <v>2</v>
      </c>
      <c r="AP14" s="297">
        <f t="shared" si="14"/>
        <v>2</v>
      </c>
      <c r="AQ14" s="297">
        <f t="shared" si="15"/>
        <v>2</v>
      </c>
      <c r="AR14" s="297">
        <f t="shared" si="16"/>
        <v>4</v>
      </c>
      <c r="AS14" s="309">
        <f t="shared" si="17"/>
        <v>4</v>
      </c>
      <c r="AT14" s="299">
        <f t="shared" si="18"/>
        <v>2</v>
      </c>
      <c r="AU14" s="288"/>
      <c r="AV14" s="288"/>
      <c r="AW14" s="300">
        <f>SUM(様式１!C23:D24)</f>
        <v>0</v>
      </c>
      <c r="AX14" s="301">
        <f>SUM('様式１－１（【本園分】標準時間対応）'!J17,'様式１－２（【分園分】標準時間対応）'!J17)</f>
        <v>0</v>
      </c>
      <c r="AY14" s="302">
        <f>SUM('様式１－１（【本園分】標準時間対応）'!R17,'様式１－２（【分園分】標準時間対応）'!R17)</f>
        <v>0</v>
      </c>
      <c r="AZ14" s="302">
        <f>SUM('様式１－１（【本園分】標準時間対応）'!Z17,'様式１－２（【分園分】標準時間対応）'!Z17)</f>
        <v>0</v>
      </c>
      <c r="BA14" s="302">
        <f>SUM('様式１－１（【本園分】標準時間対応）'!AH17,'様式１－２（【分園分】標準時間対応）'!AH17)</f>
        <v>0</v>
      </c>
      <c r="BB14" s="302">
        <f>SUM('様式１－１（【本園分】標準時間対応）'!AP17,'様式１－２（【分園分】標準時間対応）'!AP17)</f>
        <v>0</v>
      </c>
      <c r="BC14" s="303">
        <f>SUM('様式１－１（【本園分】標準時間対応）'!AX17,'様式１－２（【分園分】標準時間対応）'!AX17)</f>
        <v>0</v>
      </c>
      <c r="BD14" s="301">
        <f>SUM(様式１!E24,様式１!N24)-SUM('様式１－１（【本園分】標準時間対応）'!J17,'様式１－２（【分園分】標準時間対応）'!J17)</f>
        <v>0</v>
      </c>
      <c r="BE14" s="302">
        <f>SUM(様式１!F24,様式１!O24)-SUM('様式１－１（【本園分】標準時間対応）'!R17,'様式１－２（【分園分】標準時間対応）'!R17)</f>
        <v>0</v>
      </c>
      <c r="BF14" s="302">
        <f>SUM(様式１!H24,様式１!Q24)-SUM('様式１－１（【本園分】標準時間対応）'!Z17,'様式１－２（【分園分】標準時間対応）'!Z17)</f>
        <v>0</v>
      </c>
      <c r="BG14" s="302">
        <f>SUM(様式１!J23,様式１!S23)-SUM('様式１－１（【本園分】標準時間対応）'!AH17,'様式１－２（【分園分】標準時間対応）'!AH17)</f>
        <v>0</v>
      </c>
      <c r="BH14" s="302">
        <f>SUM(様式１!K23,様式１!T23)-SUM('様式１－１（【本園分】標準時間対応）'!AP17,'様式１－２（【分園分】標準時間対応）'!AP17)</f>
        <v>0</v>
      </c>
      <c r="BI14" s="303">
        <f>SUM(様式１!L23,様式１!U23)-SUM('様式１－１（【本園分】標準時間対応）'!AX17,'様式１－２（【分園分】標準時間対応）'!AX17)</f>
        <v>0</v>
      </c>
    </row>
    <row r="15" spans="1:61" ht="18.75" customHeight="1">
      <c r="A15">
        <f t="shared" si="2"/>
        <v>0</v>
      </c>
      <c r="B15" s="404" t="s">
        <v>182</v>
      </c>
      <c r="C15" s="404"/>
      <c r="D15" s="317">
        <f>様式１!BJ25-様式１!BU25</f>
        <v>0</v>
      </c>
      <c r="E15" s="265">
        <f t="shared" si="3"/>
        <v>0</v>
      </c>
      <c r="F15" s="265">
        <f t="shared" si="4"/>
        <v>0</v>
      </c>
      <c r="G15" s="265">
        <f t="shared" si="0"/>
        <v>0</v>
      </c>
      <c r="H15" s="405">
        <f t="shared" si="1"/>
        <v>4</v>
      </c>
      <c r="I15" s="405"/>
      <c r="J15" s="405"/>
      <c r="K15" s="317">
        <f>様式１!AA26+様式１!AC26+様式１!AE26+様式１!AH26+様式１!AL26+様式１!AQ26</f>
        <v>2</v>
      </c>
      <c r="L15" s="427">
        <f>様式１!AS25</f>
        <v>0</v>
      </c>
      <c r="M15" s="428"/>
      <c r="N15" s="427">
        <f>様式１!AT25</f>
        <v>0</v>
      </c>
      <c r="O15" s="429"/>
      <c r="P15" s="428"/>
      <c r="Q15" s="405">
        <f>様式１!AU25</f>
        <v>0</v>
      </c>
      <c r="R15" s="405"/>
      <c r="S15" s="405"/>
      <c r="T15" s="405">
        <f>様式１!AV25+様式１!AW25</f>
        <v>0</v>
      </c>
      <c r="U15" s="405"/>
      <c r="V15" s="405"/>
      <c r="W15" s="405">
        <f>様式１!AY25</f>
        <v>0</v>
      </c>
      <c r="X15" s="405"/>
      <c r="Y15" s="405"/>
      <c r="Z15" s="405">
        <f>様式１!AX25</f>
        <v>2</v>
      </c>
      <c r="AA15" s="405"/>
      <c r="AB15" s="427"/>
      <c r="AC15" s="318">
        <f t="shared" si="5"/>
        <v>2</v>
      </c>
      <c r="AD15" s="271">
        <f t="shared" si="6"/>
        <v>2</v>
      </c>
      <c r="AE15" s="271">
        <f t="shared" si="7"/>
        <v>0</v>
      </c>
      <c r="AF15" s="272">
        <f t="shared" si="8"/>
        <v>0</v>
      </c>
      <c r="AH15" s="297">
        <f t="shared" si="19"/>
        <v>-2</v>
      </c>
      <c r="AI15" s="297">
        <f t="shared" si="9"/>
        <v>-2</v>
      </c>
      <c r="AJ15" s="297">
        <f t="shared" si="10"/>
        <v>-2</v>
      </c>
      <c r="AK15" s="297">
        <f t="shared" si="11"/>
        <v>-2</v>
      </c>
      <c r="AL15" s="297">
        <f t="shared" si="12"/>
        <v>-4</v>
      </c>
      <c r="AM15" s="298"/>
      <c r="AN15" s="297">
        <f t="shared" si="20"/>
        <v>2</v>
      </c>
      <c r="AO15" s="297">
        <f t="shared" si="13"/>
        <v>2</v>
      </c>
      <c r="AP15" s="297">
        <f t="shared" si="14"/>
        <v>2</v>
      </c>
      <c r="AQ15" s="297">
        <f t="shared" si="15"/>
        <v>2</v>
      </c>
      <c r="AR15" s="297">
        <f t="shared" si="16"/>
        <v>4</v>
      </c>
      <c r="AS15" s="309">
        <f t="shared" si="17"/>
        <v>4</v>
      </c>
      <c r="AT15" s="299">
        <f t="shared" si="18"/>
        <v>2</v>
      </c>
      <c r="AU15" s="288"/>
      <c r="AV15" s="288"/>
      <c r="AW15" s="300">
        <f>SUM(様式１!C26:D27)</f>
        <v>0</v>
      </c>
      <c r="AX15" s="301">
        <f>SUM('様式１－１（【本園分】標準時間対応）'!J19,'様式１－２（【分園分】標準時間対応）'!J19)</f>
        <v>0</v>
      </c>
      <c r="AY15" s="302">
        <f>SUM('様式１－１（【本園分】標準時間対応）'!R19,'様式１－２（【分園分】標準時間対応）'!R19)</f>
        <v>0</v>
      </c>
      <c r="AZ15" s="302">
        <f>SUM('様式１－１（【本園分】標準時間対応）'!Z19,'様式１－２（【分園分】標準時間対応）'!Z19)</f>
        <v>0</v>
      </c>
      <c r="BA15" s="302">
        <f>SUM('様式１－１（【本園分】標準時間対応）'!AH19,'様式１－２（【分園分】標準時間対応）'!AH19)</f>
        <v>0</v>
      </c>
      <c r="BB15" s="302">
        <f>SUM('様式１－１（【本園分】標準時間対応）'!AP19,'様式１－２（【分園分】標準時間対応）'!AP19)</f>
        <v>0</v>
      </c>
      <c r="BC15" s="303">
        <f>SUM('様式１－１（【本園分】標準時間対応）'!AX19,'様式１－２（【分園分】標準時間対応）'!AX19)</f>
        <v>0</v>
      </c>
      <c r="BD15" s="301">
        <f>SUM(様式１!E27,様式１!N27)-SUM('様式１－１（【本園分】標準時間対応）'!J19,'様式１－２（【分園分】標準時間対応）'!J19)</f>
        <v>0</v>
      </c>
      <c r="BE15" s="302">
        <f>SUM(様式１!F27,様式１!O27)-SUM('様式１－１（【本園分】標準時間対応）'!R19,'様式１－２（【分園分】標準時間対応）'!R19)</f>
        <v>0</v>
      </c>
      <c r="BF15" s="302">
        <f>SUM(様式１!H27,様式１!Q27)-SUM('様式１－１（【本園分】標準時間対応）'!Z19,'様式１－２（【分園分】標準時間対応）'!Z19)</f>
        <v>0</v>
      </c>
      <c r="BG15" s="302">
        <f>SUM(様式１!J26,様式１!S26)-SUM('様式１－１（【本園分】標準時間対応）'!AH19,'様式１－２（【分園分】標準時間対応）'!AH19)</f>
        <v>0</v>
      </c>
      <c r="BH15" s="302">
        <f>SUM(様式１!K26,様式１!T26)-SUM('様式１－１（【本園分】標準時間対応）'!AP19,'様式１－２（【分園分】標準時間対応）'!AP19)</f>
        <v>0</v>
      </c>
      <c r="BI15" s="303">
        <f>SUM(様式１!L26,様式１!U26)-SUM('様式１－１（【本園分】標準時間対応）'!AX19,'様式１－２（【分園分】標準時間対応）'!AX19)</f>
        <v>0</v>
      </c>
    </row>
    <row r="16" spans="1:61" ht="18.75" customHeight="1">
      <c r="A16">
        <f t="shared" si="2"/>
        <v>0</v>
      </c>
      <c r="B16" s="404" t="s">
        <v>183</v>
      </c>
      <c r="C16" s="404"/>
      <c r="D16" s="317">
        <f>様式１!BJ28-様式１!BU28</f>
        <v>0</v>
      </c>
      <c r="E16" s="265">
        <f t="shared" si="3"/>
        <v>0</v>
      </c>
      <c r="F16" s="265">
        <f t="shared" si="4"/>
        <v>0</v>
      </c>
      <c r="G16" s="265">
        <f t="shared" si="0"/>
        <v>0</v>
      </c>
      <c r="H16" s="405">
        <f t="shared" si="1"/>
        <v>4</v>
      </c>
      <c r="I16" s="405"/>
      <c r="J16" s="405"/>
      <c r="K16" s="317">
        <f>様式１!AA29+様式１!AC29+様式１!AE29+様式１!AH29+様式１!AL29+様式１!AQ29</f>
        <v>2</v>
      </c>
      <c r="L16" s="427">
        <f>様式１!AS28</f>
        <v>0</v>
      </c>
      <c r="M16" s="428"/>
      <c r="N16" s="427">
        <f>様式１!AT28</f>
        <v>0</v>
      </c>
      <c r="O16" s="429"/>
      <c r="P16" s="428"/>
      <c r="Q16" s="405">
        <f>様式１!AU28</f>
        <v>0</v>
      </c>
      <c r="R16" s="405"/>
      <c r="S16" s="405"/>
      <c r="T16" s="405">
        <f>様式１!AV28+様式１!AW28</f>
        <v>0</v>
      </c>
      <c r="U16" s="405"/>
      <c r="V16" s="405"/>
      <c r="W16" s="405">
        <f>様式１!AY28</f>
        <v>0</v>
      </c>
      <c r="X16" s="405"/>
      <c r="Y16" s="405"/>
      <c r="Z16" s="405">
        <f>様式１!AX28</f>
        <v>2</v>
      </c>
      <c r="AA16" s="405"/>
      <c r="AB16" s="427"/>
      <c r="AC16" s="318">
        <f t="shared" si="5"/>
        <v>2</v>
      </c>
      <c r="AD16" s="271">
        <f t="shared" si="6"/>
        <v>2</v>
      </c>
      <c r="AE16" s="271">
        <f t="shared" si="7"/>
        <v>0</v>
      </c>
      <c r="AF16" s="272">
        <f t="shared" si="8"/>
        <v>0</v>
      </c>
      <c r="AH16" s="297">
        <f t="shared" si="19"/>
        <v>-2</v>
      </c>
      <c r="AI16" s="297">
        <f t="shared" si="9"/>
        <v>-2</v>
      </c>
      <c r="AJ16" s="297">
        <f t="shared" si="10"/>
        <v>-2</v>
      </c>
      <c r="AK16" s="297">
        <f t="shared" si="11"/>
        <v>-2</v>
      </c>
      <c r="AL16" s="297">
        <f t="shared" si="12"/>
        <v>-4</v>
      </c>
      <c r="AM16" s="298"/>
      <c r="AN16" s="297">
        <f t="shared" si="20"/>
        <v>2</v>
      </c>
      <c r="AO16" s="297">
        <f t="shared" si="13"/>
        <v>2</v>
      </c>
      <c r="AP16" s="297">
        <f t="shared" si="14"/>
        <v>2</v>
      </c>
      <c r="AQ16" s="297">
        <f t="shared" si="15"/>
        <v>2</v>
      </c>
      <c r="AR16" s="297">
        <f t="shared" si="16"/>
        <v>4</v>
      </c>
      <c r="AS16" s="309">
        <f t="shared" si="17"/>
        <v>4</v>
      </c>
      <c r="AT16" s="299">
        <f t="shared" si="18"/>
        <v>2</v>
      </c>
      <c r="AU16" s="288"/>
      <c r="AV16" s="288"/>
      <c r="AW16" s="300">
        <f>SUM(様式１!C29:D30)</f>
        <v>0</v>
      </c>
      <c r="AX16" s="301">
        <f>SUM('様式１－１（【本園分】標準時間対応）'!J21,'様式１－２（【分園分】標準時間対応）'!J21)</f>
        <v>0</v>
      </c>
      <c r="AY16" s="302">
        <f>SUM('様式１－１（【本園分】標準時間対応）'!R21,'様式１－２（【分園分】標準時間対応）'!R21)</f>
        <v>0</v>
      </c>
      <c r="AZ16" s="302">
        <f>SUM('様式１－１（【本園分】標準時間対応）'!Z21,'様式１－２（【分園分】標準時間対応）'!Z21)</f>
        <v>0</v>
      </c>
      <c r="BA16" s="302">
        <f>SUM('様式１－１（【本園分】標準時間対応）'!AH21,'様式１－２（【分園分】標準時間対応）'!AH21)</f>
        <v>0</v>
      </c>
      <c r="BB16" s="302">
        <f>SUM('様式１－１（【本園分】標準時間対応）'!AP21,'様式１－２（【分園分】標準時間対応）'!AP21)</f>
        <v>0</v>
      </c>
      <c r="BC16" s="303">
        <f>SUM('様式１－１（【本園分】標準時間対応）'!AX21,'様式１－２（【分園分】標準時間対応）'!AX21)</f>
        <v>0</v>
      </c>
      <c r="BD16" s="301">
        <f>SUM(様式１!E30,様式１!N30)-SUM('様式１－１（【本園分】標準時間対応）'!J21,'様式１－２（【分園分】標準時間対応）'!J21)</f>
        <v>0</v>
      </c>
      <c r="BE16" s="302">
        <f>SUM(様式１!F30,様式１!O30)-SUM('様式１－１（【本園分】標準時間対応）'!R21,'様式１－２（【分園分】標準時間対応）'!R21)</f>
        <v>0</v>
      </c>
      <c r="BF16" s="302">
        <f>SUM(様式１!H30,様式１!Q30)-SUM('様式１－１（【本園分】標準時間対応）'!Z21,'様式１－２（【分園分】標準時間対応）'!Z21)</f>
        <v>0</v>
      </c>
      <c r="BG16" s="302">
        <f>SUM(様式１!J29,様式１!S29)-SUM('様式１－１（【本園分】標準時間対応）'!AH21,'様式１－２（【分園分】標準時間対応）'!AH21)</f>
        <v>0</v>
      </c>
      <c r="BH16" s="302">
        <f>SUM(様式１!K29,様式１!T29)-SUM('様式１－１（【本園分】標準時間対応）'!AP21,'様式１－２（【分園分】標準時間対応）'!AP21)</f>
        <v>0</v>
      </c>
      <c r="BI16" s="303">
        <f>SUM(様式１!L29,様式１!U29)-SUM('様式１－１（【本園分】標準時間対応）'!AX21,'様式１－２（【分園分】標準時間対応）'!AX21)</f>
        <v>0</v>
      </c>
    </row>
    <row r="17" spans="1:61" ht="18.75" customHeight="1">
      <c r="A17">
        <f t="shared" si="2"/>
        <v>0</v>
      </c>
      <c r="B17" s="404" t="s">
        <v>184</v>
      </c>
      <c r="C17" s="404"/>
      <c r="D17" s="317">
        <f>様式１!BJ31-様式１!BU31</f>
        <v>0</v>
      </c>
      <c r="E17" s="265">
        <f t="shared" si="3"/>
        <v>0</v>
      </c>
      <c r="F17" s="265">
        <f t="shared" si="4"/>
        <v>0</v>
      </c>
      <c r="G17" s="265">
        <f t="shared" si="0"/>
        <v>0</v>
      </c>
      <c r="H17" s="405">
        <f t="shared" si="1"/>
        <v>4</v>
      </c>
      <c r="I17" s="405"/>
      <c r="J17" s="405"/>
      <c r="K17" s="317">
        <f>様式１!AA32+様式１!AC32+様式１!AE32+様式１!AH32+様式１!AL32+様式１!AQ32</f>
        <v>2</v>
      </c>
      <c r="L17" s="427">
        <f>様式１!AS31</f>
        <v>0</v>
      </c>
      <c r="M17" s="428"/>
      <c r="N17" s="427">
        <f>様式１!AT31</f>
        <v>0</v>
      </c>
      <c r="O17" s="429"/>
      <c r="P17" s="428"/>
      <c r="Q17" s="405">
        <f>様式１!AU31</f>
        <v>0</v>
      </c>
      <c r="R17" s="405"/>
      <c r="S17" s="405"/>
      <c r="T17" s="405">
        <f>様式１!AV31+様式１!AW31</f>
        <v>0</v>
      </c>
      <c r="U17" s="405"/>
      <c r="V17" s="405"/>
      <c r="W17" s="405">
        <f>様式１!AY31</f>
        <v>0</v>
      </c>
      <c r="X17" s="405"/>
      <c r="Y17" s="405"/>
      <c r="Z17" s="405">
        <f>様式１!AX31</f>
        <v>2</v>
      </c>
      <c r="AA17" s="405"/>
      <c r="AB17" s="427"/>
      <c r="AC17" s="318">
        <f t="shared" si="5"/>
        <v>2</v>
      </c>
      <c r="AD17" s="271">
        <f t="shared" si="6"/>
        <v>2</v>
      </c>
      <c r="AE17" s="271">
        <f t="shared" si="7"/>
        <v>0</v>
      </c>
      <c r="AF17" s="272">
        <f t="shared" si="8"/>
        <v>0</v>
      </c>
      <c r="AH17" s="297">
        <f t="shared" si="19"/>
        <v>-2</v>
      </c>
      <c r="AI17" s="297">
        <f t="shared" si="9"/>
        <v>-2</v>
      </c>
      <c r="AJ17" s="297">
        <f t="shared" si="10"/>
        <v>-2</v>
      </c>
      <c r="AK17" s="297">
        <f t="shared" si="11"/>
        <v>-2</v>
      </c>
      <c r="AL17" s="297">
        <f t="shared" si="12"/>
        <v>-4</v>
      </c>
      <c r="AM17" s="298"/>
      <c r="AN17" s="297">
        <f t="shared" si="20"/>
        <v>2</v>
      </c>
      <c r="AO17" s="297">
        <f t="shared" si="13"/>
        <v>2</v>
      </c>
      <c r="AP17" s="297">
        <f t="shared" si="14"/>
        <v>2</v>
      </c>
      <c r="AQ17" s="297">
        <f t="shared" si="15"/>
        <v>2</v>
      </c>
      <c r="AR17" s="297">
        <f t="shared" si="16"/>
        <v>4</v>
      </c>
      <c r="AS17" s="309">
        <f t="shared" si="17"/>
        <v>4</v>
      </c>
      <c r="AT17" s="299">
        <f t="shared" si="18"/>
        <v>2</v>
      </c>
      <c r="AU17" s="288"/>
      <c r="AV17" s="288"/>
      <c r="AW17" s="300">
        <f>SUM(様式１!C32:D33)</f>
        <v>0</v>
      </c>
      <c r="AX17" s="301">
        <f>SUM('様式１－１（【本園分】標準時間対応）'!J23,'様式１－２（【分園分】標準時間対応）'!J23)</f>
        <v>0</v>
      </c>
      <c r="AY17" s="302">
        <f>SUM('様式１－１（【本園分】標準時間対応）'!R23,'様式１－２（【分園分】標準時間対応）'!R23)</f>
        <v>0</v>
      </c>
      <c r="AZ17" s="302">
        <f>SUM('様式１－１（【本園分】標準時間対応）'!Z23,'様式１－２（【分園分】標準時間対応）'!Z23)</f>
        <v>0</v>
      </c>
      <c r="BA17" s="302">
        <f>SUM('様式１－１（【本園分】標準時間対応）'!AH23,'様式１－２（【分園分】標準時間対応）'!AH23)</f>
        <v>0</v>
      </c>
      <c r="BB17" s="302">
        <f>SUM('様式１－１（【本園分】標準時間対応）'!AP23,'様式１－２（【分園分】標準時間対応）'!AP23)</f>
        <v>0</v>
      </c>
      <c r="BC17" s="303">
        <f>SUM('様式１－１（【本園分】標準時間対応）'!AX23,'様式１－２（【分園分】標準時間対応）'!AX23)</f>
        <v>0</v>
      </c>
      <c r="BD17" s="301">
        <f>SUM(様式１!E33,様式１!N33)-SUM('様式１－１（【本園分】標準時間対応）'!J23,'様式１－２（【分園分】標準時間対応）'!J23)</f>
        <v>0</v>
      </c>
      <c r="BE17" s="302">
        <f>SUM(様式１!F33,様式１!O33)-SUM('様式１－１（【本園分】標準時間対応）'!R23,'様式１－２（【分園分】標準時間対応）'!R23)</f>
        <v>0</v>
      </c>
      <c r="BF17" s="302">
        <f>SUM(様式１!H33,様式１!Q33)-SUM('様式１－１（【本園分】標準時間対応）'!Z23,'様式１－２（【分園分】標準時間対応）'!Z23)</f>
        <v>0</v>
      </c>
      <c r="BG17" s="302">
        <f>SUM(様式１!J32,様式１!S32)-SUM('様式１－１（【本園分】標準時間対応）'!AH23,'様式１－２（【分園分】標準時間対応）'!AH23)</f>
        <v>0</v>
      </c>
      <c r="BH17" s="302">
        <f>SUM(様式１!K32,様式１!T32)-SUM('様式１－１（【本園分】標準時間対応）'!AP23,'様式１－２（【分園分】標準時間対応）'!AP23)</f>
        <v>0</v>
      </c>
      <c r="BI17" s="303">
        <f>SUM(様式１!L32,様式１!U32)-SUM('様式１－１（【本園分】標準時間対応）'!AX23,'様式１－２（【分園分】標準時間対応）'!AX23)</f>
        <v>0</v>
      </c>
    </row>
    <row r="18" spans="1:61" ht="18.75" customHeight="1">
      <c r="A18">
        <f t="shared" si="2"/>
        <v>0</v>
      </c>
      <c r="B18" s="404" t="s">
        <v>185</v>
      </c>
      <c r="C18" s="404"/>
      <c r="D18" s="317">
        <f>様式１!BJ34-様式１!BU34</f>
        <v>0</v>
      </c>
      <c r="E18" s="265">
        <f t="shared" si="3"/>
        <v>0</v>
      </c>
      <c r="F18" s="265">
        <f t="shared" si="4"/>
        <v>0</v>
      </c>
      <c r="G18" s="265">
        <f t="shared" si="0"/>
        <v>0</v>
      </c>
      <c r="H18" s="405">
        <f t="shared" si="1"/>
        <v>4</v>
      </c>
      <c r="I18" s="405"/>
      <c r="J18" s="405"/>
      <c r="K18" s="317">
        <f>様式１!AA35+様式１!AC35+様式１!AE35+様式１!AH35+様式１!AL35+様式１!AQ35</f>
        <v>2</v>
      </c>
      <c r="L18" s="427">
        <f>様式１!AS34</f>
        <v>0</v>
      </c>
      <c r="M18" s="428"/>
      <c r="N18" s="427">
        <f>様式１!AT34</f>
        <v>0</v>
      </c>
      <c r="O18" s="429"/>
      <c r="P18" s="428"/>
      <c r="Q18" s="405">
        <f>様式１!AU34</f>
        <v>0</v>
      </c>
      <c r="R18" s="405"/>
      <c r="S18" s="405"/>
      <c r="T18" s="405">
        <f>様式１!AV34+様式１!AW34</f>
        <v>0</v>
      </c>
      <c r="U18" s="405"/>
      <c r="V18" s="405"/>
      <c r="W18" s="405">
        <f>様式１!AY34</f>
        <v>0</v>
      </c>
      <c r="X18" s="405"/>
      <c r="Y18" s="405"/>
      <c r="Z18" s="405">
        <f>様式１!AX34</f>
        <v>2</v>
      </c>
      <c r="AA18" s="405"/>
      <c r="AB18" s="427"/>
      <c r="AC18" s="318">
        <f t="shared" si="5"/>
        <v>2</v>
      </c>
      <c r="AD18" s="271">
        <f t="shared" si="6"/>
        <v>2</v>
      </c>
      <c r="AE18" s="271">
        <f t="shared" si="7"/>
        <v>0</v>
      </c>
      <c r="AF18" s="272">
        <f t="shared" si="8"/>
        <v>0</v>
      </c>
      <c r="AH18" s="297">
        <f t="shared" si="19"/>
        <v>-2</v>
      </c>
      <c r="AI18" s="297">
        <f t="shared" si="9"/>
        <v>-2</v>
      </c>
      <c r="AJ18" s="297">
        <f t="shared" si="10"/>
        <v>-2</v>
      </c>
      <c r="AK18" s="297">
        <f t="shared" si="11"/>
        <v>-2</v>
      </c>
      <c r="AL18" s="297">
        <f t="shared" si="12"/>
        <v>-4</v>
      </c>
      <c r="AM18" s="298"/>
      <c r="AN18" s="297">
        <f t="shared" si="20"/>
        <v>2</v>
      </c>
      <c r="AO18" s="297">
        <f t="shared" si="13"/>
        <v>2</v>
      </c>
      <c r="AP18" s="297">
        <f t="shared" si="14"/>
        <v>2</v>
      </c>
      <c r="AQ18" s="297">
        <f t="shared" si="15"/>
        <v>2</v>
      </c>
      <c r="AR18" s="297">
        <f t="shared" si="16"/>
        <v>4</v>
      </c>
      <c r="AS18" s="309">
        <f t="shared" si="17"/>
        <v>4</v>
      </c>
      <c r="AT18" s="299">
        <f t="shared" si="18"/>
        <v>2</v>
      </c>
      <c r="AU18" s="288"/>
      <c r="AV18" s="288"/>
      <c r="AW18" s="300">
        <f>SUM(様式１!C35:D36)</f>
        <v>0</v>
      </c>
      <c r="AX18" s="301">
        <f>SUM('様式１－１（【本園分】標準時間対応）'!J25,'様式１－２（【分園分】標準時間対応）'!J25)</f>
        <v>0</v>
      </c>
      <c r="AY18" s="302">
        <f>SUM('様式１－１（【本園分】標準時間対応）'!R25,'様式１－２（【分園分】標準時間対応）'!R25)</f>
        <v>0</v>
      </c>
      <c r="AZ18" s="302">
        <f>SUM('様式１－１（【本園分】標準時間対応）'!Z25,'様式１－２（【分園分】標準時間対応）'!Z25)</f>
        <v>0</v>
      </c>
      <c r="BA18" s="302">
        <f>SUM('様式１－１（【本園分】標準時間対応）'!AH25,'様式１－２（【分園分】標準時間対応）'!AH25)</f>
        <v>0</v>
      </c>
      <c r="BB18" s="302">
        <f>SUM('様式１－１（【本園分】標準時間対応）'!AP25,'様式１－２（【分園分】標準時間対応）'!AP25)</f>
        <v>0</v>
      </c>
      <c r="BC18" s="303">
        <f>SUM('様式１－１（【本園分】標準時間対応）'!AX25,'様式１－２（【分園分】標準時間対応）'!AX25)</f>
        <v>0</v>
      </c>
      <c r="BD18" s="301">
        <f>SUM(様式１!E36,様式１!N36)-SUM('様式１－１（【本園分】標準時間対応）'!J25,'様式１－２（【分園分】標準時間対応）'!J25)</f>
        <v>0</v>
      </c>
      <c r="BE18" s="302">
        <f>SUM(様式１!F36,様式１!O36)-SUM('様式１－１（【本園分】標準時間対応）'!R25,'様式１－２（【分園分】標準時間対応）'!R25)</f>
        <v>0</v>
      </c>
      <c r="BF18" s="302">
        <f>SUM(様式１!H36,様式１!Q36)-SUM('様式１－１（【本園分】標準時間対応）'!Z25,'様式１－２（【分園分】標準時間対応）'!Z25)</f>
        <v>0</v>
      </c>
      <c r="BG18" s="302">
        <f>SUM(様式１!J35,様式１!S35)-SUM('様式１－１（【本園分】標準時間対応）'!AH25,'様式１－２（【分園分】標準時間対応）'!AH25)</f>
        <v>0</v>
      </c>
      <c r="BH18" s="302">
        <f>SUM(様式１!K35,様式１!T35)-SUM('様式１－１（【本園分】標準時間対応）'!AP25,'様式１－２（【分園分】標準時間対応）'!AP25)</f>
        <v>0</v>
      </c>
      <c r="BI18" s="303">
        <f>SUM(様式１!L35,様式１!U35)-SUM('様式１－１（【本園分】標準時間対応）'!AX25,'様式１－２（【分園分】標準時間対応）'!AX25)</f>
        <v>0</v>
      </c>
    </row>
    <row r="19" spans="1:61" ht="18.75" customHeight="1">
      <c r="A19">
        <f t="shared" si="2"/>
        <v>0</v>
      </c>
      <c r="B19" s="404" t="s">
        <v>15</v>
      </c>
      <c r="C19" s="404"/>
      <c r="D19" s="317">
        <f>様式１!BJ37-様式１!BU37</f>
        <v>0</v>
      </c>
      <c r="E19" s="265">
        <f t="shared" si="3"/>
        <v>0</v>
      </c>
      <c r="F19" s="265">
        <f t="shared" si="4"/>
        <v>0</v>
      </c>
      <c r="G19" s="265">
        <f t="shared" si="0"/>
        <v>0</v>
      </c>
      <c r="H19" s="405">
        <f t="shared" si="1"/>
        <v>4</v>
      </c>
      <c r="I19" s="405"/>
      <c r="J19" s="405"/>
      <c r="K19" s="317">
        <f>様式１!AA38+様式１!AC38+様式１!AE38+様式１!AH38+様式１!AL38+様式１!AQ38</f>
        <v>2</v>
      </c>
      <c r="L19" s="427">
        <f>様式１!AS37</f>
        <v>0</v>
      </c>
      <c r="M19" s="428"/>
      <c r="N19" s="427">
        <f>様式１!AT37</f>
        <v>0</v>
      </c>
      <c r="O19" s="429"/>
      <c r="P19" s="428"/>
      <c r="Q19" s="405">
        <f>様式１!AU37</f>
        <v>0</v>
      </c>
      <c r="R19" s="405"/>
      <c r="S19" s="405"/>
      <c r="T19" s="405">
        <f>様式１!AV37+様式１!AW37</f>
        <v>0</v>
      </c>
      <c r="U19" s="405"/>
      <c r="V19" s="405"/>
      <c r="W19" s="405">
        <f>様式１!AY37</f>
        <v>0</v>
      </c>
      <c r="X19" s="405"/>
      <c r="Y19" s="405"/>
      <c r="Z19" s="405">
        <f>様式１!AX37</f>
        <v>2</v>
      </c>
      <c r="AA19" s="405"/>
      <c r="AB19" s="427"/>
      <c r="AC19" s="318">
        <f t="shared" si="5"/>
        <v>2</v>
      </c>
      <c r="AD19" s="271">
        <f t="shared" si="6"/>
        <v>2</v>
      </c>
      <c r="AE19" s="271">
        <f t="shared" si="7"/>
        <v>0</v>
      </c>
      <c r="AF19" s="272">
        <f t="shared" si="8"/>
        <v>0</v>
      </c>
      <c r="AH19" s="297">
        <f t="shared" si="19"/>
        <v>-2</v>
      </c>
      <c r="AI19" s="297">
        <f t="shared" si="9"/>
        <v>-2</v>
      </c>
      <c r="AJ19" s="297">
        <f t="shared" si="10"/>
        <v>-2</v>
      </c>
      <c r="AK19" s="297">
        <f t="shared" si="11"/>
        <v>-2</v>
      </c>
      <c r="AL19" s="297">
        <f t="shared" si="12"/>
        <v>-4</v>
      </c>
      <c r="AM19" s="298"/>
      <c r="AN19" s="297">
        <f t="shared" si="20"/>
        <v>2</v>
      </c>
      <c r="AO19" s="297">
        <f t="shared" si="13"/>
        <v>2</v>
      </c>
      <c r="AP19" s="297">
        <f t="shared" si="14"/>
        <v>2</v>
      </c>
      <c r="AQ19" s="297">
        <f t="shared" si="15"/>
        <v>2</v>
      </c>
      <c r="AR19" s="297">
        <f t="shared" si="16"/>
        <v>4</v>
      </c>
      <c r="AS19" s="309">
        <f t="shared" si="17"/>
        <v>4</v>
      </c>
      <c r="AT19" s="299">
        <f t="shared" si="18"/>
        <v>2</v>
      </c>
      <c r="AU19" s="288"/>
      <c r="AV19" s="288"/>
      <c r="AW19" s="300">
        <f>SUM(様式１!C38:D39)</f>
        <v>0</v>
      </c>
      <c r="AX19" s="301">
        <f>SUM('様式１－１（【本園分】標準時間対応）'!J27,'様式１－２（【分園分】標準時間対応）'!J27)</f>
        <v>0</v>
      </c>
      <c r="AY19" s="302">
        <f>SUM('様式１－１（【本園分】標準時間対応）'!R27,'様式１－２（【分園分】標準時間対応）'!R27)</f>
        <v>0</v>
      </c>
      <c r="AZ19" s="302">
        <f>SUM('様式１－１（【本園分】標準時間対応）'!Z27,'様式１－２（【分園分】標準時間対応）'!Z27)</f>
        <v>0</v>
      </c>
      <c r="BA19" s="302">
        <f>SUM('様式１－１（【本園分】標準時間対応）'!AH27,'様式１－２（【分園分】標準時間対応）'!AH27)</f>
        <v>0</v>
      </c>
      <c r="BB19" s="302">
        <f>SUM('様式１－１（【本園分】標準時間対応）'!AP27,'様式１－２（【分園分】標準時間対応）'!AP27)</f>
        <v>0</v>
      </c>
      <c r="BC19" s="303">
        <f>SUM('様式１－１（【本園分】標準時間対応）'!AX27,'様式１－２（【分園分】標準時間対応）'!AX27)</f>
        <v>0</v>
      </c>
      <c r="BD19" s="301">
        <f>SUM(様式１!E39,様式１!N39)-SUM('様式１－１（【本園分】標準時間対応）'!J27,'様式１－２（【分園分】標準時間対応）'!J27)</f>
        <v>0</v>
      </c>
      <c r="BE19" s="302">
        <f>SUM(様式１!F39,様式１!O39)-SUM('様式１－１（【本園分】標準時間対応）'!R27,'様式１－２（【分園分】標準時間対応）'!R27)</f>
        <v>0</v>
      </c>
      <c r="BF19" s="302">
        <f>SUM(様式１!H39,様式１!Q39)-SUM('様式１－１（【本園分】標準時間対応）'!Z27,'様式１－２（【分園分】標準時間対応）'!Z27)</f>
        <v>0</v>
      </c>
      <c r="BG19" s="302">
        <f>SUM(様式１!J38,様式１!S38)-SUM('様式１－１（【本園分】標準時間対応）'!AH27,'様式１－２（【分園分】標準時間対応）'!AH27)</f>
        <v>0</v>
      </c>
      <c r="BH19" s="302">
        <f>SUM(様式１!K38,様式１!T38)-SUM('様式１－１（【本園分】標準時間対応）'!AP27,'様式１－２（【分園分】標準時間対応）'!AP27)</f>
        <v>0</v>
      </c>
      <c r="BI19" s="303">
        <f>SUM(様式１!L38,様式１!U38)-SUM('様式１－１（【本園分】標準時間対応）'!AX27,'様式１－２（【分園分】標準時間対応）'!AX27)</f>
        <v>0</v>
      </c>
    </row>
    <row r="20" spans="1:61" ht="18.75" customHeight="1" thickBot="1">
      <c r="A20">
        <f t="shared" si="2"/>
        <v>0</v>
      </c>
      <c r="B20" s="433" t="s">
        <v>186</v>
      </c>
      <c r="C20" s="433"/>
      <c r="D20" s="319">
        <f>様式１!BJ40-様式１!BU40</f>
        <v>0</v>
      </c>
      <c r="E20" s="266">
        <f t="shared" si="3"/>
        <v>0</v>
      </c>
      <c r="F20" s="266">
        <f t="shared" si="4"/>
        <v>0</v>
      </c>
      <c r="G20" s="266">
        <f t="shared" si="0"/>
        <v>0</v>
      </c>
      <c r="H20" s="408">
        <f t="shared" si="1"/>
        <v>4</v>
      </c>
      <c r="I20" s="408"/>
      <c r="J20" s="408"/>
      <c r="K20" s="319">
        <f>様式１!AA41+様式１!AC41+様式１!AE41+様式１!AH41+様式１!AL41+様式１!AQ41</f>
        <v>2</v>
      </c>
      <c r="L20" s="435">
        <f>様式１!AS40</f>
        <v>0</v>
      </c>
      <c r="M20" s="436"/>
      <c r="N20" s="435">
        <f>様式１!AT40</f>
        <v>0</v>
      </c>
      <c r="O20" s="464"/>
      <c r="P20" s="436"/>
      <c r="Q20" s="408">
        <f>様式１!AU40</f>
        <v>0</v>
      </c>
      <c r="R20" s="408"/>
      <c r="S20" s="408"/>
      <c r="T20" s="408">
        <f>様式１!AV40+様式１!AW40</f>
        <v>0</v>
      </c>
      <c r="U20" s="408"/>
      <c r="V20" s="408"/>
      <c r="W20" s="408">
        <f>様式１!AY40</f>
        <v>0</v>
      </c>
      <c r="X20" s="408"/>
      <c r="Y20" s="408"/>
      <c r="Z20" s="408">
        <f>様式１!AX40</f>
        <v>2</v>
      </c>
      <c r="AA20" s="408"/>
      <c r="AB20" s="434"/>
      <c r="AC20" s="320">
        <f t="shared" si="5"/>
        <v>2</v>
      </c>
      <c r="AD20" s="273">
        <f t="shared" si="6"/>
        <v>2</v>
      </c>
      <c r="AE20" s="273">
        <f t="shared" si="7"/>
        <v>0</v>
      </c>
      <c r="AF20" s="274">
        <f t="shared" si="8"/>
        <v>0</v>
      </c>
      <c r="AH20" s="297">
        <f t="shared" si="19"/>
        <v>-2</v>
      </c>
      <c r="AI20" s="297">
        <f t="shared" si="9"/>
        <v>-2</v>
      </c>
      <c r="AJ20" s="297">
        <f t="shared" si="10"/>
        <v>-2</v>
      </c>
      <c r="AK20" s="297">
        <f t="shared" si="11"/>
        <v>-2</v>
      </c>
      <c r="AL20" s="297">
        <f t="shared" si="12"/>
        <v>-4</v>
      </c>
      <c r="AM20" s="298"/>
      <c r="AN20" s="297">
        <f t="shared" si="20"/>
        <v>2</v>
      </c>
      <c r="AO20" s="297">
        <f t="shared" si="13"/>
        <v>2</v>
      </c>
      <c r="AP20" s="297">
        <f t="shared" si="14"/>
        <v>2</v>
      </c>
      <c r="AQ20" s="297">
        <f t="shared" si="15"/>
        <v>2</v>
      </c>
      <c r="AR20" s="297">
        <f t="shared" si="16"/>
        <v>4</v>
      </c>
      <c r="AS20" s="309">
        <f t="shared" si="17"/>
        <v>4</v>
      </c>
      <c r="AT20" s="299">
        <f t="shared" si="18"/>
        <v>2</v>
      </c>
      <c r="AU20" s="288"/>
      <c r="AV20" s="288"/>
      <c r="AW20" s="300">
        <f>SUM(様式１!C41:D42)</f>
        <v>0</v>
      </c>
      <c r="AX20" s="301">
        <f>SUM('様式１－１（【本園分】標準時間対応）'!J29,'様式１－２（【分園分】標準時間対応）'!J29)</f>
        <v>0</v>
      </c>
      <c r="AY20" s="302">
        <f>SUM('様式１－１（【本園分】標準時間対応）'!R29,'様式１－２（【分園分】標準時間対応）'!R29)</f>
        <v>0</v>
      </c>
      <c r="AZ20" s="302">
        <f>SUM('様式１－１（【本園分】標準時間対応）'!Z29,'様式１－２（【分園分】標準時間対応）'!Z29)</f>
        <v>0</v>
      </c>
      <c r="BA20" s="302">
        <f>SUM('様式１－１（【本園分】標準時間対応）'!AH29,'様式１－２（【分園分】標準時間対応）'!AH29)</f>
        <v>0</v>
      </c>
      <c r="BB20" s="302">
        <f>SUM('様式１－１（【本園分】標準時間対応）'!AP29,'様式１－２（【分園分】標準時間対応）'!AP29)</f>
        <v>0</v>
      </c>
      <c r="BC20" s="303">
        <f>SUM('様式１－１（【本園分】標準時間対応）'!AX29,'様式１－２（【分園分】標準時間対応）'!AX29)</f>
        <v>0</v>
      </c>
      <c r="BD20" s="301">
        <f>SUM(様式１!E42,様式１!N42)-SUM('様式１－１（【本園分】標準時間対応）'!J29,'様式１－２（【分園分】標準時間対応）'!J29)</f>
        <v>0</v>
      </c>
      <c r="BE20" s="302">
        <f>SUM(様式１!F42,様式１!O42)-SUM('様式１－１（【本園分】標準時間対応）'!R29,'様式１－２（【分園分】標準時間対応）'!R29)</f>
        <v>0</v>
      </c>
      <c r="BF20" s="302">
        <f>SUM(様式１!H42,様式１!Q42)-SUM('様式１－１（【本園分】標準時間対応）'!Z29,'様式１－２（【分園分】標準時間対応）'!Z29)</f>
        <v>0</v>
      </c>
      <c r="BG20" s="302">
        <f>SUM(様式１!J41,様式１!S41)-SUM('様式１－１（【本園分】標準時間対応）'!AH29,'様式１－２（【分園分】標準時間対応）'!AH29)</f>
        <v>0</v>
      </c>
      <c r="BH20" s="302">
        <f>SUM(様式１!K41,様式１!T41)-SUM('様式１－１（【本園分】標準時間対応）'!AP29,'様式１－２（【分園分】標準時間対応）'!AP29)</f>
        <v>0</v>
      </c>
      <c r="BI20" s="303">
        <f>SUM(様式１!L41,様式１!U41)-SUM('様式１－１（【本園分】標準時間対応）'!AX29,'様式１－２（【分園分】標準時間対応）'!AX29)</f>
        <v>0</v>
      </c>
    </row>
    <row r="21" spans="1:61" ht="18.75" customHeight="1" thickTop="1" thickBot="1">
      <c r="A21">
        <f t="shared" si="2"/>
        <v>0</v>
      </c>
      <c r="B21" s="430" t="s">
        <v>187</v>
      </c>
      <c r="C21" s="430"/>
      <c r="D21" s="316">
        <f>様式１!BJ43-様式１!BU43</f>
        <v>0</v>
      </c>
      <c r="E21" s="267">
        <f t="shared" si="3"/>
        <v>0</v>
      </c>
      <c r="F21" s="267">
        <f>IF(MIN(L21,D21-K21)&lt;0,0,MIN(L21,D21-K21))</f>
        <v>0</v>
      </c>
      <c r="G21" s="267">
        <f>IF(MIN(N21,D21-K21-F21)&lt;0,0,MIN(N21,D21-K21-F21))</f>
        <v>0</v>
      </c>
      <c r="H21" s="431">
        <f>SUM(K21:AB21)</f>
        <v>4</v>
      </c>
      <c r="I21" s="431"/>
      <c r="J21" s="431"/>
      <c r="K21" s="316">
        <f>様式１!AA44+様式１!AC44+様式１!AE44+様式１!AH44+様式１!AL44+様式１!AQ44</f>
        <v>2</v>
      </c>
      <c r="L21" s="437">
        <f>様式１!AS43</f>
        <v>0</v>
      </c>
      <c r="M21" s="438"/>
      <c r="N21" s="437">
        <f>様式１!AT43</f>
        <v>0</v>
      </c>
      <c r="O21" s="465"/>
      <c r="P21" s="438"/>
      <c r="Q21" s="431">
        <f>様式１!AU43</f>
        <v>0</v>
      </c>
      <c r="R21" s="431"/>
      <c r="S21" s="431"/>
      <c r="T21" s="431">
        <f>様式１!AV43+様式１!AW43</f>
        <v>0</v>
      </c>
      <c r="U21" s="431"/>
      <c r="V21" s="431"/>
      <c r="W21" s="431">
        <f>様式１!AY43</f>
        <v>0</v>
      </c>
      <c r="X21" s="431"/>
      <c r="Y21" s="431"/>
      <c r="Z21" s="431">
        <f>様式１!AX43</f>
        <v>2</v>
      </c>
      <c r="AA21" s="431"/>
      <c r="AB21" s="432"/>
      <c r="AC21" s="315">
        <f t="shared" si="5"/>
        <v>2</v>
      </c>
      <c r="AD21" s="275">
        <f t="shared" si="6"/>
        <v>2</v>
      </c>
      <c r="AE21" s="308">
        <f>MIN(F21,L21)</f>
        <v>0</v>
      </c>
      <c r="AF21" s="276">
        <f>MIN(G21,N21)</f>
        <v>0</v>
      </c>
      <c r="AH21" s="297">
        <f>E21-K21</f>
        <v>-2</v>
      </c>
      <c r="AI21" s="297">
        <f t="shared" si="9"/>
        <v>-2</v>
      </c>
      <c r="AJ21" s="297">
        <f t="shared" si="10"/>
        <v>-2</v>
      </c>
      <c r="AK21" s="297">
        <f t="shared" si="11"/>
        <v>-2</v>
      </c>
      <c r="AL21" s="297">
        <f t="shared" si="12"/>
        <v>-4</v>
      </c>
      <c r="AM21" s="298"/>
      <c r="AN21" s="297">
        <f t="shared" si="20"/>
        <v>2</v>
      </c>
      <c r="AO21" s="297">
        <f t="shared" si="13"/>
        <v>2</v>
      </c>
      <c r="AP21" s="297">
        <f t="shared" si="14"/>
        <v>2</v>
      </c>
      <c r="AQ21" s="297">
        <f t="shared" si="15"/>
        <v>2</v>
      </c>
      <c r="AR21" s="297">
        <f t="shared" si="16"/>
        <v>4</v>
      </c>
      <c r="AS21" s="309">
        <f t="shared" si="17"/>
        <v>4</v>
      </c>
      <c r="AT21" s="304">
        <f>MIN(AN21:AS21)</f>
        <v>2</v>
      </c>
      <c r="AU21" s="288"/>
      <c r="AV21" s="288"/>
      <c r="AW21" s="300">
        <f>SUM(様式１!C44:D45)</f>
        <v>0</v>
      </c>
      <c r="AX21" s="305">
        <f>SUM('様式１－１（【本園分】標準時間対応）'!J31,'様式１－２（【分園分】標準時間対応）'!J31)</f>
        <v>0</v>
      </c>
      <c r="AY21" s="306">
        <f>SUM('様式１－１（【本園分】標準時間対応）'!R31,'様式１－２（【分園分】標準時間対応）'!R31)</f>
        <v>0</v>
      </c>
      <c r="AZ21" s="306">
        <f>SUM('様式１－１（【本園分】標準時間対応）'!Z31,'様式１－２（【分園分】標準時間対応）'!Z31)</f>
        <v>0</v>
      </c>
      <c r="BA21" s="306">
        <f>SUM('様式１－１（【本園分】標準時間対応）'!AH31,'様式１－２（【分園分】標準時間対応）'!AH31)</f>
        <v>0</v>
      </c>
      <c r="BB21" s="306">
        <f>SUM('様式１－１（【本園分】標準時間対応）'!AP31,'様式１－２（【分園分】標準時間対応）'!AP31)</f>
        <v>0</v>
      </c>
      <c r="BC21" s="307">
        <f>SUM('様式１－１（【本園分】標準時間対応）'!AX31,'様式１－２（【分園分】標準時間対応）'!AX31)</f>
        <v>0</v>
      </c>
      <c r="BD21" s="305">
        <f>SUM(様式１!E45,様式１!N45)-SUM('様式１－１（【本園分】標準時間対応）'!J31,'様式１－２（【分園分】標準時間対応）'!J31)</f>
        <v>0</v>
      </c>
      <c r="BE21" s="306">
        <f>SUM(様式１!F45,様式１!O45)-SUM('様式１－１（【本園分】標準時間対応）'!R31,'様式１－２（【分園分】標準時間対応）'!R31)</f>
        <v>0</v>
      </c>
      <c r="BF21" s="306">
        <f>SUM(様式１!H45,様式１!Q45)-SUM('様式１－１（【本園分】標準時間対応）'!Z31,'様式１－２（【分園分】標準時間対応）'!Z31)</f>
        <v>0</v>
      </c>
      <c r="BG21" s="306">
        <f>SUM(様式１!J44,様式１!S44)-SUM('様式１－１（【本園分】標準時間対応）'!AH31,'様式１－２（【分園分】標準時間対応）'!AH31)</f>
        <v>0</v>
      </c>
      <c r="BH21" s="306">
        <f>SUM(様式１!K44,様式１!T44)-SUM('様式１－１（【本園分】標準時間対応）'!AP31,'様式１－２（【分園分】標準時間対応）'!AP31)</f>
        <v>0</v>
      </c>
      <c r="BI21" s="307">
        <f>SUM(様式１!L44,様式１!U44)-SUM('様式１－１（【本園分】標準時間対応）'!AX31,'様式１－２（【分園分】標準時間対応）'!AX31)</f>
        <v>0</v>
      </c>
    </row>
    <row r="22" spans="1:61" ht="12" customHeight="1">
      <c r="B22" s="203"/>
      <c r="C22" s="203"/>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row>
    <row r="23" spans="1:61" ht="20.25" customHeight="1">
      <c r="B23" s="285" t="s">
        <v>260</v>
      </c>
      <c r="C23" s="286"/>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05"/>
      <c r="AE23" s="205"/>
      <c r="AF23" s="205"/>
    </row>
    <row r="24" spans="1:61" ht="20.100000000000001" customHeight="1">
      <c r="B24" s="402" t="s">
        <v>258</v>
      </c>
      <c r="C24" s="402"/>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c r="AB24" s="402"/>
      <c r="AC24" s="402"/>
      <c r="AD24" s="260"/>
      <c r="AE24" s="260"/>
      <c r="AF24" s="260"/>
    </row>
    <row r="25" spans="1:61" ht="20.100000000000001" customHeight="1">
      <c r="B25" s="402"/>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260"/>
      <c r="AE25" s="260"/>
      <c r="AF25" s="260"/>
    </row>
    <row r="29" spans="1:61">
      <c r="AG29" t="s">
        <v>198</v>
      </c>
      <c r="AH29" t="s">
        <v>199</v>
      </c>
    </row>
    <row r="30" spans="1:61">
      <c r="AG30" t="s">
        <v>200</v>
      </c>
      <c r="AH30" t="s">
        <v>201</v>
      </c>
    </row>
    <row r="31" spans="1:61">
      <c r="AG31" t="s">
        <v>202</v>
      </c>
      <c r="AH31" t="s">
        <v>203</v>
      </c>
    </row>
  </sheetData>
  <sheetProtection algorithmName="SHA-512" hashValue="lCUpxcGOOq11Pu5bxSRtv+Q6eRHlQVSqjFj6GlR7e6AL6n1PCPk/Wh61Tr1S4/WlT9lXlsncDCGk10mMqhI2kQ==" saltValue="bhR+Ngjf6DVNwcE9siY59g==" spinCount="100000" sheet="1" objects="1" scenarios="1"/>
  <mergeCells count="138">
    <mergeCell ref="K7:K8"/>
    <mergeCell ref="N17:P17"/>
    <mergeCell ref="N18:P18"/>
    <mergeCell ref="N19:P19"/>
    <mergeCell ref="N20:P20"/>
    <mergeCell ref="N21:P21"/>
    <mergeCell ref="L7:P7"/>
    <mergeCell ref="L9:M9"/>
    <mergeCell ref="L8:M8"/>
    <mergeCell ref="L10:M10"/>
    <mergeCell ref="L11:M11"/>
    <mergeCell ref="L12:M12"/>
    <mergeCell ref="L13:M13"/>
    <mergeCell ref="N9:P9"/>
    <mergeCell ref="N8:P8"/>
    <mergeCell ref="L16:M16"/>
    <mergeCell ref="N10:P10"/>
    <mergeCell ref="N11:P11"/>
    <mergeCell ref="N12:P12"/>
    <mergeCell ref="N13:P13"/>
    <mergeCell ref="N14:P14"/>
    <mergeCell ref="N15:P15"/>
    <mergeCell ref="L14:M14"/>
    <mergeCell ref="L15:M15"/>
    <mergeCell ref="T15:V15"/>
    <mergeCell ref="W15:Y15"/>
    <mergeCell ref="Z9:AB9"/>
    <mergeCell ref="AE6:AF6"/>
    <mergeCell ref="AE7:AF7"/>
    <mergeCell ref="AC6:AC8"/>
    <mergeCell ref="AW7:BI7"/>
    <mergeCell ref="Q7:S8"/>
    <mergeCell ref="T7:V8"/>
    <mergeCell ref="W7:Y8"/>
    <mergeCell ref="Z7:AB8"/>
    <mergeCell ref="AD7:AD8"/>
    <mergeCell ref="AW6:BI6"/>
    <mergeCell ref="AG6:AG7"/>
    <mergeCell ref="Q14:S14"/>
    <mergeCell ref="Q12:S12"/>
    <mergeCell ref="AH6:AT6"/>
    <mergeCell ref="AH7:AL7"/>
    <mergeCell ref="AN7:AT7"/>
    <mergeCell ref="T9:V9"/>
    <mergeCell ref="Z13:AB13"/>
    <mergeCell ref="T12:V12"/>
    <mergeCell ref="W12:Y12"/>
    <mergeCell ref="T11:V11"/>
    <mergeCell ref="Z12:AB12"/>
    <mergeCell ref="B21:C21"/>
    <mergeCell ref="H21:J21"/>
    <mergeCell ref="Q21:S21"/>
    <mergeCell ref="Q19:S19"/>
    <mergeCell ref="T19:V19"/>
    <mergeCell ref="W19:Y19"/>
    <mergeCell ref="Z19:AB19"/>
    <mergeCell ref="T21:V21"/>
    <mergeCell ref="W21:Y21"/>
    <mergeCell ref="Z21:AB21"/>
    <mergeCell ref="B20:C20"/>
    <mergeCell ref="H20:J20"/>
    <mergeCell ref="Q20:S20"/>
    <mergeCell ref="T20:V20"/>
    <mergeCell ref="Z20:AB20"/>
    <mergeCell ref="B19:C19"/>
    <mergeCell ref="H19:J19"/>
    <mergeCell ref="L20:M20"/>
    <mergeCell ref="L21:M21"/>
    <mergeCell ref="L19:M19"/>
    <mergeCell ref="T16:V16"/>
    <mergeCell ref="W16:Y16"/>
    <mergeCell ref="Z16:AB16"/>
    <mergeCell ref="Q16:S16"/>
    <mergeCell ref="T18:V18"/>
    <mergeCell ref="W18:Y18"/>
    <mergeCell ref="Z18:AB18"/>
    <mergeCell ref="B17:C17"/>
    <mergeCell ref="H17:J17"/>
    <mergeCell ref="B16:C16"/>
    <mergeCell ref="H16:J16"/>
    <mergeCell ref="Q17:S17"/>
    <mergeCell ref="T17:V17"/>
    <mergeCell ref="W17:Y17"/>
    <mergeCell ref="Z17:AB17"/>
    <mergeCell ref="L17:M17"/>
    <mergeCell ref="B18:C18"/>
    <mergeCell ref="H18:J18"/>
    <mergeCell ref="Q18:S18"/>
    <mergeCell ref="L18:M18"/>
    <mergeCell ref="N16:P16"/>
    <mergeCell ref="AA3:AB3"/>
    <mergeCell ref="AA4:AB4"/>
    <mergeCell ref="B15:C15"/>
    <mergeCell ref="H15:J15"/>
    <mergeCell ref="B14:C14"/>
    <mergeCell ref="H14:J14"/>
    <mergeCell ref="Q15:S15"/>
    <mergeCell ref="Q11:S11"/>
    <mergeCell ref="W11:Y11"/>
    <mergeCell ref="Z11:AB11"/>
    <mergeCell ref="T10:V10"/>
    <mergeCell ref="W10:Y10"/>
    <mergeCell ref="Z10:AB10"/>
    <mergeCell ref="B13:C13"/>
    <mergeCell ref="H13:J13"/>
    <mergeCell ref="B12:C12"/>
    <mergeCell ref="H12:J12"/>
    <mergeCell ref="Q13:S13"/>
    <mergeCell ref="T13:V13"/>
    <mergeCell ref="W13:Y13"/>
    <mergeCell ref="Z15:AB15"/>
    <mergeCell ref="T14:V14"/>
    <mergeCell ref="W14:Y14"/>
    <mergeCell ref="Z14:AB14"/>
    <mergeCell ref="AC3:AD3"/>
    <mergeCell ref="AC4:AD4"/>
    <mergeCell ref="B2:AF2"/>
    <mergeCell ref="B24:AC25"/>
    <mergeCell ref="Z6:AB6"/>
    <mergeCell ref="B10:C10"/>
    <mergeCell ref="H10:J10"/>
    <mergeCell ref="Q10:S10"/>
    <mergeCell ref="Q6:S6"/>
    <mergeCell ref="T6:V6"/>
    <mergeCell ref="W6:Y6"/>
    <mergeCell ref="B9:C9"/>
    <mergeCell ref="H9:J9"/>
    <mergeCell ref="Q9:S9"/>
    <mergeCell ref="W20:Y20"/>
    <mergeCell ref="B11:C11"/>
    <mergeCell ref="H11:J11"/>
    <mergeCell ref="W9:Y9"/>
    <mergeCell ref="B6:C8"/>
    <mergeCell ref="F6:G6"/>
    <mergeCell ref="E7:E8"/>
    <mergeCell ref="F7:G7"/>
    <mergeCell ref="H6:J8"/>
    <mergeCell ref="D6:D8"/>
  </mergeCells>
  <phoneticPr fontId="2"/>
  <conditionalFormatting sqref="Q21:S21">
    <cfRule type="expression" dxfId="34" priority="37">
      <formula>$Q$26&lt;=#REF!</formula>
    </cfRule>
  </conditionalFormatting>
  <conditionalFormatting sqref="T21:V21">
    <cfRule type="expression" dxfId="33" priority="36">
      <formula>$T$26&lt;=#REF!</formula>
    </cfRule>
  </conditionalFormatting>
  <conditionalFormatting sqref="W21:Y21">
    <cfRule type="expression" dxfId="32" priority="35">
      <formula>$W$26&lt;=#REF!</formula>
    </cfRule>
  </conditionalFormatting>
  <conditionalFormatting sqref="Z21:AB21">
    <cfRule type="expression" dxfId="31" priority="34">
      <formula>$Z$26&lt;=#REF!</formula>
    </cfRule>
  </conditionalFormatting>
  <conditionalFormatting sqref="L9:L21">
    <cfRule type="expression" dxfId="30" priority="33">
      <formula>$N$26&lt;=#REF!</formula>
    </cfRule>
  </conditionalFormatting>
  <conditionalFormatting sqref="Q9:S19">
    <cfRule type="expression" dxfId="29" priority="32">
      <formula>$Q$26&lt;=#REF!</formula>
    </cfRule>
  </conditionalFormatting>
  <conditionalFormatting sqref="T9:V19">
    <cfRule type="expression" dxfId="28" priority="31">
      <formula>$T$26&lt;=#REF!</formula>
    </cfRule>
  </conditionalFormatting>
  <conditionalFormatting sqref="W9:Y19">
    <cfRule type="expression" dxfId="27" priority="30">
      <formula>$W$26&lt;=#REF!</formula>
    </cfRule>
  </conditionalFormatting>
  <conditionalFormatting sqref="Z9:AB19">
    <cfRule type="expression" dxfId="26" priority="29">
      <formula>$Z$26&lt;=#REF!</formula>
    </cfRule>
  </conditionalFormatting>
  <conditionalFormatting sqref="Q20:S20">
    <cfRule type="expression" dxfId="25" priority="27">
      <formula>$Q$26&lt;=#REF!</formula>
    </cfRule>
  </conditionalFormatting>
  <conditionalFormatting sqref="T20:V20">
    <cfRule type="expression" dxfId="24" priority="26">
      <formula>$T$26&lt;=#REF!</formula>
    </cfRule>
  </conditionalFormatting>
  <conditionalFormatting sqref="W20:Y20">
    <cfRule type="expression" dxfId="23" priority="25">
      <formula>$W$26&lt;=#REF!</formula>
    </cfRule>
  </conditionalFormatting>
  <conditionalFormatting sqref="Z20:AB20">
    <cfRule type="expression" dxfId="22" priority="24">
      <formula>$Z$26&lt;=#REF!</formula>
    </cfRule>
  </conditionalFormatting>
  <conditionalFormatting sqref="D21">
    <cfRule type="expression" dxfId="21" priority="23">
      <formula>$N$26&lt;=#REF!</formula>
    </cfRule>
  </conditionalFormatting>
  <conditionalFormatting sqref="D9:D19">
    <cfRule type="expression" dxfId="20" priority="22">
      <formula>$N$26&lt;=#REF!</formula>
    </cfRule>
  </conditionalFormatting>
  <conditionalFormatting sqref="D20">
    <cfRule type="expression" dxfId="19" priority="21">
      <formula>$N$26&lt;=#REF!</formula>
    </cfRule>
  </conditionalFormatting>
  <conditionalFormatting sqref="H21:J21">
    <cfRule type="expression" dxfId="18" priority="15">
      <formula>$Q$26&lt;=#REF!</formula>
    </cfRule>
  </conditionalFormatting>
  <conditionalFormatting sqref="H9:J19">
    <cfRule type="expression" dxfId="17" priority="14">
      <formula>$Q$26&lt;=#REF!</formula>
    </cfRule>
  </conditionalFormatting>
  <conditionalFormatting sqref="H20:J20">
    <cfRule type="expression" dxfId="16" priority="13">
      <formula>$Q$26&lt;=#REF!</formula>
    </cfRule>
  </conditionalFormatting>
  <conditionalFormatting sqref="K21">
    <cfRule type="expression" dxfId="15" priority="12">
      <formula>$N$26&lt;=#REF!</formula>
    </cfRule>
  </conditionalFormatting>
  <conditionalFormatting sqref="K9:K19">
    <cfRule type="expression" dxfId="14" priority="11">
      <formula>$N$26&lt;=#REF!</formula>
    </cfRule>
  </conditionalFormatting>
  <conditionalFormatting sqref="K20">
    <cfRule type="expression" dxfId="13" priority="10">
      <formula>$N$26&lt;=#REF!</formula>
    </cfRule>
  </conditionalFormatting>
  <conditionalFormatting sqref="E21:G21">
    <cfRule type="expression" dxfId="12" priority="9">
      <formula>$Q$26&lt;=#REF!</formula>
    </cfRule>
  </conditionalFormatting>
  <conditionalFormatting sqref="E9:G19">
    <cfRule type="expression" dxfId="11" priority="8">
      <formula>$Q$26&lt;=#REF!</formula>
    </cfRule>
  </conditionalFormatting>
  <conditionalFormatting sqref="E20:G20">
    <cfRule type="expression" dxfId="10" priority="7">
      <formula>$Q$26&lt;=#REF!</formula>
    </cfRule>
  </conditionalFormatting>
  <conditionalFormatting sqref="N9:N21">
    <cfRule type="expression" dxfId="9" priority="3">
      <formula>$N$26&lt;=#REF!</formula>
    </cfRule>
  </conditionalFormatting>
  <conditionalFormatting sqref="AC9:AC21">
    <cfRule type="expression" dxfId="8" priority="2">
      <formula>$Z$26&lt;=#REF!</formula>
    </cfRule>
  </conditionalFormatting>
  <pageMargins left="0.7" right="0.7" top="0.75" bottom="0.75" header="0.3" footer="0.3"/>
  <pageSetup paperSize="9" scale="77"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2"/>
  <sheetViews>
    <sheetView view="pageBreakPreview" zoomScale="70" zoomScaleNormal="100" zoomScaleSheetLayoutView="70" workbookViewId="0">
      <selection activeCell="P11" sqref="P11"/>
    </sheetView>
  </sheetViews>
  <sheetFormatPr defaultRowHeight="13.5"/>
  <cols>
    <col min="1" max="22" width="5.625" customWidth="1"/>
  </cols>
  <sheetData>
    <row r="1" spans="1:22" ht="249.95" customHeight="1">
      <c r="A1" s="334" t="s">
        <v>137</v>
      </c>
      <c r="B1" s="334" t="s">
        <v>92</v>
      </c>
      <c r="C1" s="334" t="s">
        <v>138</v>
      </c>
      <c r="D1" s="334" t="s">
        <v>101</v>
      </c>
      <c r="E1" s="334" t="s">
        <v>99</v>
      </c>
      <c r="F1" s="334" t="s">
        <v>139</v>
      </c>
      <c r="G1" s="334" t="s">
        <v>140</v>
      </c>
      <c r="H1" s="334" t="s">
        <v>139</v>
      </c>
      <c r="I1" s="334" t="s">
        <v>141</v>
      </c>
      <c r="J1" s="334" t="s">
        <v>102</v>
      </c>
      <c r="K1" s="149" t="s">
        <v>142</v>
      </c>
      <c r="L1" s="150" t="s">
        <v>143</v>
      </c>
      <c r="M1" s="150" t="s">
        <v>144</v>
      </c>
      <c r="N1" s="150" t="s">
        <v>145</v>
      </c>
      <c r="O1" s="150" t="s">
        <v>146</v>
      </c>
      <c r="P1" s="150" t="s">
        <v>147</v>
      </c>
      <c r="Q1" s="150" t="s">
        <v>148</v>
      </c>
      <c r="R1" s="150" t="s">
        <v>149</v>
      </c>
      <c r="S1" s="150" t="s">
        <v>150</v>
      </c>
      <c r="T1" s="150" t="s">
        <v>151</v>
      </c>
      <c r="U1" s="150" t="s">
        <v>152</v>
      </c>
      <c r="V1" s="150" t="s">
        <v>153</v>
      </c>
    </row>
    <row r="2" spans="1:22">
      <c r="A2" s="151">
        <f>様式１!C1</f>
        <v>0</v>
      </c>
      <c r="B2" s="151">
        <f>様式１!C2</f>
        <v>0</v>
      </c>
      <c r="C2" s="151"/>
      <c r="D2" s="151"/>
      <c r="E2" s="151"/>
      <c r="F2" s="151"/>
      <c r="G2" s="151"/>
      <c r="H2" s="151"/>
      <c r="I2" s="151"/>
      <c r="J2" s="151"/>
      <c r="K2" s="152">
        <f>様式１!$BK7</f>
        <v>-3</v>
      </c>
      <c r="L2" s="152">
        <f>様式１!$BK10</f>
        <v>-3</v>
      </c>
      <c r="M2" s="152">
        <f>様式１!$BK13</f>
        <v>-3</v>
      </c>
      <c r="N2" s="152">
        <f>様式１!$BK16</f>
        <v>-3</v>
      </c>
      <c r="O2" s="152">
        <f>様式１!$BK19</f>
        <v>-3</v>
      </c>
      <c r="P2" s="152">
        <f>様式１!$BK22</f>
        <v>-3</v>
      </c>
      <c r="Q2" s="152">
        <f>様式１!$BK25</f>
        <v>-3</v>
      </c>
      <c r="R2" s="152">
        <f>様式１!$BK28</f>
        <v>-3</v>
      </c>
      <c r="S2" s="152">
        <f>様式１!$BK31</f>
        <v>-3</v>
      </c>
      <c r="T2" s="152">
        <f>様式１!$BK34</f>
        <v>-3</v>
      </c>
      <c r="U2" s="152">
        <f>様式１!$BK37</f>
        <v>-3</v>
      </c>
      <c r="V2" s="152">
        <f>様式１!$BK40</f>
        <v>-3</v>
      </c>
    </row>
  </sheetData>
  <sheetProtection algorithmName="SHA-512" hashValue="68I1yEUofQrF1i0/JYHodPqDzNkWYzOqAXFgIflGKobC+MJxS2fR9IwVQhpTE15Xh6nhXJgBrm7HOIipu+BPSA==" saltValue="kMj2vHP3W0GUvfq0Q4eAUA==" spinCount="100000" sheet="1" objects="1" scenarios="1"/>
  <phoneticPr fontId="2"/>
  <pageMargins left="0.7" right="0.7" top="0.75" bottom="0.75" header="0.3" footer="0.3"/>
  <pageSetup paperSize="9" scale="6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CA112"/>
  <sheetViews>
    <sheetView tabSelected="1" view="pageBreakPreview" zoomScale="70" zoomScaleNormal="80" zoomScaleSheetLayoutView="70" workbookViewId="0">
      <selection activeCell="AE3" sqref="AE3:AF5"/>
    </sheetView>
  </sheetViews>
  <sheetFormatPr defaultRowHeight="13.5"/>
  <cols>
    <col min="1" max="21" width="7.875" style="1" customWidth="1"/>
    <col min="22" max="22" width="9" style="1" customWidth="1"/>
    <col min="23" max="36" width="7.875" style="1" customWidth="1"/>
    <col min="37" max="37" width="9" style="1" customWidth="1"/>
    <col min="38" max="52" width="7.875" style="1" customWidth="1"/>
    <col min="53" max="53" width="0.875" style="1" customWidth="1"/>
    <col min="54" max="54" width="8.25" style="1" hidden="1" customWidth="1"/>
    <col min="55" max="55" width="1" style="1" customWidth="1"/>
    <col min="56" max="56" width="7.875" style="1" customWidth="1"/>
    <col min="57" max="57" width="8.25" style="1" customWidth="1"/>
    <col min="58" max="58" width="8.25" style="76" customWidth="1"/>
    <col min="59" max="59" width="6.375" style="76" customWidth="1"/>
    <col min="60" max="60" width="8.375" style="76" customWidth="1"/>
    <col min="61" max="61" width="6.375" style="76" customWidth="1"/>
    <col min="62" max="62" width="8.625" style="1" customWidth="1"/>
    <col min="63" max="63" width="8.5" style="1" bestFit="1" customWidth="1"/>
    <col min="64" max="64" width="7.75" style="1" customWidth="1"/>
    <col min="65" max="65" width="3" style="1" customWidth="1"/>
    <col min="66" max="66" width="9" style="1"/>
    <col min="67" max="67" width="9.5" style="1" bestFit="1" customWidth="1"/>
    <col min="68" max="16384" width="9" style="1"/>
  </cols>
  <sheetData>
    <row r="1" spans="1:79" ht="35.25" customHeight="1" thickBot="1">
      <c r="A1" s="773" t="s">
        <v>135</v>
      </c>
      <c r="B1" s="773"/>
      <c r="C1" s="145"/>
    </row>
    <row r="2" spans="1:79" ht="35.25" customHeight="1" thickBot="1">
      <c r="A2" s="663" t="s">
        <v>92</v>
      </c>
      <c r="B2" s="663"/>
      <c r="C2" s="666"/>
      <c r="D2" s="666"/>
      <c r="E2" s="666"/>
      <c r="F2" s="666"/>
      <c r="G2" s="666"/>
      <c r="H2" s="666"/>
      <c r="I2" s="666"/>
      <c r="J2" s="666"/>
      <c r="K2" s="666"/>
      <c r="L2" s="60"/>
      <c r="M2" s="60"/>
      <c r="N2" s="60"/>
      <c r="O2" s="60"/>
      <c r="P2" s="60"/>
      <c r="Q2" s="60"/>
      <c r="R2" s="60"/>
      <c r="S2" s="60"/>
      <c r="T2" s="60"/>
      <c r="U2" s="60"/>
      <c r="V2" s="60"/>
      <c r="W2" s="60"/>
      <c r="X2" s="143"/>
      <c r="Y2" s="143"/>
      <c r="Z2" s="143"/>
      <c r="AA2" s="143"/>
      <c r="AB2" s="61"/>
      <c r="AC2" s="58"/>
      <c r="AD2" s="58"/>
      <c r="AE2" s="58"/>
      <c r="AF2" s="58"/>
      <c r="AG2" s="58"/>
      <c r="AH2" s="58"/>
      <c r="AI2" s="58"/>
      <c r="AJ2" s="58"/>
      <c r="AK2" s="364"/>
      <c r="AL2" s="58"/>
      <c r="AM2" s="58"/>
      <c r="AN2" s="58"/>
      <c r="AO2" s="58"/>
      <c r="AP2" s="58"/>
      <c r="AQ2" s="58"/>
      <c r="AR2" s="58"/>
      <c r="AS2" s="259"/>
      <c r="AT2" s="58"/>
      <c r="AU2" s="58"/>
      <c r="AV2" s="58"/>
      <c r="AW2" s="58"/>
      <c r="AX2" s="58"/>
      <c r="AY2" s="58"/>
      <c r="AZ2" s="58"/>
      <c r="BA2" s="58"/>
      <c r="BB2" s="58"/>
      <c r="BC2" s="58"/>
      <c r="BD2" s="61"/>
      <c r="BE2" s="61"/>
      <c r="BF2" s="62"/>
      <c r="BG2" s="62"/>
      <c r="BH2" s="62"/>
      <c r="BI2" s="62"/>
      <c r="BJ2" s="61"/>
      <c r="BK2" s="63" t="s">
        <v>66</v>
      </c>
    </row>
    <row r="3" spans="1:79" ht="46.5" customHeight="1" thickTop="1" thickBot="1">
      <c r="A3" s="667" t="s">
        <v>1</v>
      </c>
      <c r="B3" s="756" t="s">
        <v>217</v>
      </c>
      <c r="C3" s="757"/>
      <c r="D3" s="757"/>
      <c r="E3" s="757"/>
      <c r="F3" s="757"/>
      <c r="G3" s="757"/>
      <c r="H3" s="757"/>
      <c r="I3" s="757"/>
      <c r="J3" s="757"/>
      <c r="K3" s="757"/>
      <c r="L3" s="757"/>
      <c r="M3" s="757"/>
      <c r="N3" s="757"/>
      <c r="O3" s="757"/>
      <c r="P3" s="757"/>
      <c r="Q3" s="757"/>
      <c r="R3" s="757"/>
      <c r="S3" s="757"/>
      <c r="T3" s="757"/>
      <c r="U3" s="757"/>
      <c r="V3" s="757"/>
      <c r="W3" s="757"/>
      <c r="X3" s="757"/>
      <c r="Y3" s="757"/>
      <c r="Z3" s="758"/>
      <c r="AA3" s="767" t="s">
        <v>210</v>
      </c>
      <c r="AB3" s="768"/>
      <c r="AC3" s="598" t="s">
        <v>43</v>
      </c>
      <c r="AD3" s="599"/>
      <c r="AE3" s="764" t="s">
        <v>95</v>
      </c>
      <c r="AF3" s="642"/>
      <c r="AG3" s="697" t="s">
        <v>338</v>
      </c>
      <c r="AH3" s="698"/>
      <c r="AI3" s="698"/>
      <c r="AJ3" s="545" t="s">
        <v>337</v>
      </c>
      <c r="AK3" s="787" t="s">
        <v>336</v>
      </c>
      <c r="AL3" s="638" t="s">
        <v>156</v>
      </c>
      <c r="AM3" s="639"/>
      <c r="AN3" s="639"/>
      <c r="AO3" s="639"/>
      <c r="AP3" s="639"/>
      <c r="AQ3" s="640"/>
      <c r="AR3" s="572" t="s">
        <v>339</v>
      </c>
      <c r="AS3" s="575" t="s">
        <v>264</v>
      </c>
      <c r="AT3" s="576"/>
      <c r="AU3" s="576"/>
      <c r="AV3" s="576"/>
      <c r="AW3" s="576"/>
      <c r="AX3" s="576"/>
      <c r="AY3" s="577"/>
      <c r="AZ3" s="545" t="s">
        <v>340</v>
      </c>
      <c r="BA3" s="163"/>
      <c r="BC3" s="558"/>
      <c r="BD3" s="680" t="s">
        <v>96</v>
      </c>
      <c r="BE3" s="680"/>
      <c r="BF3" s="680"/>
      <c r="BG3" s="680"/>
      <c r="BH3" s="680"/>
      <c r="BI3" s="680"/>
      <c r="BJ3" s="681"/>
      <c r="BK3" s="784" t="s">
        <v>44</v>
      </c>
      <c r="BL3" s="785"/>
      <c r="BN3" s="247" t="s">
        <v>188</v>
      </c>
    </row>
    <row r="4" spans="1:79" ht="14.25" customHeight="1" thickTop="1" thickBot="1">
      <c r="A4" s="667"/>
      <c r="B4" s="673" t="s">
        <v>80</v>
      </c>
      <c r="C4" s="670" t="s">
        <v>208</v>
      </c>
      <c r="D4" s="670" t="s">
        <v>209</v>
      </c>
      <c r="E4" s="676" t="s">
        <v>20</v>
      </c>
      <c r="F4" s="598" t="s">
        <v>106</v>
      </c>
      <c r="G4" s="64"/>
      <c r="H4" s="679" t="s">
        <v>17</v>
      </c>
      <c r="I4" s="679" t="s">
        <v>74</v>
      </c>
      <c r="J4" s="679" t="s">
        <v>0</v>
      </c>
      <c r="K4" s="676" t="s">
        <v>18</v>
      </c>
      <c r="L4" s="679" t="s">
        <v>19</v>
      </c>
      <c r="M4" s="761" t="s">
        <v>67</v>
      </c>
      <c r="N4" s="759" t="s">
        <v>20</v>
      </c>
      <c r="O4" s="598" t="s">
        <v>106</v>
      </c>
      <c r="P4" s="64"/>
      <c r="Q4" s="679" t="s">
        <v>17</v>
      </c>
      <c r="R4" s="679" t="s">
        <v>74</v>
      </c>
      <c r="S4" s="679" t="s">
        <v>0</v>
      </c>
      <c r="T4" s="676" t="s">
        <v>18</v>
      </c>
      <c r="U4" s="679" t="s">
        <v>19</v>
      </c>
      <c r="V4" s="774" t="s">
        <v>67</v>
      </c>
      <c r="W4" s="754" t="s">
        <v>133</v>
      </c>
      <c r="X4" s="755"/>
      <c r="Y4" s="754" t="s">
        <v>134</v>
      </c>
      <c r="Z4" s="755"/>
      <c r="AA4" s="769"/>
      <c r="AB4" s="770"/>
      <c r="AC4" s="600"/>
      <c r="AD4" s="601"/>
      <c r="AE4" s="765"/>
      <c r="AF4" s="644"/>
      <c r="AG4" s="699"/>
      <c r="AH4" s="700"/>
      <c r="AI4" s="700"/>
      <c r="AJ4" s="630"/>
      <c r="AK4" s="788"/>
      <c r="AL4" s="641" t="s">
        <v>94</v>
      </c>
      <c r="AM4" s="642"/>
      <c r="AN4" s="679" t="s">
        <v>130</v>
      </c>
      <c r="AO4" s="598" t="s">
        <v>103</v>
      </c>
      <c r="AP4" s="635"/>
      <c r="AQ4" s="599"/>
      <c r="AR4" s="573"/>
      <c r="AS4" s="578" t="s">
        <v>221</v>
      </c>
      <c r="AT4" s="579"/>
      <c r="AU4" s="564" t="s">
        <v>105</v>
      </c>
      <c r="AV4" s="561" t="s">
        <v>206</v>
      </c>
      <c r="AW4" s="561" t="s">
        <v>205</v>
      </c>
      <c r="AX4" s="561" t="s">
        <v>157</v>
      </c>
      <c r="AY4" s="210"/>
      <c r="AZ4" s="546"/>
      <c r="BA4" s="199"/>
      <c r="BC4" s="558"/>
      <c r="BD4" s="691" t="s">
        <v>93</v>
      </c>
      <c r="BE4" s="691"/>
      <c r="BF4" s="642"/>
      <c r="BG4" s="691" t="s">
        <v>100</v>
      </c>
      <c r="BH4" s="691"/>
      <c r="BI4" s="691"/>
      <c r="BJ4" s="694" t="s">
        <v>112</v>
      </c>
      <c r="BK4" s="391" t="s">
        <v>218</v>
      </c>
      <c r="BL4" s="786" t="s">
        <v>342</v>
      </c>
      <c r="BN4" s="682" t="s">
        <v>16</v>
      </c>
      <c r="BO4" s="392"/>
    </row>
    <row r="5" spans="1:79" ht="60.75" customHeight="1" thickTop="1">
      <c r="A5" s="668"/>
      <c r="B5" s="674"/>
      <c r="C5" s="671"/>
      <c r="D5" s="671"/>
      <c r="E5" s="677"/>
      <c r="F5" s="678"/>
      <c r="G5" s="153" t="s">
        <v>154</v>
      </c>
      <c r="H5" s="678"/>
      <c r="I5" s="678"/>
      <c r="J5" s="678"/>
      <c r="K5" s="677"/>
      <c r="L5" s="678"/>
      <c r="M5" s="762"/>
      <c r="N5" s="760"/>
      <c r="O5" s="678"/>
      <c r="P5" s="153" t="s">
        <v>154</v>
      </c>
      <c r="Q5" s="678"/>
      <c r="R5" s="678"/>
      <c r="S5" s="678"/>
      <c r="T5" s="677"/>
      <c r="U5" s="678"/>
      <c r="V5" s="775"/>
      <c r="W5" s="755"/>
      <c r="X5" s="755"/>
      <c r="Y5" s="755"/>
      <c r="Z5" s="755"/>
      <c r="AA5" s="769"/>
      <c r="AB5" s="770"/>
      <c r="AC5" s="600"/>
      <c r="AD5" s="601"/>
      <c r="AE5" s="766"/>
      <c r="AF5" s="646"/>
      <c r="AG5" s="699"/>
      <c r="AH5" s="700"/>
      <c r="AI5" s="700"/>
      <c r="AJ5" s="547"/>
      <c r="AK5" s="788"/>
      <c r="AL5" s="643"/>
      <c r="AM5" s="644"/>
      <c r="AN5" s="684"/>
      <c r="AO5" s="600"/>
      <c r="AP5" s="636"/>
      <c r="AQ5" s="601"/>
      <c r="AR5" s="574"/>
      <c r="AS5" s="580"/>
      <c r="AT5" s="581"/>
      <c r="AU5" s="565"/>
      <c r="AV5" s="562"/>
      <c r="AW5" s="562"/>
      <c r="AX5" s="562"/>
      <c r="AY5" s="554" t="s">
        <v>341</v>
      </c>
      <c r="AZ5" s="547"/>
      <c r="BA5" s="199"/>
      <c r="BC5" s="559"/>
      <c r="BD5" s="692"/>
      <c r="BE5" s="692"/>
      <c r="BF5" s="646"/>
      <c r="BG5" s="693"/>
      <c r="BH5" s="693"/>
      <c r="BI5" s="693"/>
      <c r="BJ5" s="695"/>
      <c r="BK5" s="782" t="s">
        <v>343</v>
      </c>
      <c r="BL5" s="782"/>
      <c r="BN5" s="682"/>
      <c r="BO5" s="473" t="s">
        <v>349</v>
      </c>
      <c r="BS5"/>
      <c r="BT5" s="206" t="s">
        <v>212</v>
      </c>
      <c r="BX5"/>
      <c r="BY5" s="206" t="s">
        <v>213</v>
      </c>
      <c r="BZ5"/>
      <c r="CA5"/>
    </row>
    <row r="6" spans="1:79" ht="73.5" customHeight="1">
      <c r="A6" s="669"/>
      <c r="B6" s="675"/>
      <c r="C6" s="672"/>
      <c r="D6" s="672"/>
      <c r="E6" s="664" t="s">
        <v>131</v>
      </c>
      <c r="F6" s="665"/>
      <c r="G6" s="665"/>
      <c r="H6" s="665"/>
      <c r="I6" s="665"/>
      <c r="J6" s="665"/>
      <c r="K6" s="665"/>
      <c r="L6" s="665"/>
      <c r="M6" s="763"/>
      <c r="N6" s="777" t="s">
        <v>132</v>
      </c>
      <c r="O6" s="665"/>
      <c r="P6" s="665"/>
      <c r="Q6" s="665"/>
      <c r="R6" s="665"/>
      <c r="S6" s="665"/>
      <c r="T6" s="665"/>
      <c r="U6" s="665"/>
      <c r="V6" s="776"/>
      <c r="W6" s="755"/>
      <c r="X6" s="755"/>
      <c r="Y6" s="755"/>
      <c r="Z6" s="755"/>
      <c r="AA6" s="771"/>
      <c r="AB6" s="772"/>
      <c r="AC6" s="602"/>
      <c r="AD6" s="603"/>
      <c r="AE6" s="393" t="s">
        <v>344</v>
      </c>
      <c r="AF6" s="394" t="s">
        <v>347</v>
      </c>
      <c r="AG6" s="701"/>
      <c r="AH6" s="702"/>
      <c r="AI6" s="702"/>
      <c r="AJ6" s="547"/>
      <c r="AK6" s="546"/>
      <c r="AL6" s="645"/>
      <c r="AM6" s="646"/>
      <c r="AN6" s="678"/>
      <c r="AO6" s="602"/>
      <c r="AP6" s="637"/>
      <c r="AQ6" s="603"/>
      <c r="AR6" s="574"/>
      <c r="AS6" s="268" t="s">
        <v>219</v>
      </c>
      <c r="AT6" s="268" t="s">
        <v>220</v>
      </c>
      <c r="AU6" s="566"/>
      <c r="AV6" s="563"/>
      <c r="AW6" s="563"/>
      <c r="AX6" s="563"/>
      <c r="AY6" s="555"/>
      <c r="AZ6" s="547"/>
      <c r="BA6" s="199"/>
      <c r="BC6" s="559"/>
      <c r="BD6" s="65" t="s">
        <v>265</v>
      </c>
      <c r="BE6" s="66" t="s">
        <v>266</v>
      </c>
      <c r="BF6" s="324" t="s">
        <v>267</v>
      </c>
      <c r="BG6" s="67" t="s">
        <v>101</v>
      </c>
      <c r="BH6" s="67" t="s">
        <v>99</v>
      </c>
      <c r="BI6" s="68" t="s">
        <v>102</v>
      </c>
      <c r="BJ6" s="696"/>
      <c r="BK6" s="783"/>
      <c r="BL6" s="783"/>
      <c r="BN6" s="683"/>
      <c r="BO6" s="474"/>
      <c r="BS6"/>
      <c r="BT6" s="156" t="s">
        <v>204</v>
      </c>
      <c r="BU6" s="248" t="s">
        <v>261</v>
      </c>
      <c r="BV6" s="156" t="s">
        <v>176</v>
      </c>
      <c r="BX6"/>
      <c r="BY6" s="217" t="s">
        <v>204</v>
      </c>
      <c r="BZ6" s="248" t="s">
        <v>214</v>
      </c>
      <c r="CA6" s="217" t="s">
        <v>176</v>
      </c>
    </row>
    <row r="7" spans="1:79" ht="27" customHeight="1">
      <c r="A7" s="653" t="s">
        <v>11</v>
      </c>
      <c r="B7" s="69" t="s">
        <v>71</v>
      </c>
      <c r="C7" s="253"/>
      <c r="D7" s="254"/>
      <c r="E7" s="70"/>
      <c r="F7" s="71"/>
      <c r="G7" s="71"/>
      <c r="H7" s="71"/>
      <c r="I7" s="55"/>
      <c r="J7" s="222"/>
      <c r="K7" s="55"/>
      <c r="L7" s="55"/>
      <c r="M7" s="328"/>
      <c r="N7" s="70"/>
      <c r="O7" s="71"/>
      <c r="P7" s="71"/>
      <c r="Q7" s="71"/>
      <c r="R7" s="55"/>
      <c r="S7" s="222"/>
      <c r="T7" s="55"/>
      <c r="U7" s="55"/>
      <c r="V7" s="331"/>
      <c r="W7" s="56">
        <f>SUM(I7:L7)</f>
        <v>0</v>
      </c>
      <c r="X7" s="539">
        <f>SUM(W7:W9)</f>
        <v>0</v>
      </c>
      <c r="Y7" s="56">
        <f>SUM(R7:U7)</f>
        <v>0</v>
      </c>
      <c r="Z7" s="539">
        <f>SUM(Y7:Y9)</f>
        <v>0</v>
      </c>
      <c r="AA7" s="207"/>
      <c r="AB7" s="594">
        <f>AA8</f>
        <v>2</v>
      </c>
      <c r="AC7" s="384"/>
      <c r="AD7" s="594">
        <f>IF('様式１－１（【本園分】標準時間対応）'!BC7&gt;0,1,0)+IF('様式１－２（【分園分】標準時間対応）'!BC7&gt;0,1,0)</f>
        <v>0</v>
      </c>
      <c r="AE7" s="382">
        <f>IF($W7&gt;0,1,0)+IF($Y7&gt;0,1,0)</f>
        <v>0</v>
      </c>
      <c r="AF7" s="623"/>
      <c r="AG7" s="610" t="str">
        <f>'(R6)年齢別配置基準'!I14</f>
        <v>H</v>
      </c>
      <c r="AH7" s="399">
        <f>IF(AG7="判定不能","年齢別配置基準エラー",
IF(AG7="A",ROUND(ROUNDDOWN((L7+K7)/25,1)+ROUNDDOWN((J7)/15,1)+ROUNDDOWN((I7)/6,1),0)+ROUND(ROUNDDOWN((U7+T7)/25,1)+ROUNDDOWN((S7)/15,1)+ROUNDDOWN((R7)/6,1),0),
IF(AG7="B",ROUND(ROUNDDOWN((L7+K7)/25,1)+ROUNDDOWN((J7)/15,1)+ROUNDDOWN((I7)/15,1),0)+ROUND(ROUNDDOWN((U7+T7)/25,1)+ROUNDDOWN((S7)/15,1)+ROUNDDOWN((R7)/15,1),0),
IF(AG7="C",ROUND(ROUNDDOWN((L7+K7)/25,1)+ROUNDDOWN((J7)/20,1)+ROUNDDOWN((I7)/6,1),0)+ROUND(ROUNDDOWN((U7+T7)/25,1)+ROUNDDOWN((S7)/20,1)+ROUNDDOWN((R7)/6,1),0),
IF(AG7="D",ROUND(ROUNDDOWN((L7+K7)/25,1)+ROUNDDOWN((J7)/20,1)+ROUNDDOWN((I7)/20,1),0)+ROUND(ROUNDDOWN((U7+T7)/25,1)+ROUNDDOWN((S7)/20,1)+ROUNDDOWN((R7)/20,1),0),
IF(AG7="E",ROUND(ROUNDDOWN((L7+K7)/30,1)+ROUNDDOWN((J7)/15,1)+ROUNDDOWN((I7)/6,1),0)+ROUND(ROUNDDOWN((U7+T7)/30,1)+ROUNDDOWN((S7)/15,1)+ROUNDDOWN((R7)/6,1),0),
IF(AG7="F",ROUND(ROUNDDOWN((L7+K7)/30,1)+ROUNDDOWN((J7)/15,1)+ROUNDDOWN((I7)/15,1),0)+ROUND(ROUNDDOWN((U7+T7)/30,1)+ROUNDDOWN((S7)/15,1)+ROUNDDOWN((R7)/15,1),0),
IF(AG7="G",ROUND(ROUNDDOWN((L7+K7)/30,1)+ROUNDDOWN((J7)/20,1)+ROUNDDOWN((I7)/6,1),0)+ROUND(ROUNDDOWN((U7+T7)/30,1)+ROUNDDOWN((S7)/20,1)+ROUNDDOWN((R7)/6,1),0),
IF(AG7="H",ROUND(ROUNDDOWN((L7+K7)/30,1)+ROUNDDOWN((J7)/20,1)+ROUNDDOWN((I7)/20,1),0)+ROUND(ROUNDDOWN((U7+T7)/30,1)+ROUNDDOWN((S7)/20,1)+ROUNDDOWN((R7)/20,1),0))))))))))</f>
        <v>0</v>
      </c>
      <c r="AI7" s="588">
        <f>IF(AG7="判定不能","年齢別配置基準エラー",
IF(AG7="A",ROUND(ROUNDDOWN((K7+L7+L8)/25,1)+ROUNDDOWN((K8)/20,1)+ROUNDDOWN((J7+J8)/15,1)+ROUNDDOWN((I7)/6,1)+ROUNDDOWN((H9)/6,1)+ROUNDDOWN((F9)/5,1)+ROUNDDOWN((E9)/3,1),0)+ROUND(ROUNDDOWN((T7+U7+U8)/25,1)+ROUNDDOWN((T8)/20,1)+ROUNDDOWN((S7+S8)/15,1)+ROUNDDOWN((R7)/6,1)+ROUNDDOWN((Q9)/6,1)+ROUNDDOWN((O9)/5,1)+ROUNDDOWN((N9)/3,1),0),
IF(AG7="B",ROUND(ROUNDDOWN((K7+L7+L8)/25,1)+ROUNDDOWN((K8)/20,1)+ROUNDDOWN((J7+J8)/15,1)+ROUNDDOWN((I7)/15,1)+ROUNDDOWN((H9)/6,1)+ROUNDDOWN((F9)/5,1)+ROUNDDOWN((E9)/3,1),0)+ROUND(ROUNDDOWN((T7+U7+U8)/25,1)+ROUNDDOWN((T8)/20,1)+ROUNDDOWN((S7+S8)/15,1)+ROUNDDOWN((R7)/15,1)+ROUNDDOWN((Q9)/6,1)+ROUNDDOWN((O9)/5,1)+ROUNDDOWN((N9)/3,1),0),
IF(AG7="C",ROUND(ROUNDDOWN((K7+L7+L8)/25,1)+ROUNDDOWN((K8)/20,1)+ROUNDDOWN((J7)/20,1)+ROUNDDOWN((J8)/15,1)+ROUNDDOWN((I7)/6,1)+ROUNDDOWN((H9)/6,1)+ROUNDDOWN((F9)/5,1)+ROUNDDOWN((E9)/3,1),0)+ROUND(ROUNDDOWN((T7+U7+U8)/25,1)+ROUNDDOWN((T8)/20,1)+ROUNDDOWN((S7)/20,1)+ROUNDDOWN((S8)/15,1)+ROUNDDOWN((R7)/6,1)+ROUNDDOWN((Q9)/6,1)+ROUNDDOWN((O9)/5,1)+ROUNDDOWN((N9)/3,1),0),
IF(AG7="D",ROUND(ROUNDDOWN((K7+L7+L8)/25,1)+ROUNDDOWN((K8)/20,1)+ROUNDDOWN((J7)/20,1)+ROUNDDOWN((J8)/15,1)+ROUNDDOWN((I7)/20,1)+ROUNDDOWN((H9)/6,1)+ROUNDDOWN((F9)/5,1)+ROUNDDOWN((E9)/3,1),0)+ROUND(ROUNDDOWN((T7+U7+U8)/25,1)+ROUNDDOWN((T8)/20,1)+ROUNDDOWN((S7)/20,1)+ROUNDDOWN((S8)/15,1)+ROUNDDOWN((R7)/20,1)+ROUNDDOWN((Q9)/6,1)+ROUNDDOWN((O9)/5,1)+ROUNDDOWN((N9)/3,1),0),
IF(AG7="E",ROUND(ROUNDDOWN((K7+L7)/30,1)+ROUNDDOWN((L8)/25,1)+ROUNDDOWN((K8)/20,1)+ROUNDDOWN((J7+J8)/15,1)+ROUNDDOWN((I7)/6,1)+ROUNDDOWN((H9)/6,1)+ROUNDDOWN((F9)/5,1)+ROUNDDOWN((E9)/3,1),0)+ROUND(ROUNDDOWN((T7+U7)/30,1)+ROUNDDOWN((U8)/25,1)+ROUNDDOWN((T8)/20,1)+ROUNDDOWN((S7+S8)/15,1)+ROUNDDOWN((R7)/6,1)+ROUNDDOWN((Q9)/6,1)+ROUNDDOWN((O9)/5,1)+ROUNDDOWN((N9)/3,1),0),
IF(AG7="F",ROUND(ROUNDDOWN((K7+L7)/30,1)+ROUNDDOWN((L8)/25,1)+ROUNDDOWN((K8)/20,1)+ROUNDDOWN((J7+J8)/15,1)+ROUNDDOWN((I7)/15,1)+ROUNDDOWN((H9)/6,1)+ROUNDDOWN((F9)/5,1)+ROUNDDOWN((E9)/3,1),0)+ROUND(ROUNDDOWN((T7+U7)/30,1)+ROUNDDOWN((U8)/25,1)+ROUNDDOWN((T8)/20,1)+ROUNDDOWN((S7+S8)/15,1)+ROUNDDOWN((R7)/15,1)+ROUNDDOWN((Q9)/6,1)+ROUNDDOWN((O9)/5,1)+ROUNDDOWN((N9)/3,1),0),
IF(AG7="G",ROUND(ROUNDDOWN((K7+L7)/30,1)+ROUNDDOWN((L8)/25,1)+ROUNDDOWN((K8)/20,1)+ROUNDDOWN((J7)/20,1)+ROUNDDOWN((J8)/15,1)+ROUNDDOWN((I7)/6,1)+ROUNDDOWN((H9)/6,1)+ROUNDDOWN((F9)/5,1)+ROUNDDOWN((E9)/3,1),0)+ROUND(ROUNDDOWN((T7+U7)/30,1)+ROUNDDOWN((U8)/25,1)+ROUNDDOWN((T8)/20,1)+ROUNDDOWN((S7)/20,1)+ROUNDDOWN((S8)/15,1)+ROUNDDOWN((R7)/6,1)+ROUNDDOWN((Q9)/6,1)+ROUNDDOWN((O9)/5,1)+ROUNDDOWN((N9)/3,1),0),
IF(AG7="H",ROUND(ROUNDDOWN((K7+L7)/30,1)+ROUNDDOWN((L8)/25,1)+ROUNDDOWN((K8)/20,1)+ROUNDDOWN((J7)/20,1)+ROUNDDOWN((J8)/15,1)+ROUNDDOWN((I7)/20,1)+ROUNDDOWN((H9)/6,1)+ROUNDDOWN((F9)/5,1)+ROUNDDOWN((E9)/3,1),0)+ROUND(ROUNDDOWN((T7+U7)/30,1)+ROUNDDOWN((U8)/25,1)+ROUNDDOWN((T8)/20,1)+ROUNDDOWN((S7)/20,1)+ROUNDDOWN((S8)/15,1)+ROUNDDOWN((R7)/20,1)+ROUNDDOWN((Q9)/6,1)+ROUNDDOWN((O9)/5,1)+ROUNDDOWN((N9)/3,1),0))))))))))</f>
        <v>0</v>
      </c>
      <c r="AJ7" s="613">
        <f>AB7+AD7+AE7+AE8+AI7-AF7</f>
        <v>2</v>
      </c>
      <c r="AK7" s="714">
        <f>IF(AG7="判定不能","年齢別配置基準エラー",
IF(OR(AG7="A",AG7="C",AG7="E",AG7="G"),
ROUND(ROUNDDOWN((_5歳児①4+_5歳児②4+_4歳児①4)/25,1)+ROUNDDOWN((_4歳児②4)/20,1)+ROUNDDOWN((_3歳児①4+_3歳児②4)/15,1)+ROUNDDOWN((満3歳児①4)/6,1)+ROUNDDOWN((_2歳児③4)/6,1)+ROUNDDOWN((_1歳児③4)/5,1)+ROUNDDOWN((_0歳児③4)/3,1),0)+ROUND(ROUNDDOWN((_5歳児①4分園+_5歳児②4分園+_4歳児①4分園)/25,1)+ROUNDDOWN((_4歳児②4分園)/20,1)+ROUNDDOWN((_3歳児①4分園+_3歳児②4分園)/15,1)+ROUNDDOWN((満3歳児①4分園)/6,1)+ROUNDDOWN((_2歳児③4分園)/6,1)+ROUNDDOWN((_1歳児③4分園)/5,1)+ROUNDDOWN((_0歳児③4分園)/3,1),0)+AB7+AD7+AE7+AE8-AF7,
ROUND(ROUNDDOWN((_5歳児①4+_5歳児②4+_4歳児①4)/25,1)+ROUNDDOWN((_4歳児②4)/20,1)+ROUNDDOWN((_3歳児①4+_3歳児②4)/15,1)+ROUNDDOWN((満3歳児①4)/15,1)+ROUNDDOWN((_2歳児③4)/6,1)+ROUNDDOWN((_1歳児③4)/5,1)+ROUNDDOWN((_0歳児③4)/3,1),0)+ROUND(ROUNDDOWN((_5歳児①4分園+_5歳児②4分園+_4歳児①4分園)/25,1)+ROUNDDOWN((_4歳児②4分園)/20,1)+ROUNDDOWN((_3歳児①4分園+_3歳児②4分園)/15,1)+ROUNDDOWN((満3歳児①4分園)/15,1)+ROUNDDOWN((_2歳児③4分園)/6,1)+ROUNDDOWN((_1歳児③4分園)/5,1)+ROUNDDOWN((_0歳児③4分園)/3,1),0)+AB7+AD7+AE7+AE8-AF7))</f>
        <v>2</v>
      </c>
      <c r="AL7" s="386">
        <f>IFERROR(ROUND(((W7+Y7)/(W7+Y7+W8+Y8))*AM7,1),0)</f>
        <v>0</v>
      </c>
      <c r="AM7" s="607">
        <f>'(R6)年齢別配置基準'!C14</f>
        <v>0</v>
      </c>
      <c r="AN7" s="604"/>
      <c r="AO7" s="626"/>
      <c r="AP7" s="569">
        <f>IF(AO7="専任",0,1)</f>
        <v>1</v>
      </c>
      <c r="AQ7" s="249">
        <f>IFERROR(AP7*(ROUND((W7+Y7)/(Z7+X7),1)),0)</f>
        <v>0</v>
      </c>
      <c r="AR7" s="613">
        <f>AJ7+AM7+AN7+AP7</f>
        <v>3</v>
      </c>
      <c r="AS7" s="518"/>
      <c r="AT7" s="518"/>
      <c r="AU7" s="528">
        <f>(ROUNDDOWN(($F9-$G9)/5,1)+ROUNDDOWN($G9/4.6,1))-ROUNDDOWN($F9/5,1)+(ROUNDDOWN(($O9-$P9)/5,1)+ROUNDDOWN($P9/4.6,1))-ROUNDDOWN($O9/5,1)</f>
        <v>0</v>
      </c>
      <c r="AV7" s="528">
        <f>SUM('様式１－１（【本園分】標準時間対応）'!BA7:BA8)</f>
        <v>0</v>
      </c>
      <c r="AW7" s="528">
        <f>SUM('様式１－２（【分園分】標準時間対応）'!BA7:BA8)</f>
        <v>0</v>
      </c>
      <c r="AX7" s="525">
        <f>IF(OR(AND('様式１－１（【本園分】標準時間対応）'!J7&gt;0, '様式１－１（【本園分】標準時間対応）'!R7&gt;0), '様式１－１（【本園分】標準時間対応）'!BC7&gt;=ROUND((C8+C9)*0.3,0)),1,0) + IF(OR(AND('様式１－２（【分園分】標準時間対応）'!J7&gt;0, '様式１－２（【分園分】標準時間対応）'!R7&gt;0), '様式１－２（【分園分】標準時間対応）'!BC7&gt;=ROUND((D8+D9)*0.3,0)),1,0)</f>
        <v>2</v>
      </c>
      <c r="AY7" s="548">
        <f>2-AB7</f>
        <v>0</v>
      </c>
      <c r="AZ7" s="551">
        <f>SUM(AR7:AY9)</f>
        <v>5</v>
      </c>
      <c r="BA7" s="200"/>
      <c r="BC7" s="560"/>
      <c r="BD7" s="660">
        <f>'様式２（専従の常勤）'!G58</f>
        <v>0</v>
      </c>
      <c r="BE7" s="620">
        <f>COUNTIFS('様式３（非専従の常勤＋非常勤）'!$N$8:$N$37,"&gt;=1")+'様式２（専従の常勤）'!G70</f>
        <v>0</v>
      </c>
      <c r="BF7" s="657">
        <f>'様式３（非専従の常勤＋非常勤）'!$O$41</f>
        <v>0</v>
      </c>
      <c r="BG7" s="647"/>
      <c r="BH7" s="703">
        <f>COUNTIFS('様式３（非専従の常勤＋非常勤）'!$N$50:$N$54,"&gt;=1")</f>
        <v>0</v>
      </c>
      <c r="BI7" s="688">
        <f>ROUNDDOWN('様式３（非専従の常勤＋非常勤）'!$N$57,1)</f>
        <v>0</v>
      </c>
      <c r="BJ7" s="613">
        <f>BD7+BF7+IF((BG7+BI7)&gt;=AM7,AM7,(BG7+BI7))</f>
        <v>0</v>
      </c>
      <c r="BK7" s="613">
        <f>BJ7-AR7</f>
        <v>-3</v>
      </c>
      <c r="BL7" s="613">
        <f>BJ7-(AK7+AM7+AN7+AP7)</f>
        <v>-3</v>
      </c>
      <c r="BN7" s="685"/>
      <c r="BO7" s="469" t="str">
        <f>IF(BN7&gt;=0.2,BJ7-AR7-BN7,"")</f>
        <v/>
      </c>
      <c r="BS7" s="515" t="s">
        <v>11</v>
      </c>
      <c r="BT7" s="311" t="s">
        <v>71</v>
      </c>
      <c r="BU7" s="312">
        <f>AA7+AC7+AE7+AH7+AL7+AN7+AQ7</f>
        <v>0</v>
      </c>
      <c r="BV7" s="313">
        <f>ROUND(BU7/(BU7+BU8),2)</f>
        <v>0</v>
      </c>
      <c r="BX7" s="515" t="s">
        <v>11</v>
      </c>
      <c r="BY7" s="311" t="s">
        <v>71</v>
      </c>
      <c r="BZ7" s="314">
        <f>AE7+AH7</f>
        <v>0</v>
      </c>
      <c r="CA7" s="313">
        <f>ROUND(BZ7/(BZ7+BZ8),2)</f>
        <v>0</v>
      </c>
    </row>
    <row r="8" spans="1:79" ht="27" customHeight="1">
      <c r="A8" s="654"/>
      <c r="B8" s="69" t="s">
        <v>72</v>
      </c>
      <c r="C8" s="253"/>
      <c r="D8" s="254"/>
      <c r="E8" s="70"/>
      <c r="F8" s="71"/>
      <c r="G8" s="71"/>
      <c r="H8" s="71"/>
      <c r="I8" s="71"/>
      <c r="J8" s="55"/>
      <c r="K8" s="55"/>
      <c r="L8" s="55"/>
      <c r="M8" s="328"/>
      <c r="N8" s="70"/>
      <c r="O8" s="71"/>
      <c r="P8" s="71"/>
      <c r="Q8" s="71"/>
      <c r="R8" s="71"/>
      <c r="S8" s="55"/>
      <c r="T8" s="55"/>
      <c r="U8" s="55"/>
      <c r="V8" s="331"/>
      <c r="W8" s="56">
        <f>SUM(J8:L8)</f>
        <v>0</v>
      </c>
      <c r="X8" s="540"/>
      <c r="Y8" s="56">
        <f>SUM(S8:U8)</f>
        <v>0</v>
      </c>
      <c r="Z8" s="540"/>
      <c r="AA8" s="584">
        <f>IF(C8+C9&lt;=90,1,0)+IF(D8+D9&lt;=90,1,0)</f>
        <v>2</v>
      </c>
      <c r="AB8" s="595"/>
      <c r="AC8" s="586">
        <f>AD7</f>
        <v>0</v>
      </c>
      <c r="AD8" s="595"/>
      <c r="AE8" s="582">
        <f>IF($W8+$W9&gt;0,1,0)+IF($Y8+$Y9&gt;0,1,0)</f>
        <v>0</v>
      </c>
      <c r="AF8" s="624"/>
      <c r="AG8" s="611"/>
      <c r="AH8" s="591">
        <f>AI7-AH7</f>
        <v>0</v>
      </c>
      <c r="AI8" s="589"/>
      <c r="AJ8" s="614"/>
      <c r="AK8" s="715"/>
      <c r="AL8" s="383">
        <f>AM7-AL7</f>
        <v>0</v>
      </c>
      <c r="AM8" s="608"/>
      <c r="AN8" s="605"/>
      <c r="AO8" s="627"/>
      <c r="AP8" s="570"/>
      <c r="AQ8" s="567">
        <f>IFERROR(AP7*(ROUND((W8+W9+Y8+Y9)/(Z7+X7),1)),0)</f>
        <v>0</v>
      </c>
      <c r="AR8" s="614"/>
      <c r="AS8" s="519"/>
      <c r="AT8" s="519"/>
      <c r="AU8" s="529"/>
      <c r="AV8" s="529"/>
      <c r="AW8" s="529"/>
      <c r="AX8" s="526"/>
      <c r="AY8" s="549"/>
      <c r="AZ8" s="552"/>
      <c r="BA8" s="200"/>
      <c r="BC8" s="560"/>
      <c r="BD8" s="661"/>
      <c r="BE8" s="621" t="e">
        <v>#VALUE!</v>
      </c>
      <c r="BF8" s="658"/>
      <c r="BG8" s="648"/>
      <c r="BH8" s="704" t="e">
        <v>#VALUE!</v>
      </c>
      <c r="BI8" s="689"/>
      <c r="BJ8" s="614"/>
      <c r="BK8" s="614"/>
      <c r="BL8" s="614"/>
      <c r="BM8"/>
      <c r="BN8" s="686"/>
      <c r="BO8" s="470"/>
      <c r="BP8">
        <v>0</v>
      </c>
      <c r="BQ8">
        <v>1</v>
      </c>
      <c r="BS8" s="516"/>
      <c r="BT8" s="512" t="s">
        <v>155</v>
      </c>
      <c r="BU8" s="778">
        <f>AA8+AC8+AE8+AH8+AL8+AQ8+AU7+AV7+AW7+AX7+AY7</f>
        <v>4</v>
      </c>
      <c r="BV8" s="514">
        <f>1-BV7</f>
        <v>1</v>
      </c>
      <c r="BX8" s="516"/>
      <c r="BY8" s="512" t="s">
        <v>155</v>
      </c>
      <c r="BZ8" s="513">
        <f>AA8+AC8+AH8+AE8</f>
        <v>2</v>
      </c>
      <c r="CA8" s="514">
        <f>ROUND(BZ8/(BZ7+BZ8),2)</f>
        <v>1</v>
      </c>
    </row>
    <row r="9" spans="1:79" ht="27" customHeight="1">
      <c r="A9" s="655"/>
      <c r="B9" s="69" t="s">
        <v>73</v>
      </c>
      <c r="C9" s="253"/>
      <c r="D9" s="254"/>
      <c r="E9" s="55"/>
      <c r="F9" s="55"/>
      <c r="G9" s="222"/>
      <c r="H9" s="55"/>
      <c r="I9" s="71"/>
      <c r="J9" s="71"/>
      <c r="K9" s="71"/>
      <c r="L9" s="71"/>
      <c r="M9" s="328"/>
      <c r="N9" s="55"/>
      <c r="O9" s="55"/>
      <c r="P9" s="222"/>
      <c r="Q9" s="55"/>
      <c r="R9" s="71"/>
      <c r="S9" s="71"/>
      <c r="T9" s="71"/>
      <c r="U9" s="71"/>
      <c r="V9" s="332"/>
      <c r="W9" s="56">
        <f>SUM(E9:F9,H9)</f>
        <v>0</v>
      </c>
      <c r="X9" s="652"/>
      <c r="Y9" s="56">
        <f>SUM(N9:O9,Q9)</f>
        <v>0</v>
      </c>
      <c r="Z9" s="652"/>
      <c r="AA9" s="597"/>
      <c r="AB9" s="596"/>
      <c r="AC9" s="593"/>
      <c r="AD9" s="596"/>
      <c r="AE9" s="583"/>
      <c r="AF9" s="625"/>
      <c r="AG9" s="612"/>
      <c r="AH9" s="592"/>
      <c r="AI9" s="590"/>
      <c r="AJ9" s="615"/>
      <c r="AK9" s="716"/>
      <c r="AL9" s="387"/>
      <c r="AM9" s="609"/>
      <c r="AN9" s="606"/>
      <c r="AO9" s="631"/>
      <c r="AP9" s="571"/>
      <c r="AQ9" s="568"/>
      <c r="AR9" s="615"/>
      <c r="AS9" s="520"/>
      <c r="AT9" s="520"/>
      <c r="AU9" s="530"/>
      <c r="AV9" s="530"/>
      <c r="AW9" s="530"/>
      <c r="AX9" s="527"/>
      <c r="AY9" s="550"/>
      <c r="AZ9" s="553"/>
      <c r="BA9" s="200"/>
      <c r="BC9" s="560"/>
      <c r="BD9" s="662"/>
      <c r="BE9" s="622" t="e">
        <v>#VALUE!</v>
      </c>
      <c r="BF9" s="659"/>
      <c r="BG9" s="649"/>
      <c r="BH9" s="705" t="e">
        <v>#VALUE!</v>
      </c>
      <c r="BI9" s="690"/>
      <c r="BJ9" s="615"/>
      <c r="BK9" s="615"/>
      <c r="BL9" s="615"/>
      <c r="BN9" s="687"/>
      <c r="BO9" s="471"/>
      <c r="BS9" s="517"/>
      <c r="BT9" s="512"/>
      <c r="BU9" s="778"/>
      <c r="BV9" s="514"/>
      <c r="BX9" s="517"/>
      <c r="BY9" s="512"/>
      <c r="BZ9" s="513"/>
      <c r="CA9" s="514"/>
    </row>
    <row r="10" spans="1:79" ht="27" customHeight="1">
      <c r="A10" s="653" t="s">
        <v>2</v>
      </c>
      <c r="B10" s="72" t="s">
        <v>71</v>
      </c>
      <c r="C10" s="255">
        <f>$C7</f>
        <v>0</v>
      </c>
      <c r="D10" s="255">
        <f t="shared" ref="D10:D42" si="0">$D7</f>
        <v>0</v>
      </c>
      <c r="E10" s="71"/>
      <c r="F10" s="71"/>
      <c r="G10" s="71"/>
      <c r="H10" s="71"/>
      <c r="I10" s="55"/>
      <c r="J10" s="222"/>
      <c r="K10" s="55"/>
      <c r="L10" s="55"/>
      <c r="M10" s="328"/>
      <c r="N10" s="71"/>
      <c r="O10" s="71"/>
      <c r="P10" s="71"/>
      <c r="Q10" s="71"/>
      <c r="R10" s="55"/>
      <c r="S10" s="222"/>
      <c r="T10" s="55"/>
      <c r="U10" s="55"/>
      <c r="V10" s="331"/>
      <c r="W10" s="56">
        <f>SUM(I10:L10)</f>
        <v>0</v>
      </c>
      <c r="X10" s="536">
        <f>SUM(W10:W12)</f>
        <v>0</v>
      </c>
      <c r="Y10" s="56">
        <f>SUM(R10:U10)</f>
        <v>0</v>
      </c>
      <c r="Z10" s="539">
        <f>SUM(Y10:Y12)</f>
        <v>0</v>
      </c>
      <c r="AA10" s="207"/>
      <c r="AB10" s="594">
        <f t="shared" ref="AB10" si="1">AA11</f>
        <v>2</v>
      </c>
      <c r="AC10" s="384"/>
      <c r="AD10" s="594">
        <f>IF('様式１－１（【本園分】標準時間対応）'!BC9&gt;0,1,0)+IF('様式１－２（【分園分】標準時間対応）'!BC9&gt;0,1,0)</f>
        <v>0</v>
      </c>
      <c r="AE10" s="382">
        <f>IF($W10&gt;0,1,0)+IF($Y10&gt;0,1,0)</f>
        <v>0</v>
      </c>
      <c r="AF10" s="623"/>
      <c r="AG10" s="610" t="str">
        <f>'(R6)年齢別配置基準'!I15</f>
        <v>H</v>
      </c>
      <c r="AH10" s="399">
        <f>IF(AG10="判定不能","年齢別配置基準エラー",
IF(AG10="A",ROUND(ROUNDDOWN((L10+K10)/25,1)+ROUNDDOWN((J10)/15,1)+ROUNDDOWN((I10)/6,1),0)+ROUND(ROUNDDOWN((U10+T10)/25,1)+ROUNDDOWN((S10)/15,1)+ROUNDDOWN((R10)/6,1),0),
IF(AG10="B",ROUND(ROUNDDOWN((L10+K10)/25,1)+ROUNDDOWN((J10)/15,1)+ROUNDDOWN((I10)/15,1),0)+ROUND(ROUNDDOWN((U10+T10)/25,1)+ROUNDDOWN((S10)/15,1)+ROUNDDOWN((R10)/15,1),0),
IF(AG10="C",ROUND(ROUNDDOWN((L10+K10)/25,1)+ROUNDDOWN((J10)/20,1)+ROUNDDOWN((I10)/6,1),0)+ROUND(ROUNDDOWN((U10+T10)/25,1)+ROUNDDOWN((S10)/20,1)+ROUNDDOWN((R10)/6,1),0),
IF(AG10="D",ROUND(ROUNDDOWN((L10+K10)/25,1)+ROUNDDOWN((J10)/20,1)+ROUNDDOWN((I10)/20,1),0)+ROUND(ROUNDDOWN((U10+T10)/25,1)+ROUNDDOWN((S10)/20,1)+ROUNDDOWN((R10)/20,1),0),
IF(AG10="E",ROUND(ROUNDDOWN((L10+K10)/30,1)+ROUNDDOWN((J10)/15,1)+ROUNDDOWN((I10)/6,1),0)+ROUND(ROUNDDOWN((U10+T10)/30,1)+ROUNDDOWN((S10)/15,1)+ROUNDDOWN((R10)/6,1),0),
IF(AG10="F",ROUND(ROUNDDOWN((L10+K10)/30,1)+ROUNDDOWN((J10)/15,1)+ROUNDDOWN((I10)/15,1),0)+ROUND(ROUNDDOWN((U10+T10)/30,1)+ROUNDDOWN((S10)/15,1)+ROUNDDOWN((R10)/15,1),0),
IF(AG10="G",ROUND(ROUNDDOWN((L10+K10)/30,1)+ROUNDDOWN((J10)/20,1)+ROUNDDOWN((I10)/6,1),0)+ROUND(ROUNDDOWN((U10+T10)/30,1)+ROUNDDOWN((S10)/20,1)+ROUNDDOWN((R10)/6,1),0),
IF(AG10="H",ROUND(ROUNDDOWN((L10+K10)/30,1)+ROUNDDOWN((J10)/20,1)+ROUNDDOWN((I10)/20,1),0)+ROUND(ROUNDDOWN((U10+T10)/30,1)+ROUNDDOWN((S10)/20,1)+ROUNDDOWN((R10)/20,1),0))))))))))</f>
        <v>0</v>
      </c>
      <c r="AI10" s="588">
        <f t="shared" ref="AI10" si="2">IF(AG10="判定不能","年齢別配置基準エラー",
IF(AG10="A",ROUND(ROUNDDOWN((K10+L10+L11)/25,1)+ROUNDDOWN((K11)/20,1)+ROUNDDOWN((J10+J11)/15,1)+ROUNDDOWN((I10)/6,1)+ROUNDDOWN((H12)/6,1)+ROUNDDOWN((F12)/5,1)+ROUNDDOWN((E12)/3,1),0)+ROUND(ROUNDDOWN((T10+U10+U11)/25,1)+ROUNDDOWN((T11)/20,1)+ROUNDDOWN((S10+S11)/15,1)+ROUNDDOWN((R10)/6,1)+ROUNDDOWN((Q12)/6,1)+ROUNDDOWN((O12)/5,1)+ROUNDDOWN((N12)/3,1),0),
IF(AG10="B",ROUND(ROUNDDOWN((K10+L10+L11)/25,1)+ROUNDDOWN((K11)/20,1)+ROUNDDOWN((J10+J11)/15,1)+ROUNDDOWN((I10)/15,1)+ROUNDDOWN((H12)/6,1)+ROUNDDOWN((F12)/5,1)+ROUNDDOWN((E12)/3,1),0)+ROUND(ROUNDDOWN((T10+U10+U11)/25,1)+ROUNDDOWN((T11)/20,1)+ROUNDDOWN((S10+S11)/15,1)+ROUNDDOWN((R10)/15,1)+ROUNDDOWN((Q12)/6,1)+ROUNDDOWN((O12)/5,1)+ROUNDDOWN((N12)/3,1),0),
IF(AG10="C",ROUND(ROUNDDOWN((K10+L10+L11)/25,1)+ROUNDDOWN((K11)/20,1)+ROUNDDOWN((J10)/20,1)+ROUNDDOWN((J11)/15,1)+ROUNDDOWN((I10)/6,1)+ROUNDDOWN((H12)/6,1)+ROUNDDOWN((F12)/5,1)+ROUNDDOWN((E12)/3,1),0)+ROUND(ROUNDDOWN((T10+U10+U11)/25,1)+ROUNDDOWN((T11)/20,1)+ROUNDDOWN((S10)/20,1)+ROUNDDOWN((S11)/15,1)+ROUNDDOWN((R10)/6,1)+ROUNDDOWN((Q12)/6,1)+ROUNDDOWN((O12)/5,1)+ROUNDDOWN((N12)/3,1),0),
IF(AG10="D",ROUND(ROUNDDOWN((K10+L10+L11)/25,1)+ROUNDDOWN((K11)/20,1)+ROUNDDOWN((J10)/20,1)+ROUNDDOWN((J11)/15,1)+ROUNDDOWN((I10)/20,1)+ROUNDDOWN((H12)/6,1)+ROUNDDOWN((F12)/5,1)+ROUNDDOWN((E12)/3,1),0)+ROUND(ROUNDDOWN((T10+U10+U11)/25,1)+ROUNDDOWN((T11)/20,1)+ROUNDDOWN((S10)/20,1)+ROUNDDOWN((S11)/15,1)+ROUNDDOWN((R10)/20,1)+ROUNDDOWN((Q12)/6,1)+ROUNDDOWN((O12)/5,1)+ROUNDDOWN((N12)/3,1),0),
IF(AG10="E",ROUND(ROUNDDOWN((K10+L10)/30,1)+ROUNDDOWN((L11)/25,1)+ROUNDDOWN((K11)/20,1)+ROUNDDOWN((J10+J11)/15,1)+ROUNDDOWN((I10)/6,1)+ROUNDDOWN((H12)/6,1)+ROUNDDOWN((F12)/5,1)+ROUNDDOWN((E12)/3,1),0)+ROUND(ROUNDDOWN((T10+U10)/30,1)+ROUNDDOWN((U11)/25,1)+ROUNDDOWN((T11)/20,1)+ROUNDDOWN((S10+S11)/15,1)+ROUNDDOWN((R10)/6,1)+ROUNDDOWN((Q12)/6,1)+ROUNDDOWN((O12)/5,1)+ROUNDDOWN((N12)/3,1),0),
IF(AG10="F",ROUND(ROUNDDOWN((K10+L10)/30,1)+ROUNDDOWN((L11)/25,1)+ROUNDDOWN((K11)/20,1)+ROUNDDOWN((J10+J11)/15,1)+ROUNDDOWN((I10)/15,1)+ROUNDDOWN((H12)/6,1)+ROUNDDOWN((F12)/5,1)+ROUNDDOWN((E12)/3,1),0)+ROUND(ROUNDDOWN((T10+U10)/30,1)+ROUNDDOWN((U11)/25,1)+ROUNDDOWN((T11)/20,1)+ROUNDDOWN((S10+S11)/15,1)+ROUNDDOWN((R10)/15,1)+ROUNDDOWN((Q12)/6,1)+ROUNDDOWN((O12)/5,1)+ROUNDDOWN((N12)/3,1),0),
IF(AG10="G",ROUND(ROUNDDOWN((K10+L10)/30,1)+ROUNDDOWN((L11)/25,1)+ROUNDDOWN((K11)/20,1)+ROUNDDOWN((J10)/20,1)+ROUNDDOWN((J11)/15,1)+ROUNDDOWN((I10)/6,1)+ROUNDDOWN((H12)/6,1)+ROUNDDOWN((F12)/5,1)+ROUNDDOWN((E12)/3,1),0)+ROUND(ROUNDDOWN((T10+U10)/30,1)+ROUNDDOWN((U11)/25,1)+ROUNDDOWN((T11)/20,1)+ROUNDDOWN((S10)/20,1)+ROUNDDOWN((S11)/15,1)+ROUNDDOWN((R10)/6,1)+ROUNDDOWN((Q12)/6,1)+ROUNDDOWN((O12)/5,1)+ROUNDDOWN((N12)/3,1),0),
IF(AG10="H",ROUND(ROUNDDOWN((K10+L10)/30,1)+ROUNDDOWN((L11)/25,1)+ROUNDDOWN((K11)/20,1)+ROUNDDOWN((J10)/20,1)+ROUNDDOWN((J11)/15,1)+ROUNDDOWN((I10)/20,1)+ROUNDDOWN((H12)/6,1)+ROUNDDOWN((F12)/5,1)+ROUNDDOWN((E12)/3,1),0)+ROUND(ROUNDDOWN((T10+U10)/30,1)+ROUNDDOWN((U11)/25,1)+ROUNDDOWN((T11)/20,1)+ROUNDDOWN((S10)/20,1)+ROUNDDOWN((S11)/15,1)+ROUNDDOWN((R10)/20,1)+ROUNDDOWN((Q12)/6,1)+ROUNDDOWN((O12)/5,1)+ROUNDDOWN((N12)/3,1),0))))))))))</f>
        <v>0</v>
      </c>
      <c r="AJ10" s="613">
        <f t="shared" ref="AJ10" si="3">AB10+AD10+AE10+AE11+AI10-AF10</f>
        <v>2</v>
      </c>
      <c r="AK10" s="714">
        <f t="shared" ref="AK10" si="4">IF(AG10="判定不能","年齢別配置基準エラー",
IF(OR(AG10="A",AG10="C",AG10="E",AG10="G"),
ROUND(ROUNDDOWN((L10+L11+K10)/25,1)+ROUNDDOWN((K11)/20,1)+ROUNDDOWN((J10+J11)/15,1)+ROUNDDOWN((I10)/6,1)+ROUNDDOWN((H12)/6,1)+ROUNDDOWN((F12)/5,1)+ROUNDDOWN((E12)/3,1),0)+ROUND(ROUNDDOWN((U10+U11+T10)/25,1)+ROUNDDOWN((T11)/20,1)+ROUNDDOWN((S10+S11)/15,1)+ROUNDDOWN((R10)/6,1)+ROUNDDOWN((Q12)/6,1)+ROUNDDOWN((O12)/5,1)+ROUNDDOWN((N12)/3,1),0)+AB10+AD10+AE10+AE11-AF10,
ROUND(ROUNDDOWN((L10+L11+K10)/25,1)+ROUNDDOWN((K11)/20,1)+ROUNDDOWN((J10+J11)/15,1)+ROUNDDOWN((I10)/15,1)+ROUNDDOWN((H12)/6,1)+ROUNDDOWN((F12)/5,1)+ROUNDDOWN((E12)/3,1),0)+ROUND(ROUNDDOWN((U10+U11+T10)/25,1)+ROUNDDOWN((T11)/20,1)+ROUNDDOWN((S10+S11)/15,1)+ROUNDDOWN((R10)/15,1)+ROUNDDOWN((Q12)/6,1)+ROUNDDOWN((O12)/5,1)+ROUNDDOWN((N12)/3,1),0)+AB10+AD10+AE10+AE11-AF10))</f>
        <v>2</v>
      </c>
      <c r="AL10" s="388">
        <f>IFERROR(ROUND(((W10+Y10)/(W10+Y10+W11+Y11))*AM10,1),0)</f>
        <v>0</v>
      </c>
      <c r="AM10" s="607">
        <f>'(R6)年齢別配置基準'!C15</f>
        <v>0</v>
      </c>
      <c r="AN10" s="604"/>
      <c r="AO10" s="626"/>
      <c r="AP10" s="569">
        <f>IF(AO10="専任",0,1)</f>
        <v>1</v>
      </c>
      <c r="AQ10" s="249">
        <f>IFERROR(AP10*(ROUND((W10+Y10)/(Z10+X10),1)),0)</f>
        <v>0</v>
      </c>
      <c r="AR10" s="613">
        <f t="shared" ref="AR10" si="5">AJ10+AM10+AN10+AP10</f>
        <v>3</v>
      </c>
      <c r="AS10" s="518"/>
      <c r="AT10" s="518"/>
      <c r="AU10" s="528">
        <f>$AU$7</f>
        <v>0</v>
      </c>
      <c r="AV10" s="528">
        <f>SUM('様式１－１（【本園分】標準時間対応）'!BA9:BA10)</f>
        <v>0</v>
      </c>
      <c r="AW10" s="528">
        <f>SUM('様式１－２（【分園分】標準時間対応）'!BA9:BA10)</f>
        <v>0</v>
      </c>
      <c r="AX10" s="525">
        <f>IF(OR(AND('様式１－１（【本園分】標準時間対応）'!J9&gt;0, '様式１－１（【本園分】標準時間対応）'!R9&gt;0), '様式１－１（【本園分】標準時間対応）'!BC9&gt;=ROUND((C11+C12)*0.3,0)),1,0) + IF(OR(AND('様式１－２（【分園分】標準時間対応）'!J9&gt;0, '様式１－２（【分園分】標準時間対応）'!R9&gt;0), '様式１－２（【分園分】標準時間対応）'!BC9&gt;=ROUND((D11+D12)*0.3,0)),1,0)</f>
        <v>2</v>
      </c>
      <c r="AY10" s="531">
        <f>2-AB10</f>
        <v>0</v>
      </c>
      <c r="AZ10" s="551">
        <f t="shared" ref="AZ10" si="6">SUM(AR10:AY12)</f>
        <v>5</v>
      </c>
      <c r="BA10" s="200"/>
      <c r="BC10" s="560"/>
      <c r="BD10" s="660">
        <f>'様式２（専従の常勤）'!H58</f>
        <v>0</v>
      </c>
      <c r="BE10" s="620">
        <f>COUNTIFS('様式３（非専従の常勤＋非常勤）'!$P$8:$P$37,"&gt;=1")+'様式２（専従の常勤）'!H70</f>
        <v>0</v>
      </c>
      <c r="BF10" s="657">
        <f>'様式３（非専従の常勤＋非常勤）'!$Q$41</f>
        <v>0</v>
      </c>
      <c r="BG10" s="647"/>
      <c r="BH10" s="703">
        <f>COUNTIFS('様式３（非専従の常勤＋非常勤）'!$P$50:$P$54,"&gt;=1")</f>
        <v>0</v>
      </c>
      <c r="BI10" s="688">
        <f>ROUNDDOWN('様式３（非専従の常勤＋非常勤）'!$P$57,1)</f>
        <v>0</v>
      </c>
      <c r="BJ10" s="613">
        <f>BD10+BF10+IF((BG10+BI10)&gt;=AM10,AM10,(BG10+BI10))</f>
        <v>0</v>
      </c>
      <c r="BK10" s="613">
        <f>BJ10-AR10</f>
        <v>-3</v>
      </c>
      <c r="BL10" s="613">
        <f t="shared" ref="BL10" si="7">BJ10-(AK10+AM10+AN10+AP10)</f>
        <v>-3</v>
      </c>
      <c r="BN10" s="685"/>
      <c r="BO10" s="469" t="str">
        <f t="shared" ref="BO10" si="8">IF(BN10&gt;=0.2,BJ10-AR10-BN10,"")</f>
        <v/>
      </c>
      <c r="BS10" s="515" t="s">
        <v>2</v>
      </c>
      <c r="BT10" s="311" t="s">
        <v>71</v>
      </c>
      <c r="BU10" s="312">
        <f>AA10+AC10+AE10+AH10+AL10+AN10+AQ10</f>
        <v>0</v>
      </c>
      <c r="BV10" s="313">
        <f>ROUND(BU10/(BU10+BU11),2)</f>
        <v>0</v>
      </c>
      <c r="BX10" s="515" t="s">
        <v>2</v>
      </c>
      <c r="BY10" s="311" t="s">
        <v>71</v>
      </c>
      <c r="BZ10" s="314">
        <f>AE10+AH10</f>
        <v>0</v>
      </c>
      <c r="CA10" s="313">
        <f t="shared" ref="CA10" si="9">ROUND(BZ10/(BZ10+BZ11),2)</f>
        <v>0</v>
      </c>
    </row>
    <row r="11" spans="1:79" ht="27" customHeight="1">
      <c r="A11" s="654"/>
      <c r="B11" s="72" t="s">
        <v>72</v>
      </c>
      <c r="C11" s="256">
        <f t="shared" ref="C11:C42" si="10">$C8</f>
        <v>0</v>
      </c>
      <c r="D11" s="256">
        <f t="shared" si="0"/>
        <v>0</v>
      </c>
      <c r="E11" s="71"/>
      <c r="F11" s="71"/>
      <c r="G11" s="71"/>
      <c r="H11" s="71"/>
      <c r="I11" s="71"/>
      <c r="J11" s="55"/>
      <c r="K11" s="55"/>
      <c r="L11" s="55"/>
      <c r="M11" s="328"/>
      <c r="N11" s="71"/>
      <c r="O11" s="71"/>
      <c r="P11" s="71"/>
      <c r="Q11" s="71"/>
      <c r="R11" s="71"/>
      <c r="S11" s="55"/>
      <c r="T11" s="55"/>
      <c r="U11" s="55"/>
      <c r="V11" s="331"/>
      <c r="W11" s="56">
        <f>SUM(J11:L11)</f>
        <v>0</v>
      </c>
      <c r="X11" s="537"/>
      <c r="Y11" s="56">
        <f>SUM(S11:U11)</f>
        <v>0</v>
      </c>
      <c r="Z11" s="540"/>
      <c r="AA11" s="584">
        <f>IF(C11+C12&lt;=90,1,0)+IF(D11+D12&lt;=90,1,0)</f>
        <v>2</v>
      </c>
      <c r="AB11" s="595"/>
      <c r="AC11" s="586">
        <f>AD10</f>
        <v>0</v>
      </c>
      <c r="AD11" s="595"/>
      <c r="AE11" s="582">
        <f>IF($W11+$W12&gt;0,1,0)+IF($Y11+$Y12&gt;0,1,0)</f>
        <v>0</v>
      </c>
      <c r="AF11" s="624"/>
      <c r="AG11" s="611"/>
      <c r="AH11" s="591">
        <f>AI10-AH10</f>
        <v>0</v>
      </c>
      <c r="AI11" s="589"/>
      <c r="AJ11" s="614"/>
      <c r="AK11" s="715"/>
      <c r="AL11" s="383">
        <f>AM10-AL10</f>
        <v>0</v>
      </c>
      <c r="AM11" s="608"/>
      <c r="AN11" s="605"/>
      <c r="AO11" s="627"/>
      <c r="AP11" s="570"/>
      <c r="AQ11" s="567">
        <f>IFERROR(AP10*(ROUND((W11+W12+Y11+Y12)/(Z10+X10),1)),0)</f>
        <v>0</v>
      </c>
      <c r="AR11" s="614"/>
      <c r="AS11" s="519"/>
      <c r="AT11" s="519"/>
      <c r="AU11" s="529"/>
      <c r="AV11" s="529"/>
      <c r="AW11" s="529"/>
      <c r="AX11" s="526"/>
      <c r="AY11" s="532"/>
      <c r="AZ11" s="552"/>
      <c r="BA11" s="200"/>
      <c r="BC11" s="560"/>
      <c r="BD11" s="661"/>
      <c r="BE11" s="621" t="e">
        <v>#VALUE!</v>
      </c>
      <c r="BF11" s="658"/>
      <c r="BG11" s="648"/>
      <c r="BH11" s="704" t="e">
        <v>#VALUE!</v>
      </c>
      <c r="BI11" s="689"/>
      <c r="BJ11" s="614"/>
      <c r="BK11" s="614"/>
      <c r="BL11" s="614"/>
      <c r="BN11" s="686"/>
      <c r="BO11" s="470"/>
      <c r="BS11" s="516"/>
      <c r="BT11" s="512" t="s">
        <v>155</v>
      </c>
      <c r="BU11" s="778">
        <f>AA11+AC11+AE11+AH11+AL11+AQ11+AU10+AV10+AW10+AX10+AY10</f>
        <v>4</v>
      </c>
      <c r="BV11" s="514">
        <f>1-BV10</f>
        <v>1</v>
      </c>
      <c r="BX11" s="516"/>
      <c r="BY11" s="512" t="s">
        <v>155</v>
      </c>
      <c r="BZ11" s="513">
        <f>AA11+AC11+AH11+AE11</f>
        <v>2</v>
      </c>
      <c r="CA11" s="514">
        <f t="shared" ref="CA11" si="11">ROUND(BZ11/(BZ10+BZ11),2)</f>
        <v>1</v>
      </c>
    </row>
    <row r="12" spans="1:79" ht="27" customHeight="1">
      <c r="A12" s="655"/>
      <c r="B12" s="72" t="s">
        <v>73</v>
      </c>
      <c r="C12" s="256">
        <f t="shared" si="10"/>
        <v>0</v>
      </c>
      <c r="D12" s="256">
        <f t="shared" si="0"/>
        <v>0</v>
      </c>
      <c r="E12" s="55"/>
      <c r="F12" s="55"/>
      <c r="G12" s="73"/>
      <c r="H12" s="55"/>
      <c r="I12" s="71"/>
      <c r="J12" s="71"/>
      <c r="K12" s="71"/>
      <c r="L12" s="71"/>
      <c r="M12" s="328"/>
      <c r="N12" s="55"/>
      <c r="O12" s="55"/>
      <c r="P12" s="73"/>
      <c r="Q12" s="55"/>
      <c r="R12" s="71"/>
      <c r="S12" s="71"/>
      <c r="T12" s="71"/>
      <c r="U12" s="71"/>
      <c r="V12" s="331"/>
      <c r="W12" s="56">
        <f>SUM(E12:F12,H12)</f>
        <v>0</v>
      </c>
      <c r="X12" s="656"/>
      <c r="Y12" s="56">
        <f>SUM(N12:O12,Q12)</f>
        <v>0</v>
      </c>
      <c r="Z12" s="652"/>
      <c r="AA12" s="597"/>
      <c r="AB12" s="596"/>
      <c r="AC12" s="593"/>
      <c r="AD12" s="596"/>
      <c r="AE12" s="583"/>
      <c r="AF12" s="625"/>
      <c r="AG12" s="612"/>
      <c r="AH12" s="592"/>
      <c r="AI12" s="590"/>
      <c r="AJ12" s="615"/>
      <c r="AK12" s="716"/>
      <c r="AL12" s="389"/>
      <c r="AM12" s="609"/>
      <c r="AN12" s="606"/>
      <c r="AO12" s="631"/>
      <c r="AP12" s="571"/>
      <c r="AQ12" s="568"/>
      <c r="AR12" s="615"/>
      <c r="AS12" s="520"/>
      <c r="AT12" s="520"/>
      <c r="AU12" s="530"/>
      <c r="AV12" s="530"/>
      <c r="AW12" s="530"/>
      <c r="AX12" s="527"/>
      <c r="AY12" s="533"/>
      <c r="AZ12" s="553"/>
      <c r="BA12" s="200"/>
      <c r="BC12" s="560"/>
      <c r="BD12" s="662"/>
      <c r="BE12" s="622" t="e">
        <v>#VALUE!</v>
      </c>
      <c r="BF12" s="659"/>
      <c r="BG12" s="649"/>
      <c r="BH12" s="705" t="e">
        <v>#VALUE!</v>
      </c>
      <c r="BI12" s="690"/>
      <c r="BJ12" s="615"/>
      <c r="BK12" s="615"/>
      <c r="BL12" s="615"/>
      <c r="BN12" s="687"/>
      <c r="BO12" s="471"/>
      <c r="BS12" s="517"/>
      <c r="BT12" s="512"/>
      <c r="BU12" s="778"/>
      <c r="BV12" s="514"/>
      <c r="BX12" s="517"/>
      <c r="BY12" s="512"/>
      <c r="BZ12" s="513"/>
      <c r="CA12" s="514"/>
    </row>
    <row r="13" spans="1:79" ht="27" customHeight="1">
      <c r="A13" s="653" t="s">
        <v>3</v>
      </c>
      <c r="B13" s="72" t="s">
        <v>71</v>
      </c>
      <c r="C13" s="255">
        <f t="shared" si="10"/>
        <v>0</v>
      </c>
      <c r="D13" s="255">
        <f t="shared" si="0"/>
        <v>0</v>
      </c>
      <c r="E13" s="71"/>
      <c r="F13" s="71"/>
      <c r="G13" s="71"/>
      <c r="H13" s="71"/>
      <c r="I13" s="55"/>
      <c r="J13" s="222"/>
      <c r="K13" s="55"/>
      <c r="L13" s="55"/>
      <c r="M13" s="328"/>
      <c r="N13" s="71"/>
      <c r="O13" s="71"/>
      <c r="P13" s="71"/>
      <c r="Q13" s="71"/>
      <c r="R13" s="55"/>
      <c r="S13" s="222"/>
      <c r="T13" s="55"/>
      <c r="U13" s="55"/>
      <c r="V13" s="331"/>
      <c r="W13" s="56">
        <f>SUM(I13:L13)</f>
        <v>0</v>
      </c>
      <c r="X13" s="536">
        <f>SUM(W13:W15)</f>
        <v>0</v>
      </c>
      <c r="Y13" s="56">
        <f>SUM(R13:U13)</f>
        <v>0</v>
      </c>
      <c r="Z13" s="539">
        <f>SUM(Y13:Y15)</f>
        <v>0</v>
      </c>
      <c r="AA13" s="207"/>
      <c r="AB13" s="594">
        <f t="shared" ref="AB13" si="12">AA14</f>
        <v>2</v>
      </c>
      <c r="AC13" s="384"/>
      <c r="AD13" s="594">
        <f>IF('様式１－１（【本園分】標準時間対応）'!BC11&gt;0,1,0)+IF('様式１－２（【分園分】標準時間対応）'!BC11&gt;0,1,0)</f>
        <v>0</v>
      </c>
      <c r="AE13" s="382">
        <f>IF($W13&gt;0,1,0)+IF($Y13&gt;0,1,0)</f>
        <v>0</v>
      </c>
      <c r="AF13" s="623"/>
      <c r="AG13" s="610" t="str">
        <f>'(R6)年齢別配置基準'!I16</f>
        <v>H</v>
      </c>
      <c r="AH13" s="399">
        <f>IF(AG13="判定不能","年齢別配置基準エラー",
IF(AG13="A",ROUND(ROUNDDOWN((L13+K13)/25,1)+ROUNDDOWN((J13)/15,1)+ROUNDDOWN((I13)/6,1),0)+ROUND(ROUNDDOWN((U13+T13)/25,1)+ROUNDDOWN((S13)/15,1)+ROUNDDOWN((R13)/6,1),0),
IF(AG13="B",ROUND(ROUNDDOWN((L13+K13)/25,1)+ROUNDDOWN((J13)/15,1)+ROUNDDOWN((I13)/15,1),0)+ROUND(ROUNDDOWN((U13+T13)/25,1)+ROUNDDOWN((S13)/15,1)+ROUNDDOWN((R13)/15,1),0),
IF(AG13="C",ROUND(ROUNDDOWN((L13+K13)/25,1)+ROUNDDOWN((J13)/20,1)+ROUNDDOWN((I13)/6,1),0)+ROUND(ROUNDDOWN((U13+T13)/25,1)+ROUNDDOWN((S13)/20,1)+ROUNDDOWN((R13)/6,1),0),
IF(AG13="D",ROUND(ROUNDDOWN((L13+K13)/25,1)+ROUNDDOWN((J13)/20,1)+ROUNDDOWN((I13)/20,1),0)+ROUND(ROUNDDOWN((U13+T13)/25,1)+ROUNDDOWN((S13)/20,1)+ROUNDDOWN((R13)/20,1),0),
IF(AG13="E",ROUND(ROUNDDOWN((L13+K13)/30,1)+ROUNDDOWN((J13)/15,1)+ROUNDDOWN((I13)/6,1),0)+ROUND(ROUNDDOWN((U13+T13)/30,1)+ROUNDDOWN((S13)/15,1)+ROUNDDOWN((R13)/6,1),0),
IF(AG13="F",ROUND(ROUNDDOWN((L13+K13)/30,1)+ROUNDDOWN((J13)/15,1)+ROUNDDOWN((I13)/15,1),0)+ROUND(ROUNDDOWN((U13+T13)/30,1)+ROUNDDOWN((S13)/15,1)+ROUNDDOWN((R13)/15,1),0),
IF(AG13="G",ROUND(ROUNDDOWN((L13+K13)/30,1)+ROUNDDOWN((J13)/20,1)+ROUNDDOWN((I13)/6,1),0)+ROUND(ROUNDDOWN((U13+T13)/30,1)+ROUNDDOWN((S13)/20,1)+ROUNDDOWN((R13)/6,1),0),
IF(AG13="H",ROUND(ROUNDDOWN((L13+K13)/30,1)+ROUNDDOWN((J13)/20,1)+ROUNDDOWN((I13)/20,1),0)+ROUND(ROUNDDOWN((U13+T13)/30,1)+ROUNDDOWN((S13)/20,1)+ROUNDDOWN((R13)/20,1),0))))))))))</f>
        <v>0</v>
      </c>
      <c r="AI13" s="588">
        <f t="shared" ref="AI13" si="13">IF(AG13="判定不能","年齢別配置基準エラー",
IF(AG13="A",ROUND(ROUNDDOWN((K13+L13+L14)/25,1)+ROUNDDOWN((K14)/20,1)+ROUNDDOWN((J13+J14)/15,1)+ROUNDDOWN((I13)/6,1)+ROUNDDOWN((H15)/6,1)+ROUNDDOWN((F15)/5,1)+ROUNDDOWN((E15)/3,1),0)+ROUND(ROUNDDOWN((T13+U13+U14)/25,1)+ROUNDDOWN((T14)/20,1)+ROUNDDOWN((S13+S14)/15,1)+ROUNDDOWN((R13)/6,1)+ROUNDDOWN((Q15)/6,1)+ROUNDDOWN((O15)/5,1)+ROUNDDOWN((N15)/3,1),0),
IF(AG13="B",ROUND(ROUNDDOWN((K13+L13+L14)/25,1)+ROUNDDOWN((K14)/20,1)+ROUNDDOWN((J13+J14)/15,1)+ROUNDDOWN((I13)/15,1)+ROUNDDOWN((H15)/6,1)+ROUNDDOWN((F15)/5,1)+ROUNDDOWN((E15)/3,1),0)+ROUND(ROUNDDOWN((T13+U13+U14)/25,1)+ROUNDDOWN((T14)/20,1)+ROUNDDOWN((S13+S14)/15,1)+ROUNDDOWN((R13)/15,1)+ROUNDDOWN((Q15)/6,1)+ROUNDDOWN((O15)/5,1)+ROUNDDOWN((N15)/3,1),0),
IF(AG13="C",ROUND(ROUNDDOWN((K13+L13+L14)/25,1)+ROUNDDOWN((K14)/20,1)+ROUNDDOWN((J13)/20,1)+ROUNDDOWN((J14)/15,1)+ROUNDDOWN((I13)/6,1)+ROUNDDOWN((H15)/6,1)+ROUNDDOWN((F15)/5,1)+ROUNDDOWN((E15)/3,1),0)+ROUND(ROUNDDOWN((T13+U13+U14)/25,1)+ROUNDDOWN((T14)/20,1)+ROUNDDOWN((S13)/20,1)+ROUNDDOWN((S14)/15,1)+ROUNDDOWN((R13)/6,1)+ROUNDDOWN((Q15)/6,1)+ROUNDDOWN((O15)/5,1)+ROUNDDOWN((N15)/3,1),0),
IF(AG13="D",ROUND(ROUNDDOWN((K13+L13+L14)/25,1)+ROUNDDOWN((K14)/20,1)+ROUNDDOWN((J13)/20,1)+ROUNDDOWN((J14)/15,1)+ROUNDDOWN((I13)/20,1)+ROUNDDOWN((H15)/6,1)+ROUNDDOWN((F15)/5,1)+ROUNDDOWN((E15)/3,1),0)+ROUND(ROUNDDOWN((T13+U13+U14)/25,1)+ROUNDDOWN((T14)/20,1)+ROUNDDOWN((S13)/20,1)+ROUNDDOWN((S14)/15,1)+ROUNDDOWN((R13)/20,1)+ROUNDDOWN((Q15)/6,1)+ROUNDDOWN((O15)/5,1)+ROUNDDOWN((N15)/3,1),0),
IF(AG13="E",ROUND(ROUNDDOWN((K13+L13)/30,1)+ROUNDDOWN((L14)/25,1)+ROUNDDOWN((K14)/20,1)+ROUNDDOWN((J13+J14)/15,1)+ROUNDDOWN((I13)/6,1)+ROUNDDOWN((H15)/6,1)+ROUNDDOWN((F15)/5,1)+ROUNDDOWN((E15)/3,1),0)+ROUND(ROUNDDOWN((T13+U13)/30,1)+ROUNDDOWN((U14)/25,1)+ROUNDDOWN((T14)/20,1)+ROUNDDOWN((S13+S14)/15,1)+ROUNDDOWN((R13)/6,1)+ROUNDDOWN((Q15)/6,1)+ROUNDDOWN((O15)/5,1)+ROUNDDOWN((N15)/3,1),0),
IF(AG13="F",ROUND(ROUNDDOWN((K13+L13)/30,1)+ROUNDDOWN((L14)/25,1)+ROUNDDOWN((K14)/20,1)+ROUNDDOWN((J13+J14)/15,1)+ROUNDDOWN((I13)/15,1)+ROUNDDOWN((H15)/6,1)+ROUNDDOWN((F15)/5,1)+ROUNDDOWN((E15)/3,1),0)+ROUND(ROUNDDOWN((T13+U13)/30,1)+ROUNDDOWN((U14)/25,1)+ROUNDDOWN((T14)/20,1)+ROUNDDOWN((S13+S14)/15,1)+ROUNDDOWN((R13)/15,1)+ROUNDDOWN((Q15)/6,1)+ROUNDDOWN((O15)/5,1)+ROUNDDOWN((N15)/3,1),0),
IF(AG13="G",ROUND(ROUNDDOWN((K13+L13)/30,1)+ROUNDDOWN((L14)/25,1)+ROUNDDOWN((K14)/20,1)+ROUNDDOWN((J13)/20,1)+ROUNDDOWN((J14)/15,1)+ROUNDDOWN((I13)/6,1)+ROUNDDOWN((H15)/6,1)+ROUNDDOWN((F15)/5,1)+ROUNDDOWN((E15)/3,1),0)+ROUND(ROUNDDOWN((T13+U13)/30,1)+ROUNDDOWN((U14)/25,1)+ROUNDDOWN((T14)/20,1)+ROUNDDOWN((S13)/20,1)+ROUNDDOWN((S14)/15,1)+ROUNDDOWN((R13)/6,1)+ROUNDDOWN((Q15)/6,1)+ROUNDDOWN((O15)/5,1)+ROUNDDOWN((N15)/3,1),0),
IF(AG13="H",ROUND(ROUNDDOWN((K13+L13)/30,1)+ROUNDDOWN((L14)/25,1)+ROUNDDOWN((K14)/20,1)+ROUNDDOWN((J13)/20,1)+ROUNDDOWN((J14)/15,1)+ROUNDDOWN((I13)/20,1)+ROUNDDOWN((H15)/6,1)+ROUNDDOWN((F15)/5,1)+ROUNDDOWN((E15)/3,1),0)+ROUND(ROUNDDOWN((T13+U13)/30,1)+ROUNDDOWN((U14)/25,1)+ROUNDDOWN((T14)/20,1)+ROUNDDOWN((S13)/20,1)+ROUNDDOWN((S14)/15,1)+ROUNDDOWN((R13)/20,1)+ROUNDDOWN((Q15)/6,1)+ROUNDDOWN((O15)/5,1)+ROUNDDOWN((N15)/3,1),0))))))))))</f>
        <v>0</v>
      </c>
      <c r="AJ13" s="613">
        <f t="shared" ref="AJ13" si="14">AB13+AD13+AE13+AE14+AI13-AF13</f>
        <v>2</v>
      </c>
      <c r="AK13" s="714">
        <f t="shared" ref="AK13" si="15">IF(AG13="判定不能","年齢別配置基準エラー",
IF(OR(AG13="A",AG13="C",AG13="E",AG13="G"),
ROUND(ROUNDDOWN((L13+L14+K13)/25,1)+ROUNDDOWN((K14)/20,1)+ROUNDDOWN((J13+J14)/15,1)+ROUNDDOWN((I13)/6,1)+ROUNDDOWN((H15)/6,1)+ROUNDDOWN((F15)/5,1)+ROUNDDOWN((E15)/3,1),0)+ROUND(ROUNDDOWN((U13+U14+T13)/25,1)+ROUNDDOWN((T14)/20,1)+ROUNDDOWN((S13+S14)/15,1)+ROUNDDOWN((R13)/6,1)+ROUNDDOWN((Q15)/6,1)+ROUNDDOWN((O15)/5,1)+ROUNDDOWN((N15)/3,1),0)+AB13+AD13+AE13+AE14-AF13,
ROUND(ROUNDDOWN((L13+L14+K13)/25,1)+ROUNDDOWN((K14)/20,1)+ROUNDDOWN((J13+J14)/15,1)+ROUNDDOWN((I13)/15,1)+ROUNDDOWN((H15)/6,1)+ROUNDDOWN((F15)/5,1)+ROUNDDOWN((E15)/3,1),0)+ROUND(ROUNDDOWN((U13+U14+T13)/25,1)+ROUNDDOWN((T14)/20,1)+ROUNDDOWN((S13+S14)/15,1)+ROUNDDOWN((R13)/15,1)+ROUNDDOWN((Q15)/6,1)+ROUNDDOWN((O15)/5,1)+ROUNDDOWN((N15)/3,1),0)+AB13+AD13+AE13+AE14-AF13))</f>
        <v>2</v>
      </c>
      <c r="AL13" s="388">
        <f>IFERROR(ROUND(((W13+Y13)/(W13+Y13+W14+Y14))*AM13,1),0)</f>
        <v>0</v>
      </c>
      <c r="AM13" s="607">
        <f>'(R6)年齢別配置基準'!C16</f>
        <v>0</v>
      </c>
      <c r="AN13" s="604"/>
      <c r="AO13" s="626"/>
      <c r="AP13" s="569">
        <f>IF(AO13="専任",0,1)</f>
        <v>1</v>
      </c>
      <c r="AQ13" s="249">
        <f>IFERROR(AP13*(ROUND((W13+Y13)/(Z13+X13),1)),0)</f>
        <v>0</v>
      </c>
      <c r="AR13" s="613">
        <f t="shared" ref="AR13" si="16">AJ13+AM13+AN13+AP13</f>
        <v>3</v>
      </c>
      <c r="AS13" s="518"/>
      <c r="AT13" s="518"/>
      <c r="AU13" s="528">
        <f>$AU$7</f>
        <v>0</v>
      </c>
      <c r="AV13" s="528">
        <f>SUM('様式１－１（【本園分】標準時間対応）'!BA11:BA12)</f>
        <v>0</v>
      </c>
      <c r="AW13" s="528">
        <f>SUM('様式１－２（【分園分】標準時間対応）'!BA11:BA12)</f>
        <v>0</v>
      </c>
      <c r="AX13" s="525">
        <f>IF(OR(AND('様式１－１（【本園分】標準時間対応）'!J11&gt;0, '様式１－１（【本園分】標準時間対応）'!R11&gt;0), '様式１－１（【本園分】標準時間対応）'!BC11&gt;=ROUND((C14+C15)*0.3,0)),1,0) + IF(OR(AND('様式１－２（【分園分】標準時間対応）'!J11&gt;0, '様式１－２（【分園分】標準時間対応）'!R11&gt;0), '様式１－２（【分園分】標準時間対応）'!BC11&gt;=ROUND((D14+D15)*0.3,0)),1,0)</f>
        <v>2</v>
      </c>
      <c r="AY13" s="531">
        <f>2-AB13</f>
        <v>0</v>
      </c>
      <c r="AZ13" s="551">
        <f t="shared" ref="AZ13" si="17">SUM(AR13:AY15)</f>
        <v>5</v>
      </c>
      <c r="BA13" s="200"/>
      <c r="BC13" s="560"/>
      <c r="BD13" s="660">
        <f>'様式２（専従の常勤）'!I58</f>
        <v>0</v>
      </c>
      <c r="BE13" s="620">
        <f>COUNTIFS('様式３（非専従の常勤＋非常勤）'!$R$8:$R$37,"&gt;=1")+'様式２（専従の常勤）'!I70</f>
        <v>0</v>
      </c>
      <c r="BF13" s="657">
        <f>'様式３（非専従の常勤＋非常勤）'!$S$41</f>
        <v>0</v>
      </c>
      <c r="BG13" s="647"/>
      <c r="BH13" s="703">
        <f>COUNTIFS('様式３（非専従の常勤＋非常勤）'!$R$50:$R$54,"&gt;=1")</f>
        <v>0</v>
      </c>
      <c r="BI13" s="688">
        <f>ROUNDDOWN('様式３（非専従の常勤＋非常勤）'!$R$57,1)</f>
        <v>0</v>
      </c>
      <c r="BJ13" s="613">
        <f>BD13+BF13+IF((BG13+BI13)&gt;=AM13,AM13,(BG13+BI13))</f>
        <v>0</v>
      </c>
      <c r="BK13" s="613">
        <f t="shared" ref="BK13" si="18">BJ13-AR13</f>
        <v>-3</v>
      </c>
      <c r="BL13" s="613">
        <f t="shared" ref="BL13" si="19">BJ13-(AK13+AM13+AN13+AP13)</f>
        <v>-3</v>
      </c>
      <c r="BN13" s="685"/>
      <c r="BO13" s="469" t="str">
        <f t="shared" ref="BO13" si="20">IF(BN13&gt;=0.2,BJ13-AR13-BN13,"")</f>
        <v/>
      </c>
      <c r="BS13" s="515" t="s">
        <v>3</v>
      </c>
      <c r="BT13" s="311" t="s">
        <v>71</v>
      </c>
      <c r="BU13" s="312">
        <f>AA13+AC13+AE13+AH13+AL13+AN13+AQ13</f>
        <v>0</v>
      </c>
      <c r="BV13" s="313">
        <f>ROUND(BU13/(BU13+BU14),2)</f>
        <v>0</v>
      </c>
      <c r="BX13" s="515" t="s">
        <v>3</v>
      </c>
      <c r="BY13" s="311" t="s">
        <v>71</v>
      </c>
      <c r="BZ13" s="314">
        <f>AE13+AH13</f>
        <v>0</v>
      </c>
      <c r="CA13" s="313">
        <f t="shared" ref="CA13" si="21">ROUND(BZ13/(BZ13+BZ14),2)</f>
        <v>0</v>
      </c>
    </row>
    <row r="14" spans="1:79" ht="27" customHeight="1">
      <c r="A14" s="654"/>
      <c r="B14" s="72" t="s">
        <v>72</v>
      </c>
      <c r="C14" s="256">
        <f t="shared" si="10"/>
        <v>0</v>
      </c>
      <c r="D14" s="256">
        <f t="shared" si="0"/>
        <v>0</v>
      </c>
      <c r="E14" s="71"/>
      <c r="F14" s="71"/>
      <c r="G14" s="71"/>
      <c r="H14" s="71"/>
      <c r="I14" s="71"/>
      <c r="J14" s="55"/>
      <c r="K14" s="55"/>
      <c r="L14" s="55"/>
      <c r="M14" s="328"/>
      <c r="N14" s="71"/>
      <c r="O14" s="71"/>
      <c r="P14" s="71"/>
      <c r="Q14" s="71"/>
      <c r="R14" s="71"/>
      <c r="S14" s="55"/>
      <c r="T14" s="55"/>
      <c r="U14" s="55"/>
      <c r="V14" s="331"/>
      <c r="W14" s="56">
        <f>SUM(J14:L14)</f>
        <v>0</v>
      </c>
      <c r="X14" s="537"/>
      <c r="Y14" s="56">
        <f>SUM(S14:U14)</f>
        <v>0</v>
      </c>
      <c r="Z14" s="540"/>
      <c r="AA14" s="584">
        <f>IF(C14+C15&lt;=90,1,0)+IF(D14+D15&lt;=90,1,0)</f>
        <v>2</v>
      </c>
      <c r="AB14" s="595"/>
      <c r="AC14" s="586">
        <f>AD13</f>
        <v>0</v>
      </c>
      <c r="AD14" s="595"/>
      <c r="AE14" s="582">
        <f>IF($W14+$W15&gt;0,1,0)+IF($Y14+$Y15&gt;0,1,0)</f>
        <v>0</v>
      </c>
      <c r="AF14" s="624"/>
      <c r="AG14" s="611"/>
      <c r="AH14" s="591">
        <f>AI13-AH13</f>
        <v>0</v>
      </c>
      <c r="AI14" s="589"/>
      <c r="AJ14" s="614"/>
      <c r="AK14" s="715"/>
      <c r="AL14" s="383">
        <f>AM13-AL13</f>
        <v>0</v>
      </c>
      <c r="AM14" s="608"/>
      <c r="AN14" s="605"/>
      <c r="AO14" s="627"/>
      <c r="AP14" s="570"/>
      <c r="AQ14" s="567">
        <f>IFERROR(AP13*(ROUND((W14+W15+Y14+Y15)/(Z13+X13),1)),0)</f>
        <v>0</v>
      </c>
      <c r="AR14" s="614"/>
      <c r="AS14" s="519"/>
      <c r="AT14" s="519"/>
      <c r="AU14" s="529"/>
      <c r="AV14" s="529"/>
      <c r="AW14" s="529"/>
      <c r="AX14" s="526"/>
      <c r="AY14" s="532"/>
      <c r="AZ14" s="552"/>
      <c r="BA14" s="200"/>
      <c r="BC14" s="560"/>
      <c r="BD14" s="661"/>
      <c r="BE14" s="621" t="e">
        <v>#VALUE!</v>
      </c>
      <c r="BF14" s="658"/>
      <c r="BG14" s="648"/>
      <c r="BH14" s="704" t="e">
        <v>#VALUE!</v>
      </c>
      <c r="BI14" s="689"/>
      <c r="BJ14" s="614"/>
      <c r="BK14" s="614"/>
      <c r="BL14" s="614"/>
      <c r="BN14" s="686"/>
      <c r="BO14" s="470"/>
      <c r="BS14" s="516"/>
      <c r="BT14" s="512" t="s">
        <v>155</v>
      </c>
      <c r="BU14" s="778">
        <f>AA14+AC14+AE14+AH14+AL14+AQ14+AU13+AV13+AW13+AX13+AY13</f>
        <v>4</v>
      </c>
      <c r="BV14" s="514">
        <f>1-BV13</f>
        <v>1</v>
      </c>
      <c r="BX14" s="516"/>
      <c r="BY14" s="512" t="s">
        <v>155</v>
      </c>
      <c r="BZ14" s="513">
        <f>AA14+AC14+AH14+AE14</f>
        <v>2</v>
      </c>
      <c r="CA14" s="514">
        <f t="shared" ref="CA14" si="22">ROUND(BZ14/(BZ13+BZ14),2)</f>
        <v>1</v>
      </c>
    </row>
    <row r="15" spans="1:79" ht="27" customHeight="1">
      <c r="A15" s="655"/>
      <c r="B15" s="72" t="s">
        <v>73</v>
      </c>
      <c r="C15" s="256">
        <f t="shared" si="10"/>
        <v>0</v>
      </c>
      <c r="D15" s="256">
        <f t="shared" si="0"/>
        <v>0</v>
      </c>
      <c r="E15" s="55"/>
      <c r="F15" s="55"/>
      <c r="G15" s="73"/>
      <c r="H15" s="55"/>
      <c r="I15" s="71"/>
      <c r="J15" s="71"/>
      <c r="K15" s="71"/>
      <c r="L15" s="71"/>
      <c r="M15" s="328"/>
      <c r="N15" s="55"/>
      <c r="O15" s="55"/>
      <c r="P15" s="73"/>
      <c r="Q15" s="55"/>
      <c r="R15" s="71"/>
      <c r="S15" s="71"/>
      <c r="T15" s="71"/>
      <c r="U15" s="71"/>
      <c r="V15" s="331"/>
      <c r="W15" s="56">
        <f>SUM(E15:F15,H15)</f>
        <v>0</v>
      </c>
      <c r="X15" s="656"/>
      <c r="Y15" s="56">
        <f>SUM(N15:O15,Q15)</f>
        <v>0</v>
      </c>
      <c r="Z15" s="652"/>
      <c r="AA15" s="597"/>
      <c r="AB15" s="596"/>
      <c r="AC15" s="593"/>
      <c r="AD15" s="596"/>
      <c r="AE15" s="583"/>
      <c r="AF15" s="625"/>
      <c r="AG15" s="612"/>
      <c r="AH15" s="592"/>
      <c r="AI15" s="590"/>
      <c r="AJ15" s="615"/>
      <c r="AK15" s="716"/>
      <c r="AL15" s="389"/>
      <c r="AM15" s="609"/>
      <c r="AN15" s="606"/>
      <c r="AO15" s="631"/>
      <c r="AP15" s="571"/>
      <c r="AQ15" s="568"/>
      <c r="AR15" s="615"/>
      <c r="AS15" s="520"/>
      <c r="AT15" s="520"/>
      <c r="AU15" s="530"/>
      <c r="AV15" s="530"/>
      <c r="AW15" s="530"/>
      <c r="AX15" s="527"/>
      <c r="AY15" s="533"/>
      <c r="AZ15" s="553"/>
      <c r="BA15" s="200"/>
      <c r="BC15" s="560"/>
      <c r="BD15" s="662"/>
      <c r="BE15" s="622" t="e">
        <v>#VALUE!</v>
      </c>
      <c r="BF15" s="659"/>
      <c r="BG15" s="649"/>
      <c r="BH15" s="705" t="e">
        <v>#VALUE!</v>
      </c>
      <c r="BI15" s="690"/>
      <c r="BJ15" s="615"/>
      <c r="BK15" s="615"/>
      <c r="BL15" s="615"/>
      <c r="BN15" s="687"/>
      <c r="BO15" s="471"/>
      <c r="BS15" s="517"/>
      <c r="BT15" s="512"/>
      <c r="BU15" s="778"/>
      <c r="BV15" s="514"/>
      <c r="BX15" s="517"/>
      <c r="BY15" s="512"/>
      <c r="BZ15" s="513"/>
      <c r="CA15" s="514"/>
    </row>
    <row r="16" spans="1:79" ht="27" customHeight="1">
      <c r="A16" s="653" t="s">
        <v>4</v>
      </c>
      <c r="B16" s="72" t="s">
        <v>71</v>
      </c>
      <c r="C16" s="255">
        <f t="shared" si="10"/>
        <v>0</v>
      </c>
      <c r="D16" s="255">
        <f t="shared" si="0"/>
        <v>0</v>
      </c>
      <c r="E16" s="71"/>
      <c r="F16" s="71"/>
      <c r="G16" s="71"/>
      <c r="H16" s="71"/>
      <c r="I16" s="55"/>
      <c r="J16" s="222"/>
      <c r="K16" s="55"/>
      <c r="L16" s="55"/>
      <c r="M16" s="328"/>
      <c r="N16" s="71"/>
      <c r="O16" s="71"/>
      <c r="P16" s="71"/>
      <c r="Q16" s="71"/>
      <c r="R16" s="55"/>
      <c r="S16" s="222"/>
      <c r="T16" s="55"/>
      <c r="U16" s="55"/>
      <c r="V16" s="331"/>
      <c r="W16" s="56">
        <f>SUM(I16:L16)</f>
        <v>0</v>
      </c>
      <c r="X16" s="536">
        <f>SUM(W16:W18)</f>
        <v>0</v>
      </c>
      <c r="Y16" s="56">
        <f>SUM(R16:U16)</f>
        <v>0</v>
      </c>
      <c r="Z16" s="539">
        <f>SUM(Y16:Y18)</f>
        <v>0</v>
      </c>
      <c r="AA16" s="207"/>
      <c r="AB16" s="594">
        <f>AA17</f>
        <v>2</v>
      </c>
      <c r="AC16" s="384"/>
      <c r="AD16" s="594">
        <f>IF('様式１－１（【本園分】標準時間対応）'!BC13&gt;0,1,0)+IF('様式１－２（【分園分】標準時間対応）'!BC13&gt;0,1,0)</f>
        <v>0</v>
      </c>
      <c r="AE16" s="382">
        <f>IF($W16&gt;0,1,0)+IF($Y16&gt;0,1,0)</f>
        <v>0</v>
      </c>
      <c r="AF16" s="623"/>
      <c r="AG16" s="610" t="str">
        <f>'(R6)年齢別配置基準'!I17</f>
        <v>H</v>
      </c>
      <c r="AH16" s="399">
        <f>IF(AG16="判定不能","年齢別配置基準エラー",
IF(AG16="A",ROUND(ROUNDDOWN((L16+K16)/25,1)+ROUNDDOWN((J16)/15,1)+ROUNDDOWN((I16)/6,1),0)+ROUND(ROUNDDOWN((U16+T16)/25,1)+ROUNDDOWN((S16)/15,1)+ROUNDDOWN((R16)/6,1),0),
IF(AG16="B",ROUND(ROUNDDOWN((L16+K16)/25,1)+ROUNDDOWN((J16)/15,1)+ROUNDDOWN((I16)/15,1),0)+ROUND(ROUNDDOWN((U16+T16)/25,1)+ROUNDDOWN((S16)/15,1)+ROUNDDOWN((R16)/15,1),0),
IF(AG16="C",ROUND(ROUNDDOWN((L16+K16)/25,1)+ROUNDDOWN((J16)/20,1)+ROUNDDOWN((I16)/6,1),0)+ROUND(ROUNDDOWN((U16+T16)/25,1)+ROUNDDOWN((S16)/20,1)+ROUNDDOWN((R16)/6,1),0),
IF(AG16="D",ROUND(ROUNDDOWN((L16+K16)/25,1)+ROUNDDOWN((J16)/20,1)+ROUNDDOWN((I16)/20,1),0)+ROUND(ROUNDDOWN((U16+T16)/25,1)+ROUNDDOWN((S16)/20,1)+ROUNDDOWN((R16)/20,1),0),
IF(AG16="E",ROUND(ROUNDDOWN((L16+K16)/30,1)+ROUNDDOWN((J16)/15,1)+ROUNDDOWN((I16)/6,1),0)+ROUND(ROUNDDOWN((U16+T16)/30,1)+ROUNDDOWN((S16)/15,1)+ROUNDDOWN((R16)/6,1),0),
IF(AG16="F",ROUND(ROUNDDOWN((L16+K16)/30,1)+ROUNDDOWN((J16)/15,1)+ROUNDDOWN((I16)/15,1),0)+ROUND(ROUNDDOWN((U16+T16)/30,1)+ROUNDDOWN((S16)/15,1)+ROUNDDOWN((R16)/15,1),0),
IF(AG16="G",ROUND(ROUNDDOWN((L16+K16)/30,1)+ROUNDDOWN((J16)/20,1)+ROUNDDOWN((I16)/6,1),0)+ROUND(ROUNDDOWN((U16+T16)/30,1)+ROUNDDOWN((S16)/20,1)+ROUNDDOWN((R16)/6,1),0),
IF(AG16="H",ROUND(ROUNDDOWN((L16+K16)/30,1)+ROUNDDOWN((J16)/20,1)+ROUNDDOWN((I16)/20,1),0)+ROUND(ROUNDDOWN((U16+T16)/30,1)+ROUNDDOWN((S16)/20,1)+ROUNDDOWN((R16)/20,1),0))))))))))</f>
        <v>0</v>
      </c>
      <c r="AI16" s="588">
        <f t="shared" ref="AI16" si="23">IF(AG16="判定不能","年齢別配置基準エラー",
IF(AG16="A",ROUND(ROUNDDOWN((K16+L16+L17)/25,1)+ROUNDDOWN((K17)/20,1)+ROUNDDOWN((J16+J17)/15,1)+ROUNDDOWN((I16)/6,1)+ROUNDDOWN((H18)/6,1)+ROUNDDOWN((F18)/5,1)+ROUNDDOWN((E18)/3,1),0)+ROUND(ROUNDDOWN((T16+U16+U17)/25,1)+ROUNDDOWN((T17)/20,1)+ROUNDDOWN((S16+S17)/15,1)+ROUNDDOWN((R16)/6,1)+ROUNDDOWN((Q18)/6,1)+ROUNDDOWN((O18)/5,1)+ROUNDDOWN((N18)/3,1),0),
IF(AG16="B",ROUND(ROUNDDOWN((K16+L16+L17)/25,1)+ROUNDDOWN((K17)/20,1)+ROUNDDOWN((J16+J17)/15,1)+ROUNDDOWN((I16)/15,1)+ROUNDDOWN((H18)/6,1)+ROUNDDOWN((F18)/5,1)+ROUNDDOWN((E18)/3,1),0)+ROUND(ROUNDDOWN((T16+U16+U17)/25,1)+ROUNDDOWN((T17)/20,1)+ROUNDDOWN((S16+S17)/15,1)+ROUNDDOWN((R16)/15,1)+ROUNDDOWN((Q18)/6,1)+ROUNDDOWN((O18)/5,1)+ROUNDDOWN((N18)/3,1),0),
IF(AG16="C",ROUND(ROUNDDOWN((K16+L16+L17)/25,1)+ROUNDDOWN((K17)/20,1)+ROUNDDOWN((J16)/20,1)+ROUNDDOWN((J17)/15,1)+ROUNDDOWN((I16)/6,1)+ROUNDDOWN((H18)/6,1)+ROUNDDOWN((F18)/5,1)+ROUNDDOWN((E18)/3,1),0)+ROUND(ROUNDDOWN((T16+U16+U17)/25,1)+ROUNDDOWN((T17)/20,1)+ROUNDDOWN((S16)/20,1)+ROUNDDOWN((S17)/15,1)+ROUNDDOWN((R16)/6,1)+ROUNDDOWN((Q18)/6,1)+ROUNDDOWN((O18)/5,1)+ROUNDDOWN((N18)/3,1),0),
IF(AG16="D",ROUND(ROUNDDOWN((K16+L16+L17)/25,1)+ROUNDDOWN((K17)/20,1)+ROUNDDOWN((J16)/20,1)+ROUNDDOWN((J17)/15,1)+ROUNDDOWN((I16)/20,1)+ROUNDDOWN((H18)/6,1)+ROUNDDOWN((F18)/5,1)+ROUNDDOWN((E18)/3,1),0)+ROUND(ROUNDDOWN((T16+U16+U17)/25,1)+ROUNDDOWN((T17)/20,1)+ROUNDDOWN((S16)/20,1)+ROUNDDOWN((S17)/15,1)+ROUNDDOWN((R16)/20,1)+ROUNDDOWN((Q18)/6,1)+ROUNDDOWN((O18)/5,1)+ROUNDDOWN((N18)/3,1),0),
IF(AG16="E",ROUND(ROUNDDOWN((K16+L16)/30,1)+ROUNDDOWN((L17)/25,1)+ROUNDDOWN((K17)/20,1)+ROUNDDOWN((J16+J17)/15,1)+ROUNDDOWN((I16)/6,1)+ROUNDDOWN((H18)/6,1)+ROUNDDOWN((F18)/5,1)+ROUNDDOWN((E18)/3,1),0)+ROUND(ROUNDDOWN((T16+U16)/30,1)+ROUNDDOWN((U17)/25,1)+ROUNDDOWN((T17)/20,1)+ROUNDDOWN((S16+S17)/15,1)+ROUNDDOWN((R16)/6,1)+ROUNDDOWN((Q18)/6,1)+ROUNDDOWN((O18)/5,1)+ROUNDDOWN((N18)/3,1),0),
IF(AG16="F",ROUND(ROUNDDOWN((K16+L16)/30,1)+ROUNDDOWN((L17)/25,1)+ROUNDDOWN((K17)/20,1)+ROUNDDOWN((J16+J17)/15,1)+ROUNDDOWN((I16)/15,1)+ROUNDDOWN((H18)/6,1)+ROUNDDOWN((F18)/5,1)+ROUNDDOWN((E18)/3,1),0)+ROUND(ROUNDDOWN((T16+U16)/30,1)+ROUNDDOWN((U17)/25,1)+ROUNDDOWN((T17)/20,1)+ROUNDDOWN((S16+S17)/15,1)+ROUNDDOWN((R16)/15,1)+ROUNDDOWN((Q18)/6,1)+ROUNDDOWN((O18)/5,1)+ROUNDDOWN((N18)/3,1),0),
IF(AG16="G",ROUND(ROUNDDOWN((K16+L16)/30,1)+ROUNDDOWN((L17)/25,1)+ROUNDDOWN((K17)/20,1)+ROUNDDOWN((J16)/20,1)+ROUNDDOWN((J17)/15,1)+ROUNDDOWN((I16)/6,1)+ROUNDDOWN((H18)/6,1)+ROUNDDOWN((F18)/5,1)+ROUNDDOWN((E18)/3,1),0)+ROUND(ROUNDDOWN((T16+U16)/30,1)+ROUNDDOWN((U17)/25,1)+ROUNDDOWN((T17)/20,1)+ROUNDDOWN((S16)/20,1)+ROUNDDOWN((S17)/15,1)+ROUNDDOWN((R16)/6,1)+ROUNDDOWN((Q18)/6,1)+ROUNDDOWN((O18)/5,1)+ROUNDDOWN((N18)/3,1),0),
IF(AG16="H",ROUND(ROUNDDOWN((K16+L16)/30,1)+ROUNDDOWN((L17)/25,1)+ROUNDDOWN((K17)/20,1)+ROUNDDOWN((J16)/20,1)+ROUNDDOWN((J17)/15,1)+ROUNDDOWN((I16)/20,1)+ROUNDDOWN((H18)/6,1)+ROUNDDOWN((F18)/5,1)+ROUNDDOWN((E18)/3,1),0)+ROUND(ROUNDDOWN((T16+U16)/30,1)+ROUNDDOWN((U17)/25,1)+ROUNDDOWN((T17)/20,1)+ROUNDDOWN((S16)/20,1)+ROUNDDOWN((S17)/15,1)+ROUNDDOWN((R16)/20,1)+ROUNDDOWN((Q18)/6,1)+ROUNDDOWN((O18)/5,1)+ROUNDDOWN((N18)/3,1),0))))))))))</f>
        <v>0</v>
      </c>
      <c r="AJ16" s="613">
        <f t="shared" ref="AJ16" si="24">AB16+AD16+AE16+AE17+AI16-AF16</f>
        <v>2</v>
      </c>
      <c r="AK16" s="714">
        <f t="shared" ref="AK16" si="25">IF(AG16="判定不能","年齢別配置基準エラー",
IF(OR(AG16="A",AG16="C",AG16="E",AG16="G"),
ROUND(ROUNDDOWN((L16+L17+K16)/25,1)+ROUNDDOWN((K17)/20,1)+ROUNDDOWN((J16+J17)/15,1)+ROUNDDOWN((I16)/6,1)+ROUNDDOWN((H18)/6,1)+ROUNDDOWN((F18)/5,1)+ROUNDDOWN((E18)/3,1),0)+ROUND(ROUNDDOWN((U16+U17+T16)/25,1)+ROUNDDOWN((T17)/20,1)+ROUNDDOWN((S16+S17)/15,1)+ROUNDDOWN((R16)/6,1)+ROUNDDOWN((Q18)/6,1)+ROUNDDOWN((O18)/5,1)+ROUNDDOWN((N18)/3,1),0)+AB16+AD16+AE16+AE17-AF16,
ROUND(ROUNDDOWN((L16+L17+K16)/25,1)+ROUNDDOWN((K17)/20,1)+ROUNDDOWN((J16+J17)/15,1)+ROUNDDOWN((I16)/15,1)+ROUNDDOWN((H18)/6,1)+ROUNDDOWN((F18)/5,1)+ROUNDDOWN((E18)/3,1),0)+ROUND(ROUNDDOWN((U16+U17+T16)/25,1)+ROUNDDOWN((T17)/20,1)+ROUNDDOWN((S16+S17)/15,1)+ROUNDDOWN((R16)/15,1)+ROUNDDOWN((Q18)/6,1)+ROUNDDOWN((O18)/5,1)+ROUNDDOWN((N18)/3,1),0)+AB16+AD16+AE16+AE17-AF16))</f>
        <v>2</v>
      </c>
      <c r="AL16" s="388">
        <f>IFERROR(ROUND(((W16+Y16)/(W16+Y16+W17+Y17))*AM16,1),0)</f>
        <v>0</v>
      </c>
      <c r="AM16" s="607">
        <f>'(R6)年齢別配置基準'!C17</f>
        <v>0</v>
      </c>
      <c r="AN16" s="604"/>
      <c r="AO16" s="626"/>
      <c r="AP16" s="569">
        <f>IF(AO16="専任",0,1)</f>
        <v>1</v>
      </c>
      <c r="AQ16" s="249">
        <f>IFERROR(AP16*(ROUND((W16+Y16)/(Z16+X16),1)),0)</f>
        <v>0</v>
      </c>
      <c r="AR16" s="613">
        <f t="shared" ref="AR16" si="26">AJ16+AM16+AN16+AP16</f>
        <v>3</v>
      </c>
      <c r="AS16" s="518"/>
      <c r="AT16" s="518"/>
      <c r="AU16" s="528">
        <f>$AU$7</f>
        <v>0</v>
      </c>
      <c r="AV16" s="528">
        <f>SUM('様式１－１（【本園分】標準時間対応）'!BA13:BA14)</f>
        <v>0</v>
      </c>
      <c r="AW16" s="528">
        <f>SUM('様式１－２（【分園分】標準時間対応）'!BA13:BA14)</f>
        <v>0</v>
      </c>
      <c r="AX16" s="525">
        <f>IF(OR(AND('様式１－１（【本園分】標準時間対応）'!J13&gt;0, '様式１－１（【本園分】標準時間対応）'!R13&gt;0), '様式１－１（【本園分】標準時間対応）'!BC13&gt;=ROUND((C17+C18)*0.3,0)),1,0) + IF(OR(AND('様式１－２（【分園分】標準時間対応）'!J13&gt;0, '様式１－２（【分園分】標準時間対応）'!R13&gt;0), '様式１－２（【分園分】標準時間対応）'!BC13&gt;=ROUND((D17+D18)*0.3,0)),1,0)</f>
        <v>2</v>
      </c>
      <c r="AY16" s="531">
        <f>2-AB16</f>
        <v>0</v>
      </c>
      <c r="AZ16" s="551">
        <f t="shared" ref="AZ16" si="27">SUM(AR16:AY18)</f>
        <v>5</v>
      </c>
      <c r="BA16" s="200"/>
      <c r="BC16" s="560"/>
      <c r="BD16" s="660">
        <f>'様式２（専従の常勤）'!J58</f>
        <v>0</v>
      </c>
      <c r="BE16" s="620">
        <f>COUNTIFS('様式３（非専従の常勤＋非常勤）'!$T$8:$T$37,"&gt;=1")+'様式２（専従の常勤）'!J70</f>
        <v>0</v>
      </c>
      <c r="BF16" s="657">
        <f>'様式３（非専従の常勤＋非常勤）'!$U$41</f>
        <v>0</v>
      </c>
      <c r="BG16" s="647"/>
      <c r="BH16" s="703">
        <f>COUNTIFS('様式３（非専従の常勤＋非常勤）'!$T$50:$T$54,"&gt;=1")</f>
        <v>0</v>
      </c>
      <c r="BI16" s="688">
        <f>ROUNDDOWN('様式３（非専従の常勤＋非常勤）'!$T$57,1)</f>
        <v>0</v>
      </c>
      <c r="BJ16" s="613">
        <f>BD16+BF16+IF((BG16+BI16)&gt;=AM16,AM16,(BG16+BI16))</f>
        <v>0</v>
      </c>
      <c r="BK16" s="613">
        <f t="shared" ref="BK16" si="28">BJ16-AR16</f>
        <v>-3</v>
      </c>
      <c r="BL16" s="613">
        <f t="shared" ref="BL16" si="29">BJ16-(AK16+AM16+AN16+AP16)</f>
        <v>-3</v>
      </c>
      <c r="BN16" s="685"/>
      <c r="BO16" s="469" t="str">
        <f t="shared" ref="BO16" si="30">IF(BN16&gt;=0.2,BJ16-AR16-BN16,"")</f>
        <v/>
      </c>
      <c r="BS16" s="515" t="s">
        <v>4</v>
      </c>
      <c r="BT16" s="311" t="s">
        <v>71</v>
      </c>
      <c r="BU16" s="312">
        <f>AA16+AC16+AE16+AH16+AL16+AN16+AQ16</f>
        <v>0</v>
      </c>
      <c r="BV16" s="313">
        <f>ROUND(BU16/(BU16+BU17),2)</f>
        <v>0</v>
      </c>
      <c r="BX16" s="515" t="s">
        <v>4</v>
      </c>
      <c r="BY16" s="311" t="s">
        <v>71</v>
      </c>
      <c r="BZ16" s="314">
        <f>AE16+AH16</f>
        <v>0</v>
      </c>
      <c r="CA16" s="313">
        <f t="shared" ref="CA16" si="31">ROUND(BZ16/(BZ16+BZ17),2)</f>
        <v>0</v>
      </c>
    </row>
    <row r="17" spans="1:79" ht="27" customHeight="1">
      <c r="A17" s="654"/>
      <c r="B17" s="72" t="s">
        <v>72</v>
      </c>
      <c r="C17" s="256">
        <f t="shared" si="10"/>
        <v>0</v>
      </c>
      <c r="D17" s="256">
        <f t="shared" si="0"/>
        <v>0</v>
      </c>
      <c r="E17" s="71"/>
      <c r="F17" s="71"/>
      <c r="G17" s="71"/>
      <c r="H17" s="71"/>
      <c r="I17" s="71"/>
      <c r="J17" s="55"/>
      <c r="K17" s="55"/>
      <c r="L17" s="55"/>
      <c r="M17" s="328"/>
      <c r="N17" s="71"/>
      <c r="O17" s="71"/>
      <c r="P17" s="71"/>
      <c r="Q17" s="71"/>
      <c r="R17" s="71"/>
      <c r="S17" s="55"/>
      <c r="T17" s="55"/>
      <c r="U17" s="55"/>
      <c r="V17" s="331"/>
      <c r="W17" s="56">
        <f>SUM(J17:L17)</f>
        <v>0</v>
      </c>
      <c r="X17" s="537"/>
      <c r="Y17" s="56">
        <f>SUM(S17:U17)</f>
        <v>0</v>
      </c>
      <c r="Z17" s="540"/>
      <c r="AA17" s="584">
        <f>IF(C17+C18&lt;=90,1,0)+IF(D17+D18&lt;=90,1,0)</f>
        <v>2</v>
      </c>
      <c r="AB17" s="595"/>
      <c r="AC17" s="586">
        <f>AD16</f>
        <v>0</v>
      </c>
      <c r="AD17" s="595"/>
      <c r="AE17" s="582">
        <f>IF($W17+$W18&gt;0,1,0)+IF($Y17+$Y18&gt;0,1,0)</f>
        <v>0</v>
      </c>
      <c r="AF17" s="624"/>
      <c r="AG17" s="611"/>
      <c r="AH17" s="591">
        <f>AI16-AH16</f>
        <v>0</v>
      </c>
      <c r="AI17" s="589"/>
      <c r="AJ17" s="614"/>
      <c r="AK17" s="715"/>
      <c r="AL17" s="383">
        <f>AM16-AL16</f>
        <v>0</v>
      </c>
      <c r="AM17" s="608"/>
      <c r="AN17" s="605"/>
      <c r="AO17" s="627"/>
      <c r="AP17" s="570"/>
      <c r="AQ17" s="567">
        <f>IFERROR(AP16*(ROUND((W17+W18+Y17+Y18)/(Z16+X16),1)),0)</f>
        <v>0</v>
      </c>
      <c r="AR17" s="614"/>
      <c r="AS17" s="519"/>
      <c r="AT17" s="519"/>
      <c r="AU17" s="529"/>
      <c r="AV17" s="529"/>
      <c r="AW17" s="529"/>
      <c r="AX17" s="526"/>
      <c r="AY17" s="532"/>
      <c r="AZ17" s="552"/>
      <c r="BA17" s="200"/>
      <c r="BC17" s="560"/>
      <c r="BD17" s="661"/>
      <c r="BE17" s="621" t="e">
        <v>#VALUE!</v>
      </c>
      <c r="BF17" s="658"/>
      <c r="BG17" s="648"/>
      <c r="BH17" s="704" t="e">
        <v>#VALUE!</v>
      </c>
      <c r="BI17" s="689"/>
      <c r="BJ17" s="614"/>
      <c r="BK17" s="614"/>
      <c r="BL17" s="614"/>
      <c r="BN17" s="686"/>
      <c r="BO17" s="470"/>
      <c r="BS17" s="516"/>
      <c r="BT17" s="512" t="s">
        <v>155</v>
      </c>
      <c r="BU17" s="778">
        <f>AA17+AC17+AE17+AH17+AL17+AQ17+AU16+AV16+AW16+AX16+AY16</f>
        <v>4</v>
      </c>
      <c r="BV17" s="514">
        <f>1-BV16</f>
        <v>1</v>
      </c>
      <c r="BX17" s="516"/>
      <c r="BY17" s="512" t="s">
        <v>155</v>
      </c>
      <c r="BZ17" s="513">
        <f>AA17+AC17+AH17+AE17</f>
        <v>2</v>
      </c>
      <c r="CA17" s="514">
        <f t="shared" ref="CA17" si="32">ROUND(BZ17/(BZ16+BZ17),2)</f>
        <v>1</v>
      </c>
    </row>
    <row r="18" spans="1:79" ht="27" customHeight="1">
      <c r="A18" s="655"/>
      <c r="B18" s="72" t="s">
        <v>73</v>
      </c>
      <c r="C18" s="256">
        <f t="shared" si="10"/>
        <v>0</v>
      </c>
      <c r="D18" s="256">
        <f t="shared" si="0"/>
        <v>0</v>
      </c>
      <c r="E18" s="55"/>
      <c r="F18" s="55"/>
      <c r="G18" s="73"/>
      <c r="H18" s="55"/>
      <c r="I18" s="71"/>
      <c r="J18" s="71"/>
      <c r="K18" s="71"/>
      <c r="L18" s="71"/>
      <c r="M18" s="328"/>
      <c r="N18" s="55"/>
      <c r="O18" s="55"/>
      <c r="P18" s="73"/>
      <c r="Q18" s="55"/>
      <c r="R18" s="71"/>
      <c r="S18" s="71"/>
      <c r="T18" s="71"/>
      <c r="U18" s="71"/>
      <c r="V18" s="331"/>
      <c r="W18" s="56">
        <f>SUM(E18:F18,H18)</f>
        <v>0</v>
      </c>
      <c r="X18" s="656"/>
      <c r="Y18" s="56">
        <f>SUM(N18:O18,Q18)</f>
        <v>0</v>
      </c>
      <c r="Z18" s="652"/>
      <c r="AA18" s="597"/>
      <c r="AB18" s="596"/>
      <c r="AC18" s="593"/>
      <c r="AD18" s="596"/>
      <c r="AE18" s="583"/>
      <c r="AF18" s="625"/>
      <c r="AG18" s="612"/>
      <c r="AH18" s="592"/>
      <c r="AI18" s="590"/>
      <c r="AJ18" s="615"/>
      <c r="AK18" s="716"/>
      <c r="AL18" s="389"/>
      <c r="AM18" s="609"/>
      <c r="AN18" s="606"/>
      <c r="AO18" s="631"/>
      <c r="AP18" s="571"/>
      <c r="AQ18" s="568"/>
      <c r="AR18" s="615"/>
      <c r="AS18" s="520"/>
      <c r="AT18" s="520"/>
      <c r="AU18" s="530"/>
      <c r="AV18" s="530"/>
      <c r="AW18" s="530"/>
      <c r="AX18" s="527"/>
      <c r="AY18" s="533"/>
      <c r="AZ18" s="553"/>
      <c r="BA18" s="200"/>
      <c r="BC18" s="560"/>
      <c r="BD18" s="662"/>
      <c r="BE18" s="622" t="e">
        <v>#VALUE!</v>
      </c>
      <c r="BF18" s="659"/>
      <c r="BG18" s="649"/>
      <c r="BH18" s="705" t="e">
        <v>#VALUE!</v>
      </c>
      <c r="BI18" s="690"/>
      <c r="BJ18" s="615"/>
      <c r="BK18" s="615"/>
      <c r="BL18" s="615"/>
      <c r="BN18" s="687"/>
      <c r="BO18" s="471"/>
      <c r="BS18" s="517"/>
      <c r="BT18" s="512"/>
      <c r="BU18" s="778"/>
      <c r="BV18" s="514"/>
      <c r="BX18" s="517"/>
      <c r="BY18" s="512"/>
      <c r="BZ18" s="513"/>
      <c r="CA18" s="514"/>
    </row>
    <row r="19" spans="1:79" ht="27" customHeight="1">
      <c r="A19" s="653" t="s">
        <v>5</v>
      </c>
      <c r="B19" s="72" t="s">
        <v>71</v>
      </c>
      <c r="C19" s="255">
        <f t="shared" si="10"/>
        <v>0</v>
      </c>
      <c r="D19" s="255">
        <f t="shared" si="0"/>
        <v>0</v>
      </c>
      <c r="E19" s="71"/>
      <c r="F19" s="71"/>
      <c r="G19" s="71"/>
      <c r="H19" s="71"/>
      <c r="I19" s="55"/>
      <c r="J19" s="222"/>
      <c r="K19" s="55"/>
      <c r="L19" s="55"/>
      <c r="M19" s="328"/>
      <c r="N19" s="71"/>
      <c r="O19" s="71"/>
      <c r="P19" s="71"/>
      <c r="Q19" s="71"/>
      <c r="R19" s="55"/>
      <c r="S19" s="222"/>
      <c r="T19" s="55"/>
      <c r="U19" s="55"/>
      <c r="V19" s="331"/>
      <c r="W19" s="56">
        <f>SUM(I19:L19)</f>
        <v>0</v>
      </c>
      <c r="X19" s="536">
        <f>SUM(W19:W21)</f>
        <v>0</v>
      </c>
      <c r="Y19" s="56">
        <f>SUM(R19:U19)</f>
        <v>0</v>
      </c>
      <c r="Z19" s="539">
        <f>SUM(Y19:Y21)</f>
        <v>0</v>
      </c>
      <c r="AA19" s="207"/>
      <c r="AB19" s="594">
        <f t="shared" ref="AB19" si="33">AA20</f>
        <v>2</v>
      </c>
      <c r="AC19" s="384"/>
      <c r="AD19" s="594">
        <f>IF('様式１－１（【本園分】標準時間対応）'!BC15&gt;0,1,0)+IF('様式１－２（【分園分】標準時間対応）'!BC15&gt;0,1,0)</f>
        <v>0</v>
      </c>
      <c r="AE19" s="382">
        <f>IF($W19&gt;0,1,0)+IF($Y19&gt;0,1,0)</f>
        <v>0</v>
      </c>
      <c r="AF19" s="623"/>
      <c r="AG19" s="610" t="str">
        <f>'(R6)年齢別配置基準'!I18</f>
        <v>H</v>
      </c>
      <c r="AH19" s="399">
        <f>IF(AG19="判定不能","年齢別配置基準エラー",
IF(AG19="A",ROUND(ROUNDDOWN((L19+K19)/25,1)+ROUNDDOWN((J19)/15,1)+ROUNDDOWN((I19)/6,1),0)+ROUND(ROUNDDOWN((U19+T19)/25,1)+ROUNDDOWN((S19)/15,1)+ROUNDDOWN((R19)/6,1),0),
IF(AG19="B",ROUND(ROUNDDOWN((L19+K19)/25,1)+ROUNDDOWN((J19)/15,1)+ROUNDDOWN((I19)/15,1),0)+ROUND(ROUNDDOWN((U19+T19)/25,1)+ROUNDDOWN((S19)/15,1)+ROUNDDOWN((R19)/15,1),0),
IF(AG19="C",ROUND(ROUNDDOWN((L19+K19)/25,1)+ROUNDDOWN((J19)/20,1)+ROUNDDOWN((I19)/6,1),0)+ROUND(ROUNDDOWN((U19+T19)/25,1)+ROUNDDOWN((S19)/20,1)+ROUNDDOWN((R19)/6,1),0),
IF(AG19="D",ROUND(ROUNDDOWN((L19+K19)/25,1)+ROUNDDOWN((J19)/20,1)+ROUNDDOWN((I19)/20,1),0)+ROUND(ROUNDDOWN((U19+T19)/25,1)+ROUNDDOWN((S19)/20,1)+ROUNDDOWN((R19)/20,1),0),
IF(AG19="E",ROUND(ROUNDDOWN((L19+K19)/30,1)+ROUNDDOWN((J19)/15,1)+ROUNDDOWN((I19)/6,1),0)+ROUND(ROUNDDOWN((U19+T19)/30,1)+ROUNDDOWN((S19)/15,1)+ROUNDDOWN((R19)/6,1),0),
IF(AG19="F",ROUND(ROUNDDOWN((L19+K19)/30,1)+ROUNDDOWN((J19)/15,1)+ROUNDDOWN((I19)/15,1),0)+ROUND(ROUNDDOWN((U19+T19)/30,1)+ROUNDDOWN((S19)/15,1)+ROUNDDOWN((R19)/15,1),0),
IF(AG19="G",ROUND(ROUNDDOWN((L19+K19)/30,1)+ROUNDDOWN((J19)/20,1)+ROUNDDOWN((I19)/6,1),0)+ROUND(ROUNDDOWN((U19+T19)/30,1)+ROUNDDOWN((S19)/20,1)+ROUNDDOWN((R19)/6,1),0),
IF(AG19="H",ROUND(ROUNDDOWN((L19+K19)/30,1)+ROUNDDOWN((J19)/20,1)+ROUNDDOWN((I19)/20,1),0)+ROUND(ROUNDDOWN((U19+T19)/30,1)+ROUNDDOWN((S19)/20,1)+ROUNDDOWN((R19)/20,1),0))))))))))</f>
        <v>0</v>
      </c>
      <c r="AI19" s="588">
        <f t="shared" ref="AI19" si="34">IF(AG19="判定不能","年齢別配置基準エラー",
IF(AG19="A",ROUND(ROUNDDOWN((K19+L19+L20)/25,1)+ROUNDDOWN((K20)/20,1)+ROUNDDOWN((J19+J20)/15,1)+ROUNDDOWN((I19)/6,1)+ROUNDDOWN((H21)/6,1)+ROUNDDOWN((F21)/5,1)+ROUNDDOWN((E21)/3,1),0)+ROUND(ROUNDDOWN((T19+U19+U20)/25,1)+ROUNDDOWN((T20)/20,1)+ROUNDDOWN((S19+S20)/15,1)+ROUNDDOWN((R19)/6,1)+ROUNDDOWN((Q21)/6,1)+ROUNDDOWN((O21)/5,1)+ROUNDDOWN((N21)/3,1),0),
IF(AG19="B",ROUND(ROUNDDOWN((K19+L19+L20)/25,1)+ROUNDDOWN((K20)/20,1)+ROUNDDOWN((J19+J20)/15,1)+ROUNDDOWN((I19)/15,1)+ROUNDDOWN((H21)/6,1)+ROUNDDOWN((F21)/5,1)+ROUNDDOWN((E21)/3,1),0)+ROUND(ROUNDDOWN((T19+U19+U20)/25,1)+ROUNDDOWN((T20)/20,1)+ROUNDDOWN((S19+S20)/15,1)+ROUNDDOWN((R19)/15,1)+ROUNDDOWN((Q21)/6,1)+ROUNDDOWN((O21)/5,1)+ROUNDDOWN((N21)/3,1),0),
IF(AG19="C",ROUND(ROUNDDOWN((K19+L19+L20)/25,1)+ROUNDDOWN((K20)/20,1)+ROUNDDOWN((J19)/20,1)+ROUNDDOWN((J20)/15,1)+ROUNDDOWN((I19)/6,1)+ROUNDDOWN((H21)/6,1)+ROUNDDOWN((F21)/5,1)+ROUNDDOWN((E21)/3,1),0)+ROUND(ROUNDDOWN((T19+U19+U20)/25,1)+ROUNDDOWN((T20)/20,1)+ROUNDDOWN((S19)/20,1)+ROUNDDOWN((S20)/15,1)+ROUNDDOWN((R19)/6,1)+ROUNDDOWN((Q21)/6,1)+ROUNDDOWN((O21)/5,1)+ROUNDDOWN((N21)/3,1),0),
IF(AG19="D",ROUND(ROUNDDOWN((K19+L19+L20)/25,1)+ROUNDDOWN((K20)/20,1)+ROUNDDOWN((J19)/20,1)+ROUNDDOWN((J20)/15,1)+ROUNDDOWN((I19)/20,1)+ROUNDDOWN((H21)/6,1)+ROUNDDOWN((F21)/5,1)+ROUNDDOWN((E21)/3,1),0)+ROUND(ROUNDDOWN((T19+U19+U20)/25,1)+ROUNDDOWN((T20)/20,1)+ROUNDDOWN((S19)/20,1)+ROUNDDOWN((S20)/15,1)+ROUNDDOWN((R19)/20,1)+ROUNDDOWN((Q21)/6,1)+ROUNDDOWN((O21)/5,1)+ROUNDDOWN((N21)/3,1),0),
IF(AG19="E",ROUND(ROUNDDOWN((K19+L19)/30,1)+ROUNDDOWN((L20)/25,1)+ROUNDDOWN((K20)/20,1)+ROUNDDOWN((J19+J20)/15,1)+ROUNDDOWN((I19)/6,1)+ROUNDDOWN((H21)/6,1)+ROUNDDOWN((F21)/5,1)+ROUNDDOWN((E21)/3,1),0)+ROUND(ROUNDDOWN((T19+U19)/30,1)+ROUNDDOWN((U20)/25,1)+ROUNDDOWN((T20)/20,1)+ROUNDDOWN((S19+S20)/15,1)+ROUNDDOWN((R19)/6,1)+ROUNDDOWN((Q21)/6,1)+ROUNDDOWN((O21)/5,1)+ROUNDDOWN((N21)/3,1),0),
IF(AG19="F",ROUND(ROUNDDOWN((K19+L19)/30,1)+ROUNDDOWN((L20)/25,1)+ROUNDDOWN((K20)/20,1)+ROUNDDOWN((J19+J20)/15,1)+ROUNDDOWN((I19)/15,1)+ROUNDDOWN((H21)/6,1)+ROUNDDOWN((F21)/5,1)+ROUNDDOWN((E21)/3,1),0)+ROUND(ROUNDDOWN((T19+U19)/30,1)+ROUNDDOWN((U20)/25,1)+ROUNDDOWN((T20)/20,1)+ROUNDDOWN((S19+S20)/15,1)+ROUNDDOWN((R19)/15,1)+ROUNDDOWN((Q21)/6,1)+ROUNDDOWN((O21)/5,1)+ROUNDDOWN((N21)/3,1),0),
IF(AG19="G",ROUND(ROUNDDOWN((K19+L19)/30,1)+ROUNDDOWN((L20)/25,1)+ROUNDDOWN((K20)/20,1)+ROUNDDOWN((J19)/20,1)+ROUNDDOWN((J20)/15,1)+ROUNDDOWN((I19)/6,1)+ROUNDDOWN((H21)/6,1)+ROUNDDOWN((F21)/5,1)+ROUNDDOWN((E21)/3,1),0)+ROUND(ROUNDDOWN((T19+U19)/30,1)+ROUNDDOWN((U20)/25,1)+ROUNDDOWN((T20)/20,1)+ROUNDDOWN((S19)/20,1)+ROUNDDOWN((S20)/15,1)+ROUNDDOWN((R19)/6,1)+ROUNDDOWN((Q21)/6,1)+ROUNDDOWN((O21)/5,1)+ROUNDDOWN((N21)/3,1),0),
IF(AG19="H",ROUND(ROUNDDOWN((K19+L19)/30,1)+ROUNDDOWN((L20)/25,1)+ROUNDDOWN((K20)/20,1)+ROUNDDOWN((J19)/20,1)+ROUNDDOWN((J20)/15,1)+ROUNDDOWN((I19)/20,1)+ROUNDDOWN((H21)/6,1)+ROUNDDOWN((F21)/5,1)+ROUNDDOWN((E21)/3,1),0)+ROUND(ROUNDDOWN((T19+U19)/30,1)+ROUNDDOWN((U20)/25,1)+ROUNDDOWN((T20)/20,1)+ROUNDDOWN((S19)/20,1)+ROUNDDOWN((S20)/15,1)+ROUNDDOWN((R19)/20,1)+ROUNDDOWN((Q21)/6,1)+ROUNDDOWN((O21)/5,1)+ROUNDDOWN((N21)/3,1),0))))))))))</f>
        <v>0</v>
      </c>
      <c r="AJ19" s="613">
        <f t="shared" ref="AJ19" si="35">AB19+AD19+AE19+AE20+AI19-AF19</f>
        <v>2</v>
      </c>
      <c r="AK19" s="714">
        <f t="shared" ref="AK19" si="36">IF(AG19="判定不能","年齢別配置基準エラー",
IF(OR(AG19="A",AG19="C",AG19="E",AG19="G"),
ROUND(ROUNDDOWN((L19+L20+K19)/25,1)+ROUNDDOWN((K20)/20,1)+ROUNDDOWN((J19+J20)/15,1)+ROUNDDOWN((I19)/6,1)+ROUNDDOWN((H21)/6,1)+ROUNDDOWN((F21)/5,1)+ROUNDDOWN((E21)/3,1),0)+ROUND(ROUNDDOWN((U19+U20+T19)/25,1)+ROUNDDOWN((T20)/20,1)+ROUNDDOWN((S19+S20)/15,1)+ROUNDDOWN((R19)/6,1)+ROUNDDOWN((Q21)/6,1)+ROUNDDOWN((O21)/5,1)+ROUNDDOWN((N21)/3,1),0)+AB19+AD19+AE19+AE20-AF19,
ROUND(ROUNDDOWN((L19+L20+K19)/25,1)+ROUNDDOWN((K20)/20,1)+ROUNDDOWN((J19+J20)/15,1)+ROUNDDOWN((I19)/15,1)+ROUNDDOWN((H21)/6,1)+ROUNDDOWN((F21)/5,1)+ROUNDDOWN((E21)/3,1),0)+ROUND(ROUNDDOWN((U19+U20+T19)/25,1)+ROUNDDOWN((T20)/20,1)+ROUNDDOWN((S19+S20)/15,1)+ROUNDDOWN((R19)/15,1)+ROUNDDOWN((Q21)/6,1)+ROUNDDOWN((O21)/5,1)+ROUNDDOWN((N21)/3,1),0)+AB19+AD19+AE19+AE20-AF19))</f>
        <v>2</v>
      </c>
      <c r="AL19" s="388">
        <f>IFERROR(ROUND(((W19+Y19)/(W19+Y19+W20+Y20))*AM19,1),0)</f>
        <v>0</v>
      </c>
      <c r="AM19" s="607">
        <f>'(R6)年齢別配置基準'!C18</f>
        <v>0</v>
      </c>
      <c r="AN19" s="604"/>
      <c r="AO19" s="626"/>
      <c r="AP19" s="569">
        <f>IF(AO19="専任",0,1)</f>
        <v>1</v>
      </c>
      <c r="AQ19" s="249">
        <f>IFERROR(AP19*(ROUND((W19+Y19)/(Z19+X19),1)),0)</f>
        <v>0</v>
      </c>
      <c r="AR19" s="613">
        <f t="shared" ref="AR19" si="37">AJ19+AM19+AN19+AP19</f>
        <v>3</v>
      </c>
      <c r="AS19" s="518"/>
      <c r="AT19" s="518"/>
      <c r="AU19" s="528">
        <f>$AU$7</f>
        <v>0</v>
      </c>
      <c r="AV19" s="528">
        <f>SUM('様式１－１（【本園分】標準時間対応）'!BA15:BA16)</f>
        <v>0</v>
      </c>
      <c r="AW19" s="528">
        <f>SUM('様式１－２（【分園分】標準時間対応）'!BA15:BA16)</f>
        <v>0</v>
      </c>
      <c r="AX19" s="525">
        <f>IF(OR(AND('様式１－１（【本園分】標準時間対応）'!J15&gt;0, '様式１－１（【本園分】標準時間対応）'!R15&gt;0), '様式１－１（【本園分】標準時間対応）'!BC15&gt;=ROUND((C20+C21)*0.3,0)),1,0) + IF(OR(AND('様式１－２（【分園分】標準時間対応）'!J15&gt;0, '様式１－２（【分園分】標準時間対応）'!R15&gt;0), '様式１－２（【分園分】標準時間対応）'!BC15&gt;=ROUND((D20+D21)*0.3,0)),1,0)</f>
        <v>2</v>
      </c>
      <c r="AY19" s="531">
        <f>2-AB19</f>
        <v>0</v>
      </c>
      <c r="AZ19" s="551">
        <f t="shared" ref="AZ19" si="38">SUM(AR19:AY21)</f>
        <v>5</v>
      </c>
      <c r="BA19" s="200"/>
      <c r="BC19" s="560"/>
      <c r="BD19" s="660">
        <f>'様式２（専従の常勤）'!K58</f>
        <v>0</v>
      </c>
      <c r="BE19" s="620">
        <f>COUNTIFS('様式３（非専従の常勤＋非常勤）'!$V$8:$V$37,"&gt;=1")+'様式２（専従の常勤）'!K70</f>
        <v>0</v>
      </c>
      <c r="BF19" s="657">
        <f>'様式３（非専従の常勤＋非常勤）'!$W$41</f>
        <v>0</v>
      </c>
      <c r="BG19" s="647"/>
      <c r="BH19" s="703">
        <f>COUNTIFS('様式３（非専従の常勤＋非常勤）'!$V$50:$V$54,"&gt;=1")</f>
        <v>0</v>
      </c>
      <c r="BI19" s="688">
        <f>ROUNDDOWN('様式３（非専従の常勤＋非常勤）'!$V$57,1)</f>
        <v>0</v>
      </c>
      <c r="BJ19" s="613">
        <f>BD19+BF19+IF((BG19+BI19)&gt;=AM19,AM19,(BG19+BI19))</f>
        <v>0</v>
      </c>
      <c r="BK19" s="613">
        <f t="shared" ref="BK19" si="39">BJ19-AR19</f>
        <v>-3</v>
      </c>
      <c r="BL19" s="613">
        <f t="shared" ref="BL19" si="40">BJ19-(AK19+AM19+AN19+AP19)</f>
        <v>-3</v>
      </c>
      <c r="BN19" s="685"/>
      <c r="BO19" s="469" t="str">
        <f t="shared" ref="BO19" si="41">IF(BN19&gt;=0.2,BJ19-AR19-BN19,"")</f>
        <v/>
      </c>
      <c r="BS19" s="515" t="s">
        <v>5</v>
      </c>
      <c r="BT19" s="311" t="s">
        <v>71</v>
      </c>
      <c r="BU19" s="312">
        <f>AA19+AC19+AE19+AH19+AL19+AN19+AQ19</f>
        <v>0</v>
      </c>
      <c r="BV19" s="313">
        <f>ROUND(BU19/(BU19+BU20),2)</f>
        <v>0</v>
      </c>
      <c r="BX19" s="515" t="s">
        <v>5</v>
      </c>
      <c r="BY19" s="311" t="s">
        <v>71</v>
      </c>
      <c r="BZ19" s="314">
        <f>AE19+AH19</f>
        <v>0</v>
      </c>
      <c r="CA19" s="313">
        <f>ROUND(BZ19/(BZ19+BZ20),2)</f>
        <v>0</v>
      </c>
    </row>
    <row r="20" spans="1:79" ht="27" customHeight="1">
      <c r="A20" s="654"/>
      <c r="B20" s="72" t="s">
        <v>72</v>
      </c>
      <c r="C20" s="256">
        <f t="shared" si="10"/>
        <v>0</v>
      </c>
      <c r="D20" s="256">
        <f t="shared" si="0"/>
        <v>0</v>
      </c>
      <c r="E20" s="71"/>
      <c r="F20" s="71"/>
      <c r="G20" s="71"/>
      <c r="H20" s="71"/>
      <c r="I20" s="71"/>
      <c r="J20" s="55"/>
      <c r="K20" s="55"/>
      <c r="L20" s="55"/>
      <c r="M20" s="328"/>
      <c r="N20" s="71"/>
      <c r="O20" s="71"/>
      <c r="P20" s="71"/>
      <c r="Q20" s="71"/>
      <c r="R20" s="71"/>
      <c r="S20" s="55"/>
      <c r="T20" s="55"/>
      <c r="U20" s="55"/>
      <c r="V20" s="331"/>
      <c r="W20" s="56">
        <f>SUM(J20:L20)</f>
        <v>0</v>
      </c>
      <c r="X20" s="537"/>
      <c r="Y20" s="56">
        <f>SUM(S20:U20)</f>
        <v>0</v>
      </c>
      <c r="Z20" s="540"/>
      <c r="AA20" s="584">
        <f>IF(C20+C21&lt;=90,1,0)+IF(D20+D21&lt;=90,1,0)</f>
        <v>2</v>
      </c>
      <c r="AB20" s="595"/>
      <c r="AC20" s="586">
        <f>AD19</f>
        <v>0</v>
      </c>
      <c r="AD20" s="595"/>
      <c r="AE20" s="582">
        <f>IF($W20+$W21&gt;0,1,0)+IF($Y20+$Y21&gt;0,1,0)</f>
        <v>0</v>
      </c>
      <c r="AF20" s="624"/>
      <c r="AG20" s="611"/>
      <c r="AH20" s="591">
        <f>AI19-AH19</f>
        <v>0</v>
      </c>
      <c r="AI20" s="589"/>
      <c r="AJ20" s="614"/>
      <c r="AK20" s="715"/>
      <c r="AL20" s="383">
        <f>AM19-AL19</f>
        <v>0</v>
      </c>
      <c r="AM20" s="608"/>
      <c r="AN20" s="605"/>
      <c r="AO20" s="627"/>
      <c r="AP20" s="570"/>
      <c r="AQ20" s="567">
        <f>IFERROR(AP19*(ROUND((W20+W21+Y20+Y21)/(Z19+X19),1)),0)</f>
        <v>0</v>
      </c>
      <c r="AR20" s="614"/>
      <c r="AS20" s="519"/>
      <c r="AT20" s="519"/>
      <c r="AU20" s="529"/>
      <c r="AV20" s="529"/>
      <c r="AW20" s="529"/>
      <c r="AX20" s="526"/>
      <c r="AY20" s="532"/>
      <c r="AZ20" s="552"/>
      <c r="BA20" s="200"/>
      <c r="BC20" s="560"/>
      <c r="BD20" s="661"/>
      <c r="BE20" s="621" t="e">
        <v>#VALUE!</v>
      </c>
      <c r="BF20" s="658"/>
      <c r="BG20" s="648"/>
      <c r="BH20" s="704" t="e">
        <v>#VALUE!</v>
      </c>
      <c r="BI20" s="689"/>
      <c r="BJ20" s="614"/>
      <c r="BK20" s="614"/>
      <c r="BL20" s="614"/>
      <c r="BN20" s="686"/>
      <c r="BO20" s="470"/>
      <c r="BS20" s="516"/>
      <c r="BT20" s="512" t="s">
        <v>155</v>
      </c>
      <c r="BU20" s="778">
        <f>AA20+AC20+AE20+AH20+AL20+AQ20+AU19+AV19+AW19+AX19+AY19</f>
        <v>4</v>
      </c>
      <c r="BV20" s="514">
        <f>1-BV19</f>
        <v>1</v>
      </c>
      <c r="BX20" s="516"/>
      <c r="BY20" s="512" t="s">
        <v>155</v>
      </c>
      <c r="BZ20" s="513">
        <f>AA20+AC20+AH20+AE20</f>
        <v>2</v>
      </c>
      <c r="CA20" s="514">
        <f>ROUND(BZ20/(BZ19+BZ20),2)</f>
        <v>1</v>
      </c>
    </row>
    <row r="21" spans="1:79" ht="27" customHeight="1">
      <c r="A21" s="655"/>
      <c r="B21" s="72" t="s">
        <v>73</v>
      </c>
      <c r="C21" s="256">
        <f t="shared" si="10"/>
        <v>0</v>
      </c>
      <c r="D21" s="256">
        <f t="shared" si="0"/>
        <v>0</v>
      </c>
      <c r="E21" s="55"/>
      <c r="F21" s="55"/>
      <c r="G21" s="73"/>
      <c r="H21" s="55"/>
      <c r="I21" s="71"/>
      <c r="J21" s="71"/>
      <c r="K21" s="71"/>
      <c r="L21" s="71"/>
      <c r="M21" s="329"/>
      <c r="N21" s="55"/>
      <c r="O21" s="55"/>
      <c r="P21" s="73"/>
      <c r="Q21" s="55"/>
      <c r="R21" s="71"/>
      <c r="S21" s="71"/>
      <c r="T21" s="71"/>
      <c r="U21" s="71"/>
      <c r="V21" s="332"/>
      <c r="W21" s="57">
        <f>SUM(E21:F21,H21)</f>
        <v>0</v>
      </c>
      <c r="X21" s="656"/>
      <c r="Y21" s="56">
        <f>SUM(N21:O21,Q21)</f>
        <v>0</v>
      </c>
      <c r="Z21" s="652"/>
      <c r="AA21" s="597"/>
      <c r="AB21" s="596"/>
      <c r="AC21" s="593"/>
      <c r="AD21" s="596"/>
      <c r="AE21" s="583"/>
      <c r="AF21" s="625"/>
      <c r="AG21" s="612"/>
      <c r="AH21" s="592"/>
      <c r="AI21" s="590"/>
      <c r="AJ21" s="615"/>
      <c r="AK21" s="716"/>
      <c r="AL21" s="389"/>
      <c r="AM21" s="609"/>
      <c r="AN21" s="606"/>
      <c r="AO21" s="631"/>
      <c r="AP21" s="571"/>
      <c r="AQ21" s="568"/>
      <c r="AR21" s="615"/>
      <c r="AS21" s="520"/>
      <c r="AT21" s="520"/>
      <c r="AU21" s="530"/>
      <c r="AV21" s="530"/>
      <c r="AW21" s="530"/>
      <c r="AX21" s="527"/>
      <c r="AY21" s="533"/>
      <c r="AZ21" s="553"/>
      <c r="BA21" s="200"/>
      <c r="BC21" s="560"/>
      <c r="BD21" s="662"/>
      <c r="BE21" s="622" t="e">
        <v>#VALUE!</v>
      </c>
      <c r="BF21" s="659"/>
      <c r="BG21" s="649"/>
      <c r="BH21" s="705" t="e">
        <v>#VALUE!</v>
      </c>
      <c r="BI21" s="690"/>
      <c r="BJ21" s="615"/>
      <c r="BK21" s="615"/>
      <c r="BL21" s="615"/>
      <c r="BN21" s="687"/>
      <c r="BO21" s="471"/>
      <c r="BS21" s="517"/>
      <c r="BT21" s="512"/>
      <c r="BU21" s="778"/>
      <c r="BV21" s="514"/>
      <c r="BX21" s="517"/>
      <c r="BY21" s="512"/>
      <c r="BZ21" s="513"/>
      <c r="CA21" s="514"/>
    </row>
    <row r="22" spans="1:79" ht="27" customHeight="1">
      <c r="A22" s="653" t="s">
        <v>6</v>
      </c>
      <c r="B22" s="72" t="s">
        <v>71</v>
      </c>
      <c r="C22" s="255">
        <f t="shared" si="10"/>
        <v>0</v>
      </c>
      <c r="D22" s="255">
        <f t="shared" si="0"/>
        <v>0</v>
      </c>
      <c r="E22" s="71"/>
      <c r="F22" s="71"/>
      <c r="G22" s="71"/>
      <c r="H22" s="71"/>
      <c r="I22" s="55"/>
      <c r="J22" s="222"/>
      <c r="K22" s="55"/>
      <c r="L22" s="55"/>
      <c r="M22" s="328"/>
      <c r="N22" s="71"/>
      <c r="O22" s="71"/>
      <c r="P22" s="71"/>
      <c r="Q22" s="71"/>
      <c r="R22" s="55"/>
      <c r="S22" s="222"/>
      <c r="T22" s="55"/>
      <c r="U22" s="55"/>
      <c r="V22" s="331"/>
      <c r="W22" s="56">
        <f>SUM(I22:L22)</f>
        <v>0</v>
      </c>
      <c r="X22" s="536">
        <f>SUM(W22:W24)</f>
        <v>0</v>
      </c>
      <c r="Y22" s="56">
        <f>SUM(R22:U22)</f>
        <v>0</v>
      </c>
      <c r="Z22" s="539">
        <f>SUM(Y22:Y24)</f>
        <v>0</v>
      </c>
      <c r="AA22" s="207"/>
      <c r="AB22" s="594">
        <f t="shared" ref="AB22" si="42">AA23</f>
        <v>2</v>
      </c>
      <c r="AC22" s="384"/>
      <c r="AD22" s="594">
        <f>IF('様式１－１（【本園分】標準時間対応）'!BC17&gt;0,1,0)+IF('様式１－２（【分園分】標準時間対応）'!BC17&gt;0,1,0)</f>
        <v>0</v>
      </c>
      <c r="AE22" s="382">
        <f>IF($W22&gt;0,1,0)+IF($Y22&gt;0,1,0)</f>
        <v>0</v>
      </c>
      <c r="AF22" s="623"/>
      <c r="AG22" s="610" t="str">
        <f>'(R6)年齢別配置基準'!I19</f>
        <v>H</v>
      </c>
      <c r="AH22" s="399">
        <f>IF(AG22="判定不能","年齢別配置基準エラー",
IF(AG22="A",ROUND(ROUNDDOWN((L22+K22)/25,1)+ROUNDDOWN((J22)/15,1)+ROUNDDOWN((I22)/6,1),0)+ROUND(ROUNDDOWN((U22+T22)/25,1)+ROUNDDOWN((S22)/15,1)+ROUNDDOWN((R22)/6,1),0),
IF(AG22="B",ROUND(ROUNDDOWN((L22+K22)/25,1)+ROUNDDOWN((J22)/15,1)+ROUNDDOWN((I22)/15,1),0)+ROUND(ROUNDDOWN((U22+T22)/25,1)+ROUNDDOWN((S22)/15,1)+ROUNDDOWN((R22)/15,1),0),
IF(AG22="C",ROUND(ROUNDDOWN((L22+K22)/25,1)+ROUNDDOWN((J22)/20,1)+ROUNDDOWN((I22)/6,1),0)+ROUND(ROUNDDOWN((U22+T22)/25,1)+ROUNDDOWN((S22)/20,1)+ROUNDDOWN((R22)/6,1),0),
IF(AG22="D",ROUND(ROUNDDOWN((L22+K22)/25,1)+ROUNDDOWN((J22)/20,1)+ROUNDDOWN((I22)/20,1),0)+ROUND(ROUNDDOWN((U22+T22)/25,1)+ROUNDDOWN((S22)/20,1)+ROUNDDOWN((R22)/20,1),0),
IF(AG22="E",ROUND(ROUNDDOWN((L22+K22)/30,1)+ROUNDDOWN((J22)/15,1)+ROUNDDOWN((I22)/6,1),0)+ROUND(ROUNDDOWN((U22+T22)/30,1)+ROUNDDOWN((S22)/15,1)+ROUNDDOWN((R22)/6,1),0),
IF(AG22="F",ROUND(ROUNDDOWN((L22+K22)/30,1)+ROUNDDOWN((J22)/15,1)+ROUNDDOWN((I22)/15,1),0)+ROUND(ROUNDDOWN((U22+T22)/30,1)+ROUNDDOWN((S22)/15,1)+ROUNDDOWN((R22)/15,1),0),
IF(AG22="G",ROUND(ROUNDDOWN((L22+K22)/30,1)+ROUNDDOWN((J22)/20,1)+ROUNDDOWN((I22)/6,1),0)+ROUND(ROUNDDOWN((U22+T22)/30,1)+ROUNDDOWN((S22)/20,1)+ROUNDDOWN((R22)/6,1),0),
IF(AG22="H",ROUND(ROUNDDOWN((L22+K22)/30,1)+ROUNDDOWN((J22)/20,1)+ROUNDDOWN((I22)/20,1),0)+ROUND(ROUNDDOWN((U22+T22)/30,1)+ROUNDDOWN((S22)/20,1)+ROUNDDOWN((R22)/20,1),0))))))))))</f>
        <v>0</v>
      </c>
      <c r="AI22" s="588">
        <f t="shared" ref="AI22" si="43">IF(AG22="判定不能","年齢別配置基準エラー",
IF(AG22="A",ROUND(ROUNDDOWN((K22+L22+L23)/25,1)+ROUNDDOWN((K23)/20,1)+ROUNDDOWN((J22+J23)/15,1)+ROUNDDOWN((I22)/6,1)+ROUNDDOWN((H24)/6,1)+ROUNDDOWN((F24)/5,1)+ROUNDDOWN((E24)/3,1),0)+ROUND(ROUNDDOWN((T22+U22+U23)/25,1)+ROUNDDOWN((T23)/20,1)+ROUNDDOWN((S22+S23)/15,1)+ROUNDDOWN((R22)/6,1)+ROUNDDOWN((Q24)/6,1)+ROUNDDOWN((O24)/5,1)+ROUNDDOWN((N24)/3,1),0),
IF(AG22="B",ROUND(ROUNDDOWN((K22+L22+L23)/25,1)+ROUNDDOWN((K23)/20,1)+ROUNDDOWN((J22+J23)/15,1)+ROUNDDOWN((I22)/15,1)+ROUNDDOWN((H24)/6,1)+ROUNDDOWN((F24)/5,1)+ROUNDDOWN((E24)/3,1),0)+ROUND(ROUNDDOWN((T22+U22+U23)/25,1)+ROUNDDOWN((T23)/20,1)+ROUNDDOWN((S22+S23)/15,1)+ROUNDDOWN((R22)/15,1)+ROUNDDOWN((Q24)/6,1)+ROUNDDOWN((O24)/5,1)+ROUNDDOWN((N24)/3,1),0),
IF(AG22="C",ROUND(ROUNDDOWN((K22+L22+L23)/25,1)+ROUNDDOWN((K23)/20,1)+ROUNDDOWN((J22)/20,1)+ROUNDDOWN((J23)/15,1)+ROUNDDOWN((I22)/6,1)+ROUNDDOWN((H24)/6,1)+ROUNDDOWN((F24)/5,1)+ROUNDDOWN((E24)/3,1),0)+ROUND(ROUNDDOWN((T22+U22+U23)/25,1)+ROUNDDOWN((T23)/20,1)+ROUNDDOWN((S22)/20,1)+ROUNDDOWN((S23)/15,1)+ROUNDDOWN((R22)/6,1)+ROUNDDOWN((Q24)/6,1)+ROUNDDOWN((O24)/5,1)+ROUNDDOWN((N24)/3,1),0),
IF(AG22="D",ROUND(ROUNDDOWN((K22+L22+L23)/25,1)+ROUNDDOWN((K23)/20,1)+ROUNDDOWN((J22)/20,1)+ROUNDDOWN((J23)/15,1)+ROUNDDOWN((I22)/20,1)+ROUNDDOWN((H24)/6,1)+ROUNDDOWN((F24)/5,1)+ROUNDDOWN((E24)/3,1),0)+ROUND(ROUNDDOWN((T22+U22+U23)/25,1)+ROUNDDOWN((T23)/20,1)+ROUNDDOWN((S22)/20,1)+ROUNDDOWN((S23)/15,1)+ROUNDDOWN((R22)/20,1)+ROUNDDOWN((Q24)/6,1)+ROUNDDOWN((O24)/5,1)+ROUNDDOWN((N24)/3,1),0),
IF(AG22="E",ROUND(ROUNDDOWN((K22+L22)/30,1)+ROUNDDOWN((L23)/25,1)+ROUNDDOWN((K23)/20,1)+ROUNDDOWN((J22+J23)/15,1)+ROUNDDOWN((I22)/6,1)+ROUNDDOWN((H24)/6,1)+ROUNDDOWN((F24)/5,1)+ROUNDDOWN((E24)/3,1),0)+ROUND(ROUNDDOWN((T22+U22)/30,1)+ROUNDDOWN((U23)/25,1)+ROUNDDOWN((T23)/20,1)+ROUNDDOWN((S22+S23)/15,1)+ROUNDDOWN((R22)/6,1)+ROUNDDOWN((Q24)/6,1)+ROUNDDOWN((O24)/5,1)+ROUNDDOWN((N24)/3,1),0),
IF(AG22="F",ROUND(ROUNDDOWN((K22+L22)/30,1)+ROUNDDOWN((L23)/25,1)+ROUNDDOWN((K23)/20,1)+ROUNDDOWN((J22+J23)/15,1)+ROUNDDOWN((I22)/15,1)+ROUNDDOWN((H24)/6,1)+ROUNDDOWN((F24)/5,1)+ROUNDDOWN((E24)/3,1),0)+ROUND(ROUNDDOWN((T22+U22)/30,1)+ROUNDDOWN((U23)/25,1)+ROUNDDOWN((T23)/20,1)+ROUNDDOWN((S22+S23)/15,1)+ROUNDDOWN((R22)/15,1)+ROUNDDOWN((Q24)/6,1)+ROUNDDOWN((O24)/5,1)+ROUNDDOWN((N24)/3,1),0),
IF(AG22="G",ROUND(ROUNDDOWN((K22+L22)/30,1)+ROUNDDOWN((L23)/25,1)+ROUNDDOWN((K23)/20,1)+ROUNDDOWN((J22)/20,1)+ROUNDDOWN((J23)/15,1)+ROUNDDOWN((I22)/6,1)+ROUNDDOWN((H24)/6,1)+ROUNDDOWN((F24)/5,1)+ROUNDDOWN((E24)/3,1),0)+ROUND(ROUNDDOWN((T22+U22)/30,1)+ROUNDDOWN((U23)/25,1)+ROUNDDOWN((T23)/20,1)+ROUNDDOWN((S22)/20,1)+ROUNDDOWN((S23)/15,1)+ROUNDDOWN((R22)/6,1)+ROUNDDOWN((Q24)/6,1)+ROUNDDOWN((O24)/5,1)+ROUNDDOWN((N24)/3,1),0),
IF(AG22="H",ROUND(ROUNDDOWN((K22+L22)/30,1)+ROUNDDOWN((L23)/25,1)+ROUNDDOWN((K23)/20,1)+ROUNDDOWN((J22)/20,1)+ROUNDDOWN((J23)/15,1)+ROUNDDOWN((I22)/20,1)+ROUNDDOWN((H24)/6,1)+ROUNDDOWN((F24)/5,1)+ROUNDDOWN((E24)/3,1),0)+ROUND(ROUNDDOWN((T22+U22)/30,1)+ROUNDDOWN((U23)/25,1)+ROUNDDOWN((T23)/20,1)+ROUNDDOWN((S22)/20,1)+ROUNDDOWN((S23)/15,1)+ROUNDDOWN((R22)/20,1)+ROUNDDOWN((Q24)/6,1)+ROUNDDOWN((O24)/5,1)+ROUNDDOWN((N24)/3,1),0))))))))))</f>
        <v>0</v>
      </c>
      <c r="AJ22" s="613">
        <f t="shared" ref="AJ22" si="44">AB22+AD22+AE22+AE23+AI22-AF22</f>
        <v>2</v>
      </c>
      <c r="AK22" s="714">
        <f t="shared" ref="AK22" si="45">IF(AG22="判定不能","年齢別配置基準エラー",
IF(OR(AG22="A",AG22="C",AG22="E",AG22="G"),
ROUND(ROUNDDOWN((L22+L23+K22)/25,1)+ROUNDDOWN((K23)/20,1)+ROUNDDOWN((J22+J23)/15,1)+ROUNDDOWN((I22)/6,1)+ROUNDDOWN((H24)/6,1)+ROUNDDOWN((F24)/5,1)+ROUNDDOWN((E24)/3,1),0)+ROUND(ROUNDDOWN((U22+U23+T22)/25,1)+ROUNDDOWN((T23)/20,1)+ROUNDDOWN((S22+S23)/15,1)+ROUNDDOWN((R22)/6,1)+ROUNDDOWN((Q24)/6,1)+ROUNDDOWN((O24)/5,1)+ROUNDDOWN((N24)/3,1),0)+AB22+AD22+AE22+AE23-AF22,
ROUND(ROUNDDOWN((L22+L23+K22)/25,1)+ROUNDDOWN((K23)/20,1)+ROUNDDOWN((J22+J23)/15,1)+ROUNDDOWN((I22)/15,1)+ROUNDDOWN((H24)/6,1)+ROUNDDOWN((F24)/5,1)+ROUNDDOWN((E24)/3,1),0)+ROUND(ROUNDDOWN((U22+U23+T22)/25,1)+ROUNDDOWN((T23)/20,1)+ROUNDDOWN((S22+S23)/15,1)+ROUNDDOWN((R22)/15,1)+ROUNDDOWN((Q24)/6,1)+ROUNDDOWN((O24)/5,1)+ROUNDDOWN((N24)/3,1),0)+AB22+AD22+AE22+AE23-AF22))</f>
        <v>2</v>
      </c>
      <c r="AL22" s="388">
        <f>IFERROR(ROUND(((W22+Y22)/(W22+Y22+W23+Y23))*AM22,1),0)</f>
        <v>0</v>
      </c>
      <c r="AM22" s="607">
        <f>'(R6)年齢別配置基準'!C19</f>
        <v>0</v>
      </c>
      <c r="AN22" s="604"/>
      <c r="AO22" s="626"/>
      <c r="AP22" s="569">
        <f>IF(AO22="専任",0,1)</f>
        <v>1</v>
      </c>
      <c r="AQ22" s="249">
        <f>IFERROR(AP22*(ROUND((W22+Y22)/(Z22+X22),1)),0)</f>
        <v>0</v>
      </c>
      <c r="AR22" s="613">
        <f t="shared" ref="AR22" si="46">AJ22+AM22+AN22+AP22</f>
        <v>3</v>
      </c>
      <c r="AS22" s="518"/>
      <c r="AT22" s="518"/>
      <c r="AU22" s="528">
        <f>$AU$7</f>
        <v>0</v>
      </c>
      <c r="AV22" s="528">
        <f>SUM('様式１－１（【本園分】標準時間対応）'!BA17:BA18)</f>
        <v>0</v>
      </c>
      <c r="AW22" s="528">
        <f>SUM('様式１－２（【分園分】標準時間対応）'!BA17:BA18)</f>
        <v>0</v>
      </c>
      <c r="AX22" s="525">
        <f>IF(OR(AND('様式１－１（【本園分】標準時間対応）'!J17&gt;0, '様式１－１（【本園分】標準時間対応）'!R17&gt;0), '様式１－１（【本園分】標準時間対応）'!BC17&gt;=ROUND((C23+C24)*0.3,0)),1,0) + IF(OR(AND('様式１－２（【分園分】標準時間対応）'!J17&gt;0, '様式１－２（【分園分】標準時間対応）'!R17&gt;0), '様式１－２（【分園分】標準時間対応）'!BC17&gt;=ROUND((D23+D24)*0.3,0)),1,0)</f>
        <v>2</v>
      </c>
      <c r="AY22" s="531">
        <f>2-AB22</f>
        <v>0</v>
      </c>
      <c r="AZ22" s="551">
        <f t="shared" ref="AZ22" si="47">SUM(AR22:AY24)</f>
        <v>5</v>
      </c>
      <c r="BA22" s="200"/>
      <c r="BC22" s="560"/>
      <c r="BD22" s="660">
        <f>'様式２（専従の常勤）'!L58</f>
        <v>0</v>
      </c>
      <c r="BE22" s="620">
        <f>COUNTIFS('様式３（非専従の常勤＋非常勤）'!$X$8:$X$37,"&gt;=1")+'様式２（専従の常勤）'!L70</f>
        <v>0</v>
      </c>
      <c r="BF22" s="657">
        <f>'様式３（非専従の常勤＋非常勤）'!$Y$41</f>
        <v>0</v>
      </c>
      <c r="BG22" s="647"/>
      <c r="BH22" s="703">
        <f>COUNTIFS('様式３（非専従の常勤＋非常勤）'!$X$50:$X$54,"&gt;=1")</f>
        <v>0</v>
      </c>
      <c r="BI22" s="688">
        <f>ROUNDDOWN('様式３（非専従の常勤＋非常勤）'!$X$57,1)</f>
        <v>0</v>
      </c>
      <c r="BJ22" s="613">
        <f>BD22+BF22+IF((BG22+BI22)&gt;=AM22,AM22,(BG22+BI22))</f>
        <v>0</v>
      </c>
      <c r="BK22" s="613">
        <f t="shared" ref="BK22" si="48">BJ22-AR22</f>
        <v>-3</v>
      </c>
      <c r="BL22" s="613">
        <f t="shared" ref="BL22" si="49">BJ22-(AK22+AM22+AN22+AP22)</f>
        <v>-3</v>
      </c>
      <c r="BN22" s="685"/>
      <c r="BO22" s="469" t="str">
        <f t="shared" ref="BO22" si="50">IF(BN22&gt;=0.2,BJ22-AR22-BN22,"")</f>
        <v/>
      </c>
      <c r="BS22" s="515" t="s">
        <v>6</v>
      </c>
      <c r="BT22" s="311" t="s">
        <v>71</v>
      </c>
      <c r="BU22" s="312">
        <f>AA22+AC22+AE22+AH22+AL22+AN22+AQ22</f>
        <v>0</v>
      </c>
      <c r="BV22" s="313">
        <f>ROUND(BU22/(BU22+BU23),2)</f>
        <v>0</v>
      </c>
      <c r="BX22" s="515" t="s">
        <v>6</v>
      </c>
      <c r="BY22" s="311" t="s">
        <v>71</v>
      </c>
      <c r="BZ22" s="314">
        <f>AE22+AH22</f>
        <v>0</v>
      </c>
      <c r="CA22" s="313">
        <f>ROUND(BZ22/(BZ22+BZ23),2)</f>
        <v>0</v>
      </c>
    </row>
    <row r="23" spans="1:79" ht="27" customHeight="1">
      <c r="A23" s="654"/>
      <c r="B23" s="72" t="s">
        <v>72</v>
      </c>
      <c r="C23" s="256">
        <f t="shared" si="10"/>
        <v>0</v>
      </c>
      <c r="D23" s="256">
        <f t="shared" si="0"/>
        <v>0</v>
      </c>
      <c r="E23" s="71"/>
      <c r="F23" s="71"/>
      <c r="G23" s="71"/>
      <c r="H23" s="71"/>
      <c r="I23" s="71"/>
      <c r="J23" s="55"/>
      <c r="K23" s="55"/>
      <c r="L23" s="55"/>
      <c r="M23" s="328"/>
      <c r="N23" s="71"/>
      <c r="O23" s="71"/>
      <c r="P23" s="71"/>
      <c r="Q23" s="71"/>
      <c r="R23" s="71"/>
      <c r="S23" s="55"/>
      <c r="T23" s="55"/>
      <c r="U23" s="55"/>
      <c r="V23" s="331"/>
      <c r="W23" s="56">
        <f>SUM(J23:L23)</f>
        <v>0</v>
      </c>
      <c r="X23" s="537"/>
      <c r="Y23" s="56">
        <f>SUM(S23:U23)</f>
        <v>0</v>
      </c>
      <c r="Z23" s="540"/>
      <c r="AA23" s="584">
        <f>IF(C23+C24&lt;=90,1,0)+IF(D23+D24&lt;=90,1,0)</f>
        <v>2</v>
      </c>
      <c r="AB23" s="595"/>
      <c r="AC23" s="586">
        <f>AD22</f>
        <v>0</v>
      </c>
      <c r="AD23" s="595"/>
      <c r="AE23" s="582">
        <f>IF($W23+$W24&gt;0,1,0)+IF($Y23+$Y24&gt;0,1,0)</f>
        <v>0</v>
      </c>
      <c r="AF23" s="624"/>
      <c r="AG23" s="611"/>
      <c r="AH23" s="591">
        <f>AI22-AH22</f>
        <v>0</v>
      </c>
      <c r="AI23" s="589"/>
      <c r="AJ23" s="614"/>
      <c r="AK23" s="715"/>
      <c r="AL23" s="383">
        <f>AM22-AL22</f>
        <v>0</v>
      </c>
      <c r="AM23" s="608"/>
      <c r="AN23" s="605"/>
      <c r="AO23" s="627"/>
      <c r="AP23" s="570"/>
      <c r="AQ23" s="567">
        <f>IFERROR(AP22*(ROUND((W23+W24+Y23+Y24)/(Z22+X22),1)),0)</f>
        <v>0</v>
      </c>
      <c r="AR23" s="614"/>
      <c r="AS23" s="519"/>
      <c r="AT23" s="519"/>
      <c r="AU23" s="529"/>
      <c r="AV23" s="529"/>
      <c r="AW23" s="529"/>
      <c r="AX23" s="526"/>
      <c r="AY23" s="532"/>
      <c r="AZ23" s="552"/>
      <c r="BA23" s="200"/>
      <c r="BC23" s="560"/>
      <c r="BD23" s="661"/>
      <c r="BE23" s="621" t="e">
        <v>#VALUE!</v>
      </c>
      <c r="BF23" s="658"/>
      <c r="BG23" s="648"/>
      <c r="BH23" s="704" t="e">
        <v>#VALUE!</v>
      </c>
      <c r="BI23" s="689"/>
      <c r="BJ23" s="614"/>
      <c r="BK23" s="614"/>
      <c r="BL23" s="614"/>
      <c r="BN23" s="686"/>
      <c r="BO23" s="470"/>
      <c r="BS23" s="516"/>
      <c r="BT23" s="512" t="s">
        <v>155</v>
      </c>
      <c r="BU23" s="778">
        <f>AA23+AC23+AE23+AH23+AL23+AQ23+AU22+AV22+AW22+AX22+AY22</f>
        <v>4</v>
      </c>
      <c r="BV23" s="514">
        <f>1-BV22</f>
        <v>1</v>
      </c>
      <c r="BX23" s="516"/>
      <c r="BY23" s="512" t="s">
        <v>155</v>
      </c>
      <c r="BZ23" s="513">
        <f>AA23+AC23+AH23+AE23</f>
        <v>2</v>
      </c>
      <c r="CA23" s="514">
        <f>ROUND(BZ23/(BZ22+BZ23),2)</f>
        <v>1</v>
      </c>
    </row>
    <row r="24" spans="1:79" ht="27" customHeight="1">
      <c r="A24" s="655"/>
      <c r="B24" s="72" t="s">
        <v>73</v>
      </c>
      <c r="C24" s="256">
        <f t="shared" si="10"/>
        <v>0</v>
      </c>
      <c r="D24" s="256">
        <f t="shared" si="0"/>
        <v>0</v>
      </c>
      <c r="E24" s="55"/>
      <c r="F24" s="55"/>
      <c r="G24" s="73"/>
      <c r="H24" s="55"/>
      <c r="I24" s="71"/>
      <c r="J24" s="71"/>
      <c r="K24" s="71"/>
      <c r="L24" s="71"/>
      <c r="M24" s="329"/>
      <c r="N24" s="55"/>
      <c r="O24" s="55"/>
      <c r="P24" s="73"/>
      <c r="Q24" s="55"/>
      <c r="R24" s="71"/>
      <c r="S24" s="71"/>
      <c r="T24" s="71"/>
      <c r="U24" s="71"/>
      <c r="V24" s="332"/>
      <c r="W24" s="57">
        <f>SUM(E24:F24,H24)</f>
        <v>0</v>
      </c>
      <c r="X24" s="656"/>
      <c r="Y24" s="56">
        <f>SUM(N24:O24,Q24)</f>
        <v>0</v>
      </c>
      <c r="Z24" s="652"/>
      <c r="AA24" s="597"/>
      <c r="AB24" s="596"/>
      <c r="AC24" s="593"/>
      <c r="AD24" s="596"/>
      <c r="AE24" s="583"/>
      <c r="AF24" s="625"/>
      <c r="AG24" s="612"/>
      <c r="AH24" s="592"/>
      <c r="AI24" s="590"/>
      <c r="AJ24" s="615"/>
      <c r="AK24" s="716"/>
      <c r="AL24" s="389"/>
      <c r="AM24" s="609"/>
      <c r="AN24" s="606"/>
      <c r="AO24" s="631"/>
      <c r="AP24" s="571"/>
      <c r="AQ24" s="568"/>
      <c r="AR24" s="615"/>
      <c r="AS24" s="520"/>
      <c r="AT24" s="520"/>
      <c r="AU24" s="530"/>
      <c r="AV24" s="530"/>
      <c r="AW24" s="530"/>
      <c r="AX24" s="527"/>
      <c r="AY24" s="533"/>
      <c r="AZ24" s="553"/>
      <c r="BA24" s="200"/>
      <c r="BC24" s="560"/>
      <c r="BD24" s="662"/>
      <c r="BE24" s="622" t="e">
        <v>#VALUE!</v>
      </c>
      <c r="BF24" s="659"/>
      <c r="BG24" s="649"/>
      <c r="BH24" s="705" t="e">
        <v>#VALUE!</v>
      </c>
      <c r="BI24" s="690"/>
      <c r="BJ24" s="615"/>
      <c r="BK24" s="615"/>
      <c r="BL24" s="615"/>
      <c r="BN24" s="687"/>
      <c r="BO24" s="471"/>
      <c r="BS24" s="517"/>
      <c r="BT24" s="512"/>
      <c r="BU24" s="778"/>
      <c r="BV24" s="514"/>
      <c r="BX24" s="517"/>
      <c r="BY24" s="512"/>
      <c r="BZ24" s="513"/>
      <c r="CA24" s="514"/>
    </row>
    <row r="25" spans="1:79" ht="27" customHeight="1">
      <c r="A25" s="653" t="s">
        <v>7</v>
      </c>
      <c r="B25" s="72" t="s">
        <v>71</v>
      </c>
      <c r="C25" s="255">
        <f t="shared" si="10"/>
        <v>0</v>
      </c>
      <c r="D25" s="255">
        <f t="shared" si="0"/>
        <v>0</v>
      </c>
      <c r="E25" s="71"/>
      <c r="F25" s="71"/>
      <c r="G25" s="71"/>
      <c r="H25" s="71"/>
      <c r="I25" s="55"/>
      <c r="J25" s="222"/>
      <c r="K25" s="55"/>
      <c r="L25" s="55"/>
      <c r="M25" s="328"/>
      <c r="N25" s="71"/>
      <c r="O25" s="71"/>
      <c r="P25" s="71"/>
      <c r="Q25" s="71"/>
      <c r="R25" s="55"/>
      <c r="S25" s="222"/>
      <c r="T25" s="55"/>
      <c r="U25" s="55"/>
      <c r="V25" s="331"/>
      <c r="W25" s="56">
        <f>SUM(I25:L25)</f>
        <v>0</v>
      </c>
      <c r="X25" s="536">
        <f>SUM(W25:W27)</f>
        <v>0</v>
      </c>
      <c r="Y25" s="56">
        <f>SUM(R25:U25)</f>
        <v>0</v>
      </c>
      <c r="Z25" s="539">
        <f>SUM(Y25:Y27)</f>
        <v>0</v>
      </c>
      <c r="AA25" s="207"/>
      <c r="AB25" s="594">
        <f t="shared" ref="AB25" si="51">AA26</f>
        <v>2</v>
      </c>
      <c r="AC25" s="384"/>
      <c r="AD25" s="594">
        <f>IF('様式１－１（【本園分】標準時間対応）'!BC19&gt;0,1,0)+IF('様式１－２（【分園分】標準時間対応）'!BC19&gt;0,1,0)</f>
        <v>0</v>
      </c>
      <c r="AE25" s="382">
        <f>IF($W25&gt;0,1,0)+IF($Y25&gt;0,1,0)</f>
        <v>0</v>
      </c>
      <c r="AF25" s="623"/>
      <c r="AG25" s="610" t="str">
        <f>'(R6)年齢別配置基準'!I20</f>
        <v>H</v>
      </c>
      <c r="AH25" s="399">
        <f>IF(AG25="判定不能","年齢別配置基準エラー",
IF(AG25="A",ROUND(ROUNDDOWN((L25+K25)/25,1)+ROUNDDOWN((J25)/15,1)+ROUNDDOWN((I25)/6,1),0)+ROUND(ROUNDDOWN((U25+T25)/25,1)+ROUNDDOWN((S25)/15,1)+ROUNDDOWN((R25)/6,1),0),
IF(AG25="B",ROUND(ROUNDDOWN((L25+K25)/25,1)+ROUNDDOWN((J25)/15,1)+ROUNDDOWN((I25)/15,1),0)+ROUND(ROUNDDOWN((U25+T25)/25,1)+ROUNDDOWN((S25)/15,1)+ROUNDDOWN((R25)/15,1),0),
IF(AG25="C",ROUND(ROUNDDOWN((L25+K25)/25,1)+ROUNDDOWN((J25)/20,1)+ROUNDDOWN((I25)/6,1),0)+ROUND(ROUNDDOWN((U25+T25)/25,1)+ROUNDDOWN((S25)/20,1)+ROUNDDOWN((R25)/6,1),0),
IF(AG25="D",ROUND(ROUNDDOWN((L25+K25)/25,1)+ROUNDDOWN((J25)/20,1)+ROUNDDOWN((I25)/20,1),0)+ROUND(ROUNDDOWN((U25+T25)/25,1)+ROUNDDOWN((S25)/20,1)+ROUNDDOWN((R25)/20,1),0),
IF(AG25="E",ROUND(ROUNDDOWN((L25+K25)/30,1)+ROUNDDOWN((J25)/15,1)+ROUNDDOWN((I25)/6,1),0)+ROUND(ROUNDDOWN((U25+T25)/30,1)+ROUNDDOWN((S25)/15,1)+ROUNDDOWN((R25)/6,1),0),
IF(AG25="F",ROUND(ROUNDDOWN((L25+K25)/30,1)+ROUNDDOWN((J25)/15,1)+ROUNDDOWN((I25)/15,1),0)+ROUND(ROUNDDOWN((U25+T25)/30,1)+ROUNDDOWN((S25)/15,1)+ROUNDDOWN((R25)/15,1),0),
IF(AG25="G",ROUND(ROUNDDOWN((L25+K25)/30,1)+ROUNDDOWN((J25)/20,1)+ROUNDDOWN((I25)/6,1),0)+ROUND(ROUNDDOWN((U25+T25)/30,1)+ROUNDDOWN((S25)/20,1)+ROUNDDOWN((R25)/6,1),0),
IF(AG25="H",ROUND(ROUNDDOWN((L25+K25)/30,1)+ROUNDDOWN((J25)/20,1)+ROUNDDOWN((I25)/20,1),0)+ROUND(ROUNDDOWN((U25+T25)/30,1)+ROUNDDOWN((S25)/20,1)+ROUNDDOWN((R25)/20,1),0))))))))))</f>
        <v>0</v>
      </c>
      <c r="AI25" s="588">
        <f t="shared" ref="AI25" si="52">IF(AG25="判定不能","年齢別配置基準エラー",
IF(AG25="A",ROUND(ROUNDDOWN((K25+L25+L26)/25,1)+ROUNDDOWN((K26)/20,1)+ROUNDDOWN((J25+J26)/15,1)+ROUNDDOWN((I25)/6,1)+ROUNDDOWN((H27)/6,1)+ROUNDDOWN((F27)/5,1)+ROUNDDOWN((E27)/3,1),0)+ROUND(ROUNDDOWN((T25+U25+U26)/25,1)+ROUNDDOWN((T26)/20,1)+ROUNDDOWN((S25+S26)/15,1)+ROUNDDOWN((R25)/6,1)+ROUNDDOWN((Q27)/6,1)+ROUNDDOWN((O27)/5,1)+ROUNDDOWN((N27)/3,1),0),
IF(AG25="B",ROUND(ROUNDDOWN((K25+L25+L26)/25,1)+ROUNDDOWN((K26)/20,1)+ROUNDDOWN((J25+J26)/15,1)+ROUNDDOWN((I25)/15,1)+ROUNDDOWN((H27)/6,1)+ROUNDDOWN((F27)/5,1)+ROUNDDOWN((E27)/3,1),0)+ROUND(ROUNDDOWN((T25+U25+U26)/25,1)+ROUNDDOWN((T26)/20,1)+ROUNDDOWN((S25+S26)/15,1)+ROUNDDOWN((R25)/15,1)+ROUNDDOWN((Q27)/6,1)+ROUNDDOWN((O27)/5,1)+ROUNDDOWN((N27)/3,1),0),
IF(AG25="C",ROUND(ROUNDDOWN((K25+L25+L26)/25,1)+ROUNDDOWN((K26)/20,1)+ROUNDDOWN((J25)/20,1)+ROUNDDOWN((J26)/15,1)+ROUNDDOWN((I25)/6,1)+ROUNDDOWN((H27)/6,1)+ROUNDDOWN((F27)/5,1)+ROUNDDOWN((E27)/3,1),0)+ROUND(ROUNDDOWN((T25+U25+U26)/25,1)+ROUNDDOWN((T26)/20,1)+ROUNDDOWN((S25)/20,1)+ROUNDDOWN((S26)/15,1)+ROUNDDOWN((R25)/6,1)+ROUNDDOWN((Q27)/6,1)+ROUNDDOWN((O27)/5,1)+ROUNDDOWN((N27)/3,1),0),
IF(AG25="D",ROUND(ROUNDDOWN((K25+L25+L26)/25,1)+ROUNDDOWN((K26)/20,1)+ROUNDDOWN((J25)/20,1)+ROUNDDOWN((J26)/15,1)+ROUNDDOWN((I25)/20,1)+ROUNDDOWN((H27)/6,1)+ROUNDDOWN((F27)/5,1)+ROUNDDOWN((E27)/3,1),0)+ROUND(ROUNDDOWN((T25+U25+U26)/25,1)+ROUNDDOWN((T26)/20,1)+ROUNDDOWN((S25)/20,1)+ROUNDDOWN((S26)/15,1)+ROUNDDOWN((R25)/20,1)+ROUNDDOWN((Q27)/6,1)+ROUNDDOWN((O27)/5,1)+ROUNDDOWN((N27)/3,1),0),
IF(AG25="E",ROUND(ROUNDDOWN((K25+L25)/30,1)+ROUNDDOWN((L26)/25,1)+ROUNDDOWN((K26)/20,1)+ROUNDDOWN((J25+J26)/15,1)+ROUNDDOWN((I25)/6,1)+ROUNDDOWN((H27)/6,1)+ROUNDDOWN((F27)/5,1)+ROUNDDOWN((E27)/3,1),0)+ROUND(ROUNDDOWN((T25+U25)/30,1)+ROUNDDOWN((U26)/25,1)+ROUNDDOWN((T26)/20,1)+ROUNDDOWN((S25+S26)/15,1)+ROUNDDOWN((R25)/6,1)+ROUNDDOWN((Q27)/6,1)+ROUNDDOWN((O27)/5,1)+ROUNDDOWN((N27)/3,1),0),
IF(AG25="F",ROUND(ROUNDDOWN((K25+L25)/30,1)+ROUNDDOWN((L26)/25,1)+ROUNDDOWN((K26)/20,1)+ROUNDDOWN((J25+J26)/15,1)+ROUNDDOWN((I25)/15,1)+ROUNDDOWN((H27)/6,1)+ROUNDDOWN((F27)/5,1)+ROUNDDOWN((E27)/3,1),0)+ROUND(ROUNDDOWN((T25+U25)/30,1)+ROUNDDOWN((U26)/25,1)+ROUNDDOWN((T26)/20,1)+ROUNDDOWN((S25+S26)/15,1)+ROUNDDOWN((R25)/15,1)+ROUNDDOWN((Q27)/6,1)+ROUNDDOWN((O27)/5,1)+ROUNDDOWN((N27)/3,1),0),
IF(AG25="G",ROUND(ROUNDDOWN((K25+L25)/30,1)+ROUNDDOWN((L26)/25,1)+ROUNDDOWN((K26)/20,1)+ROUNDDOWN((J25)/20,1)+ROUNDDOWN((J26)/15,1)+ROUNDDOWN((I25)/6,1)+ROUNDDOWN((H27)/6,1)+ROUNDDOWN((F27)/5,1)+ROUNDDOWN((E27)/3,1),0)+ROUND(ROUNDDOWN((T25+U25)/30,1)+ROUNDDOWN((U26)/25,1)+ROUNDDOWN((T26)/20,1)+ROUNDDOWN((S25)/20,1)+ROUNDDOWN((S26)/15,1)+ROUNDDOWN((R25)/6,1)+ROUNDDOWN((Q27)/6,1)+ROUNDDOWN((O27)/5,1)+ROUNDDOWN((N27)/3,1),0),
IF(AG25="H",ROUND(ROUNDDOWN((K25+L25)/30,1)+ROUNDDOWN((L26)/25,1)+ROUNDDOWN((K26)/20,1)+ROUNDDOWN((J25)/20,1)+ROUNDDOWN((J26)/15,1)+ROUNDDOWN((I25)/20,1)+ROUNDDOWN((H27)/6,1)+ROUNDDOWN((F27)/5,1)+ROUNDDOWN((E27)/3,1),0)+ROUND(ROUNDDOWN((T25+U25)/30,1)+ROUNDDOWN((U26)/25,1)+ROUNDDOWN((T26)/20,1)+ROUNDDOWN((S25)/20,1)+ROUNDDOWN((S26)/15,1)+ROUNDDOWN((R25)/20,1)+ROUNDDOWN((Q27)/6,1)+ROUNDDOWN((O27)/5,1)+ROUNDDOWN((N27)/3,1),0))))))))))</f>
        <v>0</v>
      </c>
      <c r="AJ25" s="613">
        <f t="shared" ref="AJ25" si="53">AB25+AD25+AE25+AE26+AI25-AF25</f>
        <v>2</v>
      </c>
      <c r="AK25" s="714">
        <f t="shared" ref="AK25" si="54">IF(AG25="判定不能","年齢別配置基準エラー",
IF(OR(AG25="A",AG25="C",AG25="E",AG25="G"),
ROUND(ROUNDDOWN((L25+L26+K25)/25,1)+ROUNDDOWN((K26)/20,1)+ROUNDDOWN((J25+J26)/15,1)+ROUNDDOWN((I25)/6,1)+ROUNDDOWN((H27)/6,1)+ROUNDDOWN((F27)/5,1)+ROUNDDOWN((E27)/3,1),0)+ROUND(ROUNDDOWN((U25+U26+T25)/25,1)+ROUNDDOWN((T26)/20,1)+ROUNDDOWN((S25+S26)/15,1)+ROUNDDOWN((R25)/6,1)+ROUNDDOWN((Q27)/6,1)+ROUNDDOWN((O27)/5,1)+ROUNDDOWN((N27)/3,1),0)+AB25+AD25+AE25+AE26-AF25,
ROUND(ROUNDDOWN((L25+L26+K25)/25,1)+ROUNDDOWN((K26)/20,1)+ROUNDDOWN((J25+J26)/15,1)+ROUNDDOWN((I25)/15,1)+ROUNDDOWN((H27)/6,1)+ROUNDDOWN((F27)/5,1)+ROUNDDOWN((E27)/3,1),0)+ROUND(ROUNDDOWN((U25+U26+T25)/25,1)+ROUNDDOWN((T26)/20,1)+ROUNDDOWN((S25+S26)/15,1)+ROUNDDOWN((R25)/15,1)+ROUNDDOWN((Q27)/6,1)+ROUNDDOWN((O27)/5,1)+ROUNDDOWN((N27)/3,1),0)+AB25+AD25+AE25+AE26-AF25))</f>
        <v>2</v>
      </c>
      <c r="AL25" s="388">
        <f>IFERROR(ROUND(((W25+Y25)/(W25+Y25+W26+Y26))*AM25,1),0)</f>
        <v>0</v>
      </c>
      <c r="AM25" s="607">
        <f>'(R6)年齢別配置基準'!C20</f>
        <v>0</v>
      </c>
      <c r="AN25" s="604"/>
      <c r="AO25" s="626"/>
      <c r="AP25" s="569">
        <f>IF(AO25="専任",0,1)</f>
        <v>1</v>
      </c>
      <c r="AQ25" s="249">
        <f>IFERROR(AP25*(ROUND((W25+Y25)/(Z25+X25),1)),0)</f>
        <v>0</v>
      </c>
      <c r="AR25" s="613">
        <f t="shared" ref="AR25" si="55">AJ25+AM25+AN25+AP25</f>
        <v>3</v>
      </c>
      <c r="AS25" s="518"/>
      <c r="AT25" s="518"/>
      <c r="AU25" s="528">
        <f>$AU$7</f>
        <v>0</v>
      </c>
      <c r="AV25" s="528">
        <f>SUM('様式１－１（【本園分】標準時間対応）'!BA19:BA20)</f>
        <v>0</v>
      </c>
      <c r="AW25" s="528">
        <f>SUM('様式１－２（【分園分】標準時間対応）'!BA19:BA20)</f>
        <v>0</v>
      </c>
      <c r="AX25" s="525">
        <f>IF(OR(AND('様式１－１（【本園分】標準時間対応）'!J19&gt;0, '様式１－１（【本園分】標準時間対応）'!R19&gt;0), '様式１－１（【本園分】標準時間対応）'!BC19&gt;=ROUND((C26+C27)*0.3,0)),1,0) + IF(OR(AND('様式１－２（【分園分】標準時間対応）'!J19&gt;0, '様式１－２（【分園分】標準時間対応）'!R19&gt;0), '様式１－２（【分園分】標準時間対応）'!BC19&gt;=ROUND((D26+D27)*0.3,0)),1,0)</f>
        <v>2</v>
      </c>
      <c r="AY25" s="531">
        <f>2-AB25</f>
        <v>0</v>
      </c>
      <c r="AZ25" s="551">
        <f t="shared" ref="AZ25" si="56">SUM(AR25:AY27)</f>
        <v>5</v>
      </c>
      <c r="BA25" s="200"/>
      <c r="BC25" s="560"/>
      <c r="BD25" s="660">
        <f>'様式２（専従の常勤）'!M58</f>
        <v>0</v>
      </c>
      <c r="BE25" s="620">
        <f>COUNTIFS('様式３（非専従の常勤＋非常勤）'!$Z$8:$Z$37,"&gt;=1")+'様式２（専従の常勤）'!M70</f>
        <v>0</v>
      </c>
      <c r="BF25" s="657">
        <f>'様式３（非専従の常勤＋非常勤）'!$AA$41</f>
        <v>0</v>
      </c>
      <c r="BG25" s="647"/>
      <c r="BH25" s="703">
        <f>COUNTIFS('様式３（非専従の常勤＋非常勤）'!$Z$50:$Z$54,"&gt;=1")</f>
        <v>0</v>
      </c>
      <c r="BI25" s="688">
        <f>ROUNDDOWN('様式３（非専従の常勤＋非常勤）'!$Z$57,1)</f>
        <v>0</v>
      </c>
      <c r="BJ25" s="613">
        <f>BD25+BF25+IF((BG25+BI25)&gt;=AM25,AM25,(BG25+BI25))</f>
        <v>0</v>
      </c>
      <c r="BK25" s="613">
        <f t="shared" ref="BK25" si="57">BJ25-AR25</f>
        <v>-3</v>
      </c>
      <c r="BL25" s="613">
        <f t="shared" ref="BL25" si="58">BJ25-(AK25+AM25+AN25+AP25)</f>
        <v>-3</v>
      </c>
      <c r="BN25" s="685"/>
      <c r="BO25" s="469" t="str">
        <f t="shared" ref="BO25" si="59">IF(BN25&gt;=0.2,BJ25-AR25-BN25,"")</f>
        <v/>
      </c>
      <c r="BS25" s="515" t="s">
        <v>7</v>
      </c>
      <c r="BT25" s="311" t="s">
        <v>71</v>
      </c>
      <c r="BU25" s="312">
        <f>AA25+AC25+AE25+AH25+AL25+AN25+AQ25</f>
        <v>0</v>
      </c>
      <c r="BV25" s="313">
        <f>ROUND(BU25/(BU25+BU26),2)</f>
        <v>0</v>
      </c>
      <c r="BX25" s="515" t="s">
        <v>7</v>
      </c>
      <c r="BY25" s="311" t="s">
        <v>71</v>
      </c>
      <c r="BZ25" s="314">
        <f>AE25+AH25</f>
        <v>0</v>
      </c>
      <c r="CA25" s="313">
        <f>ROUND(BZ25/(BZ25+BZ26),2)</f>
        <v>0</v>
      </c>
    </row>
    <row r="26" spans="1:79" ht="27" customHeight="1">
      <c r="A26" s="654"/>
      <c r="B26" s="72" t="s">
        <v>72</v>
      </c>
      <c r="C26" s="256">
        <f t="shared" si="10"/>
        <v>0</v>
      </c>
      <c r="D26" s="256">
        <f t="shared" si="0"/>
        <v>0</v>
      </c>
      <c r="E26" s="71"/>
      <c r="F26" s="71"/>
      <c r="G26" s="71"/>
      <c r="H26" s="71"/>
      <c r="I26" s="71"/>
      <c r="J26" s="55"/>
      <c r="K26" s="55"/>
      <c r="L26" s="55"/>
      <c r="M26" s="328"/>
      <c r="N26" s="71"/>
      <c r="O26" s="71"/>
      <c r="P26" s="71"/>
      <c r="Q26" s="71"/>
      <c r="R26" s="71"/>
      <c r="S26" s="55"/>
      <c r="T26" s="55"/>
      <c r="U26" s="55"/>
      <c r="V26" s="331"/>
      <c r="W26" s="56">
        <f>SUM(J26:L26)</f>
        <v>0</v>
      </c>
      <c r="X26" s="537"/>
      <c r="Y26" s="56">
        <f>SUM(S26:U26)</f>
        <v>0</v>
      </c>
      <c r="Z26" s="540"/>
      <c r="AA26" s="584">
        <f>IF(C26+C27&lt;=90,1,0)+IF(D26+D27&lt;=90,1,0)</f>
        <v>2</v>
      </c>
      <c r="AB26" s="595"/>
      <c r="AC26" s="586">
        <f>AD25</f>
        <v>0</v>
      </c>
      <c r="AD26" s="595"/>
      <c r="AE26" s="582">
        <f>IF($W26+$W27&gt;0,1,0)+IF($Y26+$Y27&gt;0,1,0)</f>
        <v>0</v>
      </c>
      <c r="AF26" s="624"/>
      <c r="AG26" s="611"/>
      <c r="AH26" s="591">
        <f>AI25-AH25</f>
        <v>0</v>
      </c>
      <c r="AI26" s="589"/>
      <c r="AJ26" s="614"/>
      <c r="AK26" s="715"/>
      <c r="AL26" s="383">
        <f>AM25-AL25</f>
        <v>0</v>
      </c>
      <c r="AM26" s="608"/>
      <c r="AN26" s="605"/>
      <c r="AO26" s="627"/>
      <c r="AP26" s="570"/>
      <c r="AQ26" s="567">
        <f>IFERROR(AP25*(ROUND((W26+W27+Y26+Y27)/(Z25+X25),1)),0)</f>
        <v>0</v>
      </c>
      <c r="AR26" s="614"/>
      <c r="AS26" s="519"/>
      <c r="AT26" s="519"/>
      <c r="AU26" s="529"/>
      <c r="AV26" s="529"/>
      <c r="AW26" s="529"/>
      <c r="AX26" s="526"/>
      <c r="AY26" s="532"/>
      <c r="AZ26" s="552"/>
      <c r="BA26" s="200"/>
      <c r="BC26" s="560"/>
      <c r="BD26" s="661"/>
      <c r="BE26" s="621" t="e">
        <v>#VALUE!</v>
      </c>
      <c r="BF26" s="658"/>
      <c r="BG26" s="648"/>
      <c r="BH26" s="704" t="e">
        <v>#VALUE!</v>
      </c>
      <c r="BI26" s="689"/>
      <c r="BJ26" s="614"/>
      <c r="BK26" s="614"/>
      <c r="BL26" s="614"/>
      <c r="BN26" s="686"/>
      <c r="BO26" s="470"/>
      <c r="BS26" s="516"/>
      <c r="BT26" s="512" t="s">
        <v>155</v>
      </c>
      <c r="BU26" s="778">
        <f>AA26+AC26+AE26+AH26+AL26+AQ26+AU25+AV25+AW25+AX25+AY25</f>
        <v>4</v>
      </c>
      <c r="BV26" s="514">
        <f>1-BV25</f>
        <v>1</v>
      </c>
      <c r="BX26" s="516"/>
      <c r="BY26" s="512" t="s">
        <v>155</v>
      </c>
      <c r="BZ26" s="513">
        <f>AA26+AC26+AH26+AE26</f>
        <v>2</v>
      </c>
      <c r="CA26" s="514">
        <f t="shared" ref="CA26" si="60">ROUND(BZ26/(BZ25+BZ26),2)</f>
        <v>1</v>
      </c>
    </row>
    <row r="27" spans="1:79" ht="27" customHeight="1">
      <c r="A27" s="655"/>
      <c r="B27" s="72" t="s">
        <v>73</v>
      </c>
      <c r="C27" s="256">
        <f t="shared" si="10"/>
        <v>0</v>
      </c>
      <c r="D27" s="256">
        <f t="shared" si="0"/>
        <v>0</v>
      </c>
      <c r="E27" s="55"/>
      <c r="F27" s="55"/>
      <c r="G27" s="73"/>
      <c r="H27" s="55"/>
      <c r="I27" s="71"/>
      <c r="J27" s="71"/>
      <c r="K27" s="71"/>
      <c r="L27" s="71"/>
      <c r="M27" s="328"/>
      <c r="N27" s="55"/>
      <c r="O27" s="55"/>
      <c r="P27" s="73"/>
      <c r="Q27" s="55"/>
      <c r="R27" s="71"/>
      <c r="S27" s="71"/>
      <c r="T27" s="71"/>
      <c r="U27" s="71"/>
      <c r="V27" s="331"/>
      <c r="W27" s="56">
        <f>SUM(E27:F27,H27)</f>
        <v>0</v>
      </c>
      <c r="X27" s="656"/>
      <c r="Y27" s="56">
        <f>SUM(N27:O27,Q27)</f>
        <v>0</v>
      </c>
      <c r="Z27" s="652"/>
      <c r="AA27" s="597"/>
      <c r="AB27" s="596"/>
      <c r="AC27" s="593"/>
      <c r="AD27" s="596"/>
      <c r="AE27" s="583"/>
      <c r="AF27" s="625"/>
      <c r="AG27" s="612"/>
      <c r="AH27" s="592"/>
      <c r="AI27" s="590"/>
      <c r="AJ27" s="615"/>
      <c r="AK27" s="716"/>
      <c r="AL27" s="389"/>
      <c r="AM27" s="609"/>
      <c r="AN27" s="606"/>
      <c r="AO27" s="631"/>
      <c r="AP27" s="571"/>
      <c r="AQ27" s="568"/>
      <c r="AR27" s="615"/>
      <c r="AS27" s="520"/>
      <c r="AT27" s="520"/>
      <c r="AU27" s="530"/>
      <c r="AV27" s="530"/>
      <c r="AW27" s="530"/>
      <c r="AX27" s="527"/>
      <c r="AY27" s="533"/>
      <c r="AZ27" s="553"/>
      <c r="BA27" s="200"/>
      <c r="BC27" s="560"/>
      <c r="BD27" s="662"/>
      <c r="BE27" s="622" t="e">
        <v>#VALUE!</v>
      </c>
      <c r="BF27" s="659"/>
      <c r="BG27" s="649"/>
      <c r="BH27" s="705" t="e">
        <v>#VALUE!</v>
      </c>
      <c r="BI27" s="690"/>
      <c r="BJ27" s="615"/>
      <c r="BK27" s="615"/>
      <c r="BL27" s="615"/>
      <c r="BN27" s="687"/>
      <c r="BO27" s="471"/>
      <c r="BS27" s="517"/>
      <c r="BT27" s="512"/>
      <c r="BU27" s="778"/>
      <c r="BV27" s="514"/>
      <c r="BX27" s="517"/>
      <c r="BY27" s="512"/>
      <c r="BZ27" s="513"/>
      <c r="CA27" s="514"/>
    </row>
    <row r="28" spans="1:79" ht="27" customHeight="1">
      <c r="A28" s="653" t="s">
        <v>8</v>
      </c>
      <c r="B28" s="72" t="s">
        <v>71</v>
      </c>
      <c r="C28" s="255">
        <f t="shared" si="10"/>
        <v>0</v>
      </c>
      <c r="D28" s="255">
        <f t="shared" si="0"/>
        <v>0</v>
      </c>
      <c r="E28" s="71"/>
      <c r="F28" s="71"/>
      <c r="G28" s="71"/>
      <c r="H28" s="71"/>
      <c r="I28" s="55"/>
      <c r="J28" s="222"/>
      <c r="K28" s="55"/>
      <c r="L28" s="55"/>
      <c r="M28" s="328"/>
      <c r="N28" s="71"/>
      <c r="O28" s="71"/>
      <c r="P28" s="71"/>
      <c r="Q28" s="71"/>
      <c r="R28" s="55"/>
      <c r="S28" s="222"/>
      <c r="T28" s="55"/>
      <c r="U28" s="55"/>
      <c r="V28" s="331"/>
      <c r="W28" s="56">
        <f>SUM(I28:L28)</f>
        <v>0</v>
      </c>
      <c r="X28" s="536">
        <f>SUM(W28:W30)</f>
        <v>0</v>
      </c>
      <c r="Y28" s="56">
        <f>SUM(R28:U28)</f>
        <v>0</v>
      </c>
      <c r="Z28" s="539">
        <f>SUM(Y28:Y30)</f>
        <v>0</v>
      </c>
      <c r="AA28" s="207"/>
      <c r="AB28" s="594">
        <f t="shared" ref="AB28" si="61">AA29</f>
        <v>2</v>
      </c>
      <c r="AC28" s="384"/>
      <c r="AD28" s="594">
        <f>IF('様式１－１（【本園分】標準時間対応）'!BC21&gt;0,1,0)+IF('様式１－２（【分園分】標準時間対応）'!BC21&gt;0,1,0)</f>
        <v>0</v>
      </c>
      <c r="AE28" s="382">
        <f>IF($W28&gt;0,1,0)+IF($Y28&gt;0,1,0)</f>
        <v>0</v>
      </c>
      <c r="AF28" s="623"/>
      <c r="AG28" s="610" t="str">
        <f>'(R6)年齢別配置基準'!I21</f>
        <v>H</v>
      </c>
      <c r="AH28" s="399">
        <f>IF(AG28="判定不能","年齢別配置基準エラー",
IF(AG28="A",ROUND(ROUNDDOWN((L28+K28)/25,1)+ROUNDDOWN((J28)/15,1)+ROUNDDOWN((I28)/6,1),0)+ROUND(ROUNDDOWN((U28+T28)/25,1)+ROUNDDOWN((S28)/15,1)+ROUNDDOWN((R28)/6,1),0),
IF(AG28="B",ROUND(ROUNDDOWN((L28+K28)/25,1)+ROUNDDOWN((J28)/15,1)+ROUNDDOWN((I28)/15,1),0)+ROUND(ROUNDDOWN((U28+T28)/25,1)+ROUNDDOWN((S28)/15,1)+ROUNDDOWN((R28)/15,1),0),
IF(AG28="C",ROUND(ROUNDDOWN((L28+K28)/25,1)+ROUNDDOWN((J28)/20,1)+ROUNDDOWN((I28)/6,1),0)+ROUND(ROUNDDOWN((U28+T28)/25,1)+ROUNDDOWN((S28)/20,1)+ROUNDDOWN((R28)/6,1),0),
IF(AG28="D",ROUND(ROUNDDOWN((L28+K28)/25,1)+ROUNDDOWN((J28)/20,1)+ROUNDDOWN((I28)/20,1),0)+ROUND(ROUNDDOWN((U28+T28)/25,1)+ROUNDDOWN((S28)/20,1)+ROUNDDOWN((R28)/20,1),0),
IF(AG28="E",ROUND(ROUNDDOWN((L28+K28)/30,1)+ROUNDDOWN((J28)/15,1)+ROUNDDOWN((I28)/6,1),0)+ROUND(ROUNDDOWN((U28+T28)/30,1)+ROUNDDOWN((S28)/15,1)+ROUNDDOWN((R28)/6,1),0),
IF(AG28="F",ROUND(ROUNDDOWN((L28+K28)/30,1)+ROUNDDOWN((J28)/15,1)+ROUNDDOWN((I28)/15,1),0)+ROUND(ROUNDDOWN((U28+T28)/30,1)+ROUNDDOWN((S28)/15,1)+ROUNDDOWN((R28)/15,1),0),
IF(AG28="G",ROUND(ROUNDDOWN((L28+K28)/30,1)+ROUNDDOWN((J28)/20,1)+ROUNDDOWN((I28)/6,1),0)+ROUND(ROUNDDOWN((U28+T28)/30,1)+ROUNDDOWN((S28)/20,1)+ROUNDDOWN((R28)/6,1),0),
IF(AG28="H",ROUND(ROUNDDOWN((L28+K28)/30,1)+ROUNDDOWN((J28)/20,1)+ROUNDDOWN((I28)/20,1),0)+ROUND(ROUNDDOWN((U28+T28)/30,1)+ROUNDDOWN((S28)/20,1)+ROUNDDOWN((R28)/20,1),0))))))))))</f>
        <v>0</v>
      </c>
      <c r="AI28" s="588">
        <f t="shared" ref="AI28" si="62">IF(AG28="判定不能","年齢別配置基準エラー",
IF(AG28="A",ROUND(ROUNDDOWN((K28+L28+L29)/25,1)+ROUNDDOWN((K29)/20,1)+ROUNDDOWN((J28+J29)/15,1)+ROUNDDOWN((I28)/6,1)+ROUNDDOWN((H30)/6,1)+ROUNDDOWN((F30)/5,1)+ROUNDDOWN((E30)/3,1),0)+ROUND(ROUNDDOWN((T28+U28+U29)/25,1)+ROUNDDOWN((T29)/20,1)+ROUNDDOWN((S28+S29)/15,1)+ROUNDDOWN((R28)/6,1)+ROUNDDOWN((Q30)/6,1)+ROUNDDOWN((O30)/5,1)+ROUNDDOWN((N30)/3,1),0),
IF(AG28="B",ROUND(ROUNDDOWN((K28+L28+L29)/25,1)+ROUNDDOWN((K29)/20,1)+ROUNDDOWN((J28+J29)/15,1)+ROUNDDOWN((I28)/15,1)+ROUNDDOWN((H30)/6,1)+ROUNDDOWN((F30)/5,1)+ROUNDDOWN((E30)/3,1),0)+ROUND(ROUNDDOWN((T28+U28+U29)/25,1)+ROUNDDOWN((T29)/20,1)+ROUNDDOWN((S28+S29)/15,1)+ROUNDDOWN((R28)/15,1)+ROUNDDOWN((Q30)/6,1)+ROUNDDOWN((O30)/5,1)+ROUNDDOWN((N30)/3,1),0),
IF(AG28="C",ROUND(ROUNDDOWN((K28+L28+L29)/25,1)+ROUNDDOWN((K29)/20,1)+ROUNDDOWN((J28)/20,1)+ROUNDDOWN((J29)/15,1)+ROUNDDOWN((I28)/6,1)+ROUNDDOWN((H30)/6,1)+ROUNDDOWN((F30)/5,1)+ROUNDDOWN((E30)/3,1),0)+ROUND(ROUNDDOWN((T28+U28+U29)/25,1)+ROUNDDOWN((T29)/20,1)+ROUNDDOWN((S28)/20,1)+ROUNDDOWN((S29)/15,1)+ROUNDDOWN((R28)/6,1)+ROUNDDOWN((Q30)/6,1)+ROUNDDOWN((O30)/5,1)+ROUNDDOWN((N30)/3,1),0),
IF(AG28="D",ROUND(ROUNDDOWN((K28+L28+L29)/25,1)+ROUNDDOWN((K29)/20,1)+ROUNDDOWN((J28)/20,1)+ROUNDDOWN((J29)/15,1)+ROUNDDOWN((I28)/20,1)+ROUNDDOWN((H30)/6,1)+ROUNDDOWN((F30)/5,1)+ROUNDDOWN((E30)/3,1),0)+ROUND(ROUNDDOWN((T28+U28+U29)/25,1)+ROUNDDOWN((T29)/20,1)+ROUNDDOWN((S28)/20,1)+ROUNDDOWN((S29)/15,1)+ROUNDDOWN((R28)/20,1)+ROUNDDOWN((Q30)/6,1)+ROUNDDOWN((O30)/5,1)+ROUNDDOWN((N30)/3,1),0),
IF(AG28="E",ROUND(ROUNDDOWN((K28+L28)/30,1)+ROUNDDOWN((L29)/25,1)+ROUNDDOWN((K29)/20,1)+ROUNDDOWN((J28+J29)/15,1)+ROUNDDOWN((I28)/6,1)+ROUNDDOWN((H30)/6,1)+ROUNDDOWN((F30)/5,1)+ROUNDDOWN((E30)/3,1),0)+ROUND(ROUNDDOWN((T28+U28)/30,1)+ROUNDDOWN((U29)/25,1)+ROUNDDOWN((T29)/20,1)+ROUNDDOWN((S28+S29)/15,1)+ROUNDDOWN((R28)/6,1)+ROUNDDOWN((Q30)/6,1)+ROUNDDOWN((O30)/5,1)+ROUNDDOWN((N30)/3,1),0),
IF(AG28="F",ROUND(ROUNDDOWN((K28+L28)/30,1)+ROUNDDOWN((L29)/25,1)+ROUNDDOWN((K29)/20,1)+ROUNDDOWN((J28+J29)/15,1)+ROUNDDOWN((I28)/15,1)+ROUNDDOWN((H30)/6,1)+ROUNDDOWN((F30)/5,1)+ROUNDDOWN((E30)/3,1),0)+ROUND(ROUNDDOWN((T28+U28)/30,1)+ROUNDDOWN((U29)/25,1)+ROUNDDOWN((T29)/20,1)+ROUNDDOWN((S28+S29)/15,1)+ROUNDDOWN((R28)/15,1)+ROUNDDOWN((Q30)/6,1)+ROUNDDOWN((O30)/5,1)+ROUNDDOWN((N30)/3,1),0),
IF(AG28="G",ROUND(ROUNDDOWN((K28+L28)/30,1)+ROUNDDOWN((L29)/25,1)+ROUNDDOWN((K29)/20,1)+ROUNDDOWN((J28)/20,1)+ROUNDDOWN((J29)/15,1)+ROUNDDOWN((I28)/6,1)+ROUNDDOWN((H30)/6,1)+ROUNDDOWN((F30)/5,1)+ROUNDDOWN((E30)/3,1),0)+ROUND(ROUNDDOWN((T28+U28)/30,1)+ROUNDDOWN((U29)/25,1)+ROUNDDOWN((T29)/20,1)+ROUNDDOWN((S28)/20,1)+ROUNDDOWN((S29)/15,1)+ROUNDDOWN((R28)/6,1)+ROUNDDOWN((Q30)/6,1)+ROUNDDOWN((O30)/5,1)+ROUNDDOWN((N30)/3,1),0),
IF(AG28="H",ROUND(ROUNDDOWN((K28+L28)/30,1)+ROUNDDOWN((L29)/25,1)+ROUNDDOWN((K29)/20,1)+ROUNDDOWN((J28)/20,1)+ROUNDDOWN((J29)/15,1)+ROUNDDOWN((I28)/20,1)+ROUNDDOWN((H30)/6,1)+ROUNDDOWN((F30)/5,1)+ROUNDDOWN((E30)/3,1),0)+ROUND(ROUNDDOWN((T28+U28)/30,1)+ROUNDDOWN((U29)/25,1)+ROUNDDOWN((T29)/20,1)+ROUNDDOWN((S28)/20,1)+ROUNDDOWN((S29)/15,1)+ROUNDDOWN((R28)/20,1)+ROUNDDOWN((Q30)/6,1)+ROUNDDOWN((O30)/5,1)+ROUNDDOWN((N30)/3,1),0))))))))))</f>
        <v>0</v>
      </c>
      <c r="AJ28" s="613">
        <f t="shared" ref="AJ28" si="63">AB28+AD28+AE28+AE29+AI28-AF28</f>
        <v>2</v>
      </c>
      <c r="AK28" s="714">
        <f t="shared" ref="AK28" si="64">IF(AG28="判定不能","年齢別配置基準エラー",
IF(OR(AG28="A",AG28="C",AG28="E",AG28="G"),
ROUND(ROUNDDOWN((L28+L29+K28)/25,1)+ROUNDDOWN((K29)/20,1)+ROUNDDOWN((J28+J29)/15,1)+ROUNDDOWN((I28)/6,1)+ROUNDDOWN((H30)/6,1)+ROUNDDOWN((F30)/5,1)+ROUNDDOWN((E30)/3,1),0)+ROUND(ROUNDDOWN((U28+U29+T28)/25,1)+ROUNDDOWN((T29)/20,1)+ROUNDDOWN((S28+S29)/15,1)+ROUNDDOWN((R28)/6,1)+ROUNDDOWN((Q30)/6,1)+ROUNDDOWN((O30)/5,1)+ROUNDDOWN((N30)/3,1),0)+AB28+AD28+AE28+AE29-AF28,
ROUND(ROUNDDOWN((L28+L29+K28)/25,1)+ROUNDDOWN((K29)/20,1)+ROUNDDOWN((J28+J29)/15,1)+ROUNDDOWN((I28)/15,1)+ROUNDDOWN((H30)/6,1)+ROUNDDOWN((F30)/5,1)+ROUNDDOWN((E30)/3,1),0)+ROUND(ROUNDDOWN((U28+U29+T28)/25,1)+ROUNDDOWN((T29)/20,1)+ROUNDDOWN((S28+S29)/15,1)+ROUNDDOWN((R28)/15,1)+ROUNDDOWN((Q30)/6,1)+ROUNDDOWN((O30)/5,1)+ROUNDDOWN((N30)/3,1),0)+AB28+AD28+AE28+AE29-AF28))</f>
        <v>2</v>
      </c>
      <c r="AL28" s="388">
        <f>IFERROR(ROUND(((W28+Y28)/(W28+Y28+W29+Y29))*AM28,1),0)</f>
        <v>0</v>
      </c>
      <c r="AM28" s="607">
        <f>'(R6)年齢別配置基準'!C21</f>
        <v>0</v>
      </c>
      <c r="AN28" s="604"/>
      <c r="AO28" s="626"/>
      <c r="AP28" s="569">
        <f>IF(AO28="専任",0,1)</f>
        <v>1</v>
      </c>
      <c r="AQ28" s="249">
        <f>IFERROR(AP28*(ROUND((W28+Y28)/(Z28+X28),1)),0)</f>
        <v>0</v>
      </c>
      <c r="AR28" s="613">
        <f t="shared" ref="AR28" si="65">AJ28+AM28+AN28+AP28</f>
        <v>3</v>
      </c>
      <c r="AS28" s="518"/>
      <c r="AT28" s="518"/>
      <c r="AU28" s="528">
        <f>$AU$7</f>
        <v>0</v>
      </c>
      <c r="AV28" s="528">
        <f>SUM('様式１－１（【本園分】標準時間対応）'!BA21:BA22)</f>
        <v>0</v>
      </c>
      <c r="AW28" s="528">
        <f>SUM('様式１－２（【分園分】標準時間対応）'!BA21:BA22)</f>
        <v>0</v>
      </c>
      <c r="AX28" s="525">
        <f>IF(OR(AND('様式１－１（【本園分】標準時間対応）'!J21&gt;0, '様式１－１（【本園分】標準時間対応）'!R21&gt;0), '様式１－１（【本園分】標準時間対応）'!BC21&gt;=ROUND((C29+C30)*0.3,0)),1,0) + IF(OR(AND('様式１－２（【分園分】標準時間対応）'!J21&gt;0, '様式１－２（【分園分】標準時間対応）'!R21&gt;0), '様式１－２（【分園分】標準時間対応）'!BC21&gt;=ROUND((D29+D30)*0.3,0)),1,0)</f>
        <v>2</v>
      </c>
      <c r="AY28" s="531">
        <f>2-AB28</f>
        <v>0</v>
      </c>
      <c r="AZ28" s="551">
        <f t="shared" ref="AZ28" si="66">SUM(AR28:AY30)</f>
        <v>5</v>
      </c>
      <c r="BA28" s="200"/>
      <c r="BC28" s="560"/>
      <c r="BD28" s="660">
        <f>'様式２（専従の常勤）'!N58</f>
        <v>0</v>
      </c>
      <c r="BE28" s="620">
        <f>COUNTIFS('様式３（非専従の常勤＋非常勤）'!$AB$8:$AB$37,"&gt;=1")+'様式２（専従の常勤）'!N70</f>
        <v>0</v>
      </c>
      <c r="BF28" s="657">
        <f>'様式３（非専従の常勤＋非常勤）'!$AC$41</f>
        <v>0</v>
      </c>
      <c r="BG28" s="647"/>
      <c r="BH28" s="703">
        <f>COUNTIFS('様式３（非専従の常勤＋非常勤）'!$AB$50:$AB$54,"&gt;=1")</f>
        <v>0</v>
      </c>
      <c r="BI28" s="688">
        <f>ROUNDDOWN('様式３（非専従の常勤＋非常勤）'!$AB$57,1)</f>
        <v>0</v>
      </c>
      <c r="BJ28" s="613">
        <f>BD28+BF28+IF((BG28+BI28)&gt;=AM28,AM28,(BG28+BI28))</f>
        <v>0</v>
      </c>
      <c r="BK28" s="613">
        <f t="shared" ref="BK28" si="67">BJ28-AR28</f>
        <v>-3</v>
      </c>
      <c r="BL28" s="613">
        <f t="shared" ref="BL28" si="68">BJ28-(AK28+AM28+AN28+AP28)</f>
        <v>-3</v>
      </c>
      <c r="BN28" s="685"/>
      <c r="BO28" s="469" t="str">
        <f t="shared" ref="BO28" si="69">IF(BN28&gt;=0.2,BJ28-AR28-BN28,"")</f>
        <v/>
      </c>
      <c r="BS28" s="515" t="s">
        <v>8</v>
      </c>
      <c r="BT28" s="311" t="s">
        <v>71</v>
      </c>
      <c r="BU28" s="312">
        <f>AA28+AC28+AE28+AH28+AL28+AN28+AQ28</f>
        <v>0</v>
      </c>
      <c r="BV28" s="313">
        <f>ROUND(BU28/(BU28+BU29),2)</f>
        <v>0</v>
      </c>
      <c r="BX28" s="515" t="s">
        <v>8</v>
      </c>
      <c r="BY28" s="311" t="s">
        <v>71</v>
      </c>
      <c r="BZ28" s="314">
        <f>AE28+AH28</f>
        <v>0</v>
      </c>
      <c r="CA28" s="313">
        <f>ROUND(BZ28/(BZ28+BZ29),2)</f>
        <v>0</v>
      </c>
    </row>
    <row r="29" spans="1:79" ht="27" customHeight="1">
      <c r="A29" s="654"/>
      <c r="B29" s="72" t="s">
        <v>72</v>
      </c>
      <c r="C29" s="256">
        <f t="shared" si="10"/>
        <v>0</v>
      </c>
      <c r="D29" s="256">
        <f t="shared" si="0"/>
        <v>0</v>
      </c>
      <c r="E29" s="71"/>
      <c r="F29" s="71"/>
      <c r="G29" s="71"/>
      <c r="H29" s="71"/>
      <c r="I29" s="71"/>
      <c r="J29" s="55"/>
      <c r="K29" s="55"/>
      <c r="L29" s="55"/>
      <c r="M29" s="328"/>
      <c r="N29" s="71"/>
      <c r="O29" s="71"/>
      <c r="P29" s="71"/>
      <c r="Q29" s="71"/>
      <c r="R29" s="71"/>
      <c r="S29" s="55"/>
      <c r="T29" s="55"/>
      <c r="U29" s="55"/>
      <c r="V29" s="331"/>
      <c r="W29" s="56">
        <f>SUM(J29:L29)</f>
        <v>0</v>
      </c>
      <c r="X29" s="537"/>
      <c r="Y29" s="56">
        <f>SUM(S29:U29)</f>
        <v>0</v>
      </c>
      <c r="Z29" s="540"/>
      <c r="AA29" s="584">
        <f>IF(C29+C30&lt;=90,1,0)+IF(D29+D30&lt;=90,1,0)</f>
        <v>2</v>
      </c>
      <c r="AB29" s="595"/>
      <c r="AC29" s="586">
        <f>AD28</f>
        <v>0</v>
      </c>
      <c r="AD29" s="595"/>
      <c r="AE29" s="582">
        <f>IF($W29+$W30&gt;0,1,0)+IF($Y29+$Y30&gt;0,1,0)</f>
        <v>0</v>
      </c>
      <c r="AF29" s="624"/>
      <c r="AG29" s="611"/>
      <c r="AH29" s="591">
        <f>AI28-AH28</f>
        <v>0</v>
      </c>
      <c r="AI29" s="589"/>
      <c r="AJ29" s="614"/>
      <c r="AK29" s="715"/>
      <c r="AL29" s="383">
        <f>AM28-AL28</f>
        <v>0</v>
      </c>
      <c r="AM29" s="608"/>
      <c r="AN29" s="605"/>
      <c r="AO29" s="627"/>
      <c r="AP29" s="570"/>
      <c r="AQ29" s="567">
        <f>IFERROR(AP28*(ROUND((W29+W30+Y29+Y30)/(Z28+X28),1)),0)</f>
        <v>0</v>
      </c>
      <c r="AR29" s="614"/>
      <c r="AS29" s="519"/>
      <c r="AT29" s="519"/>
      <c r="AU29" s="529"/>
      <c r="AV29" s="529"/>
      <c r="AW29" s="529"/>
      <c r="AX29" s="526"/>
      <c r="AY29" s="532"/>
      <c r="AZ29" s="552"/>
      <c r="BA29" s="200"/>
      <c r="BC29" s="560"/>
      <c r="BD29" s="661"/>
      <c r="BE29" s="621" t="e">
        <v>#VALUE!</v>
      </c>
      <c r="BF29" s="658"/>
      <c r="BG29" s="648"/>
      <c r="BH29" s="704" t="e">
        <v>#VALUE!</v>
      </c>
      <c r="BI29" s="689"/>
      <c r="BJ29" s="614"/>
      <c r="BK29" s="614"/>
      <c r="BL29" s="614"/>
      <c r="BN29" s="686"/>
      <c r="BO29" s="470"/>
      <c r="BS29" s="516"/>
      <c r="BT29" s="512" t="s">
        <v>155</v>
      </c>
      <c r="BU29" s="778">
        <f>AA29+AC29+AE29+AH29+AL29+AQ29+AU28+AV28+AW28+AX28+AY28</f>
        <v>4</v>
      </c>
      <c r="BV29" s="514">
        <f>1-BV28</f>
        <v>1</v>
      </c>
      <c r="BX29" s="516"/>
      <c r="BY29" s="512" t="s">
        <v>155</v>
      </c>
      <c r="BZ29" s="513">
        <f>AA29+AC29+AH29+AE29</f>
        <v>2</v>
      </c>
      <c r="CA29" s="514">
        <f t="shared" ref="CA29" si="70">ROUND(BZ29/(BZ28+BZ29),2)</f>
        <v>1</v>
      </c>
    </row>
    <row r="30" spans="1:79" ht="27" customHeight="1">
      <c r="A30" s="655"/>
      <c r="B30" s="72" t="s">
        <v>73</v>
      </c>
      <c r="C30" s="256">
        <f t="shared" si="10"/>
        <v>0</v>
      </c>
      <c r="D30" s="256">
        <f t="shared" si="0"/>
        <v>0</v>
      </c>
      <c r="E30" s="55"/>
      <c r="F30" s="55"/>
      <c r="G30" s="73"/>
      <c r="H30" s="55"/>
      <c r="I30" s="71"/>
      <c r="J30" s="71"/>
      <c r="K30" s="71"/>
      <c r="L30" s="71"/>
      <c r="M30" s="328"/>
      <c r="N30" s="55"/>
      <c r="O30" s="55"/>
      <c r="P30" s="73"/>
      <c r="Q30" s="55"/>
      <c r="R30" s="71"/>
      <c r="S30" s="71"/>
      <c r="T30" s="71"/>
      <c r="U30" s="71"/>
      <c r="V30" s="331"/>
      <c r="W30" s="56">
        <f>SUM(E30:F30,H30)</f>
        <v>0</v>
      </c>
      <c r="X30" s="656"/>
      <c r="Y30" s="56">
        <f>SUM(N30:O30,Q30)</f>
        <v>0</v>
      </c>
      <c r="Z30" s="652"/>
      <c r="AA30" s="597"/>
      <c r="AB30" s="596"/>
      <c r="AC30" s="593"/>
      <c r="AD30" s="596"/>
      <c r="AE30" s="583"/>
      <c r="AF30" s="625"/>
      <c r="AG30" s="612"/>
      <c r="AH30" s="592"/>
      <c r="AI30" s="590"/>
      <c r="AJ30" s="615"/>
      <c r="AK30" s="716"/>
      <c r="AL30" s="389"/>
      <c r="AM30" s="609"/>
      <c r="AN30" s="606"/>
      <c r="AO30" s="631"/>
      <c r="AP30" s="571"/>
      <c r="AQ30" s="568"/>
      <c r="AR30" s="615"/>
      <c r="AS30" s="520"/>
      <c r="AT30" s="520"/>
      <c r="AU30" s="530"/>
      <c r="AV30" s="530"/>
      <c r="AW30" s="530"/>
      <c r="AX30" s="527"/>
      <c r="AY30" s="533"/>
      <c r="AZ30" s="553"/>
      <c r="BA30" s="200"/>
      <c r="BC30" s="560"/>
      <c r="BD30" s="662"/>
      <c r="BE30" s="622" t="e">
        <v>#VALUE!</v>
      </c>
      <c r="BF30" s="659"/>
      <c r="BG30" s="649"/>
      <c r="BH30" s="705" t="e">
        <v>#VALUE!</v>
      </c>
      <c r="BI30" s="690"/>
      <c r="BJ30" s="615"/>
      <c r="BK30" s="615"/>
      <c r="BL30" s="615"/>
      <c r="BN30" s="687"/>
      <c r="BO30" s="471"/>
      <c r="BS30" s="517"/>
      <c r="BT30" s="512"/>
      <c r="BU30" s="778"/>
      <c r="BV30" s="514"/>
      <c r="BX30" s="517"/>
      <c r="BY30" s="512"/>
      <c r="BZ30" s="513"/>
      <c r="CA30" s="514"/>
    </row>
    <row r="31" spans="1:79" ht="27" customHeight="1">
      <c r="A31" s="653" t="s">
        <v>9</v>
      </c>
      <c r="B31" s="72" t="s">
        <v>71</v>
      </c>
      <c r="C31" s="255">
        <f t="shared" si="10"/>
        <v>0</v>
      </c>
      <c r="D31" s="255">
        <f t="shared" si="0"/>
        <v>0</v>
      </c>
      <c r="E31" s="71"/>
      <c r="F31" s="71"/>
      <c r="G31" s="71"/>
      <c r="H31" s="71"/>
      <c r="I31" s="55"/>
      <c r="J31" s="222"/>
      <c r="K31" s="55"/>
      <c r="L31" s="55"/>
      <c r="M31" s="328"/>
      <c r="N31" s="71"/>
      <c r="O31" s="71"/>
      <c r="P31" s="71"/>
      <c r="Q31" s="71"/>
      <c r="R31" s="55"/>
      <c r="S31" s="222"/>
      <c r="T31" s="55"/>
      <c r="U31" s="55"/>
      <c r="V31" s="331"/>
      <c r="W31" s="56">
        <f>SUM(I31:L31)</f>
        <v>0</v>
      </c>
      <c r="X31" s="536">
        <f>SUM(W31:W33)</f>
        <v>0</v>
      </c>
      <c r="Y31" s="56">
        <f>SUM(R31:U31)</f>
        <v>0</v>
      </c>
      <c r="Z31" s="539">
        <f>SUM(Y31:Y33)</f>
        <v>0</v>
      </c>
      <c r="AA31" s="207"/>
      <c r="AB31" s="594">
        <f t="shared" ref="AB31" si="71">AA32</f>
        <v>2</v>
      </c>
      <c r="AC31" s="384"/>
      <c r="AD31" s="594">
        <f>IF('様式１－１（【本園分】標準時間対応）'!BC23&gt;0,1,0)+IF('様式１－２（【分園分】標準時間対応）'!BC23&gt;0,1,0)</f>
        <v>0</v>
      </c>
      <c r="AE31" s="382">
        <f>IF($W31&gt;0,1,0)+IF($Y31&gt;0,1,0)</f>
        <v>0</v>
      </c>
      <c r="AF31" s="623"/>
      <c r="AG31" s="610" t="str">
        <f>'(R6)年齢別配置基準'!I22</f>
        <v>H</v>
      </c>
      <c r="AH31" s="399">
        <f>IF(AG31="判定不能","年齢別配置基準エラー",
IF(AG31="A",ROUND(ROUNDDOWN((L31+K31)/25,1)+ROUNDDOWN((J31)/15,1)+ROUNDDOWN((I31)/6,1),0)+ROUND(ROUNDDOWN((U31+T31)/25,1)+ROUNDDOWN((S31)/15,1)+ROUNDDOWN((R31)/6,1),0),
IF(AG31="B",ROUND(ROUNDDOWN((L31+K31)/25,1)+ROUNDDOWN((J31)/15,1)+ROUNDDOWN((I31)/15,1),0)+ROUND(ROUNDDOWN((U31+T31)/25,1)+ROUNDDOWN((S31)/15,1)+ROUNDDOWN((R31)/15,1),0),
IF(AG31="C",ROUND(ROUNDDOWN((L31+K31)/25,1)+ROUNDDOWN((J31)/20,1)+ROUNDDOWN((I31)/6,1),0)+ROUND(ROUNDDOWN((U31+T31)/25,1)+ROUNDDOWN((S31)/20,1)+ROUNDDOWN((R31)/6,1),0),
IF(AG31="D",ROUND(ROUNDDOWN((L31+K31)/25,1)+ROUNDDOWN((J31)/20,1)+ROUNDDOWN((I31)/20,1),0)+ROUND(ROUNDDOWN((U31+T31)/25,1)+ROUNDDOWN((S31)/20,1)+ROUNDDOWN((R31)/20,1),0),
IF(AG31="E",ROUND(ROUNDDOWN((L31+K31)/30,1)+ROUNDDOWN((J31)/15,1)+ROUNDDOWN((I31)/6,1),0)+ROUND(ROUNDDOWN((U31+T31)/30,1)+ROUNDDOWN((S31)/15,1)+ROUNDDOWN((R31)/6,1),0),
IF(AG31="F",ROUND(ROUNDDOWN((L31+K31)/30,1)+ROUNDDOWN((J31)/15,1)+ROUNDDOWN((I31)/15,1),0)+ROUND(ROUNDDOWN((U31+T31)/30,1)+ROUNDDOWN((S31)/15,1)+ROUNDDOWN((R31)/15,1),0),
IF(AG31="G",ROUND(ROUNDDOWN((L31+K31)/30,1)+ROUNDDOWN((J31)/20,1)+ROUNDDOWN((I31)/6,1),0)+ROUND(ROUNDDOWN((U31+T31)/30,1)+ROUNDDOWN((S31)/20,1)+ROUNDDOWN((R31)/6,1),0),
IF(AG31="H",ROUND(ROUNDDOWN((L31+K31)/30,1)+ROUNDDOWN((J31)/20,1)+ROUNDDOWN((I31)/20,1),0)+ROUND(ROUNDDOWN((U31+T31)/30,1)+ROUNDDOWN((S31)/20,1)+ROUNDDOWN((R31)/20,1),0))))))))))</f>
        <v>0</v>
      </c>
      <c r="AI31" s="588">
        <f t="shared" ref="AI31" si="72">IF(AG31="判定不能","年齢別配置基準エラー",
IF(AG31="A",ROUND(ROUNDDOWN((K31+L31+L32)/25,1)+ROUNDDOWN((K32)/20,1)+ROUNDDOWN((J31+J32)/15,1)+ROUNDDOWN((I31)/6,1)+ROUNDDOWN((H33)/6,1)+ROUNDDOWN((F33)/5,1)+ROUNDDOWN((E33)/3,1),0)+ROUND(ROUNDDOWN((T31+U31+U32)/25,1)+ROUNDDOWN((T32)/20,1)+ROUNDDOWN((S31+S32)/15,1)+ROUNDDOWN((R31)/6,1)+ROUNDDOWN((Q33)/6,1)+ROUNDDOWN((O33)/5,1)+ROUNDDOWN((N33)/3,1),0),
IF(AG31="B",ROUND(ROUNDDOWN((K31+L31+L32)/25,1)+ROUNDDOWN((K32)/20,1)+ROUNDDOWN((J31+J32)/15,1)+ROUNDDOWN((I31)/15,1)+ROUNDDOWN((H33)/6,1)+ROUNDDOWN((F33)/5,1)+ROUNDDOWN((E33)/3,1),0)+ROUND(ROUNDDOWN((T31+U31+U32)/25,1)+ROUNDDOWN((T32)/20,1)+ROUNDDOWN((S31+S32)/15,1)+ROUNDDOWN((R31)/15,1)+ROUNDDOWN((Q33)/6,1)+ROUNDDOWN((O33)/5,1)+ROUNDDOWN((N33)/3,1),0),
IF(AG31="C",ROUND(ROUNDDOWN((K31+L31+L32)/25,1)+ROUNDDOWN((K32)/20,1)+ROUNDDOWN((J31)/20,1)+ROUNDDOWN((J32)/15,1)+ROUNDDOWN((I31)/6,1)+ROUNDDOWN((H33)/6,1)+ROUNDDOWN((F33)/5,1)+ROUNDDOWN((E33)/3,1),0)+ROUND(ROUNDDOWN((T31+U31+U32)/25,1)+ROUNDDOWN((T32)/20,1)+ROUNDDOWN((S31)/20,1)+ROUNDDOWN((S32)/15,1)+ROUNDDOWN((R31)/6,1)+ROUNDDOWN((Q33)/6,1)+ROUNDDOWN((O33)/5,1)+ROUNDDOWN((N33)/3,1),0),
IF(AG31="D",ROUND(ROUNDDOWN((K31+L31+L32)/25,1)+ROUNDDOWN((K32)/20,1)+ROUNDDOWN((J31)/20,1)+ROUNDDOWN((J32)/15,1)+ROUNDDOWN((I31)/20,1)+ROUNDDOWN((H33)/6,1)+ROUNDDOWN((F33)/5,1)+ROUNDDOWN((E33)/3,1),0)+ROUND(ROUNDDOWN((T31+U31+U32)/25,1)+ROUNDDOWN((T32)/20,1)+ROUNDDOWN((S31)/20,1)+ROUNDDOWN((S32)/15,1)+ROUNDDOWN((R31)/20,1)+ROUNDDOWN((Q33)/6,1)+ROUNDDOWN((O33)/5,1)+ROUNDDOWN((N33)/3,1),0),
IF(AG31="E",ROUND(ROUNDDOWN((K31+L31)/30,1)+ROUNDDOWN((L32)/25,1)+ROUNDDOWN((K32)/20,1)+ROUNDDOWN((J31+J32)/15,1)+ROUNDDOWN((I31)/6,1)+ROUNDDOWN((H33)/6,1)+ROUNDDOWN((F33)/5,1)+ROUNDDOWN((E33)/3,1),0)+ROUND(ROUNDDOWN((T31+U31)/30,1)+ROUNDDOWN((U32)/25,1)+ROUNDDOWN((T32)/20,1)+ROUNDDOWN((S31+S32)/15,1)+ROUNDDOWN((R31)/6,1)+ROUNDDOWN((Q33)/6,1)+ROUNDDOWN((O33)/5,1)+ROUNDDOWN((N33)/3,1),0),
IF(AG31="F",ROUND(ROUNDDOWN((K31+L31)/30,1)+ROUNDDOWN((L32)/25,1)+ROUNDDOWN((K32)/20,1)+ROUNDDOWN((J31+J32)/15,1)+ROUNDDOWN((I31)/15,1)+ROUNDDOWN((H33)/6,1)+ROUNDDOWN((F33)/5,1)+ROUNDDOWN((E33)/3,1),0)+ROUND(ROUNDDOWN((T31+U31)/30,1)+ROUNDDOWN((U32)/25,1)+ROUNDDOWN((T32)/20,1)+ROUNDDOWN((S31+S32)/15,1)+ROUNDDOWN((R31)/15,1)+ROUNDDOWN((Q33)/6,1)+ROUNDDOWN((O33)/5,1)+ROUNDDOWN((N33)/3,1),0),
IF(AG31="G",ROUND(ROUNDDOWN((K31+L31)/30,1)+ROUNDDOWN((L32)/25,1)+ROUNDDOWN((K32)/20,1)+ROUNDDOWN((J31)/20,1)+ROUNDDOWN((J32)/15,1)+ROUNDDOWN((I31)/6,1)+ROUNDDOWN((H33)/6,1)+ROUNDDOWN((F33)/5,1)+ROUNDDOWN((E33)/3,1),0)+ROUND(ROUNDDOWN((T31+U31)/30,1)+ROUNDDOWN((U32)/25,1)+ROUNDDOWN((T32)/20,1)+ROUNDDOWN((S31)/20,1)+ROUNDDOWN((S32)/15,1)+ROUNDDOWN((R31)/6,1)+ROUNDDOWN((Q33)/6,1)+ROUNDDOWN((O33)/5,1)+ROUNDDOWN((N33)/3,1),0),
IF(AG31="H",ROUND(ROUNDDOWN((K31+L31)/30,1)+ROUNDDOWN((L32)/25,1)+ROUNDDOWN((K32)/20,1)+ROUNDDOWN((J31)/20,1)+ROUNDDOWN((J32)/15,1)+ROUNDDOWN((I31)/20,1)+ROUNDDOWN((H33)/6,1)+ROUNDDOWN((F33)/5,1)+ROUNDDOWN((E33)/3,1),0)+ROUND(ROUNDDOWN((T31+U31)/30,1)+ROUNDDOWN((U32)/25,1)+ROUNDDOWN((T32)/20,1)+ROUNDDOWN((S31)/20,1)+ROUNDDOWN((S32)/15,1)+ROUNDDOWN((R31)/20,1)+ROUNDDOWN((Q33)/6,1)+ROUNDDOWN((O33)/5,1)+ROUNDDOWN((N33)/3,1),0))))))))))</f>
        <v>0</v>
      </c>
      <c r="AJ31" s="613">
        <f t="shared" ref="AJ31" si="73">AB31+AD31+AE31+AE32+AI31-AF31</f>
        <v>2</v>
      </c>
      <c r="AK31" s="714">
        <f t="shared" ref="AK31" si="74">IF(AG31="判定不能","年齢別配置基準エラー",
IF(OR(AG31="A",AG31="C",AG31="E",AG31="G"),
ROUND(ROUNDDOWN((L31+L32+K31)/25,1)+ROUNDDOWN((K32)/20,1)+ROUNDDOWN((J31+J32)/15,1)+ROUNDDOWN((I31)/6,1)+ROUNDDOWN((H33)/6,1)+ROUNDDOWN((F33)/5,1)+ROUNDDOWN((E33)/3,1),0)+ROUND(ROUNDDOWN((U31+U32+T31)/25,1)+ROUNDDOWN((T32)/20,1)+ROUNDDOWN((S31+S32)/15,1)+ROUNDDOWN((R31)/6,1)+ROUNDDOWN((Q33)/6,1)+ROUNDDOWN((O33)/5,1)+ROUNDDOWN((N33)/3,1),0)+AB31+AD31+AE31+AE32-AF31,
ROUND(ROUNDDOWN((L31+L32+K31)/25,1)+ROUNDDOWN((K32)/20,1)+ROUNDDOWN((J31+J32)/15,1)+ROUNDDOWN((I31)/15,1)+ROUNDDOWN((H33)/6,1)+ROUNDDOWN((F33)/5,1)+ROUNDDOWN((E33)/3,1),0)+ROUND(ROUNDDOWN((U31+U32+T31)/25,1)+ROUNDDOWN((T32)/20,1)+ROUNDDOWN((S31+S32)/15,1)+ROUNDDOWN((R31)/15,1)+ROUNDDOWN((Q33)/6,1)+ROUNDDOWN((O33)/5,1)+ROUNDDOWN((N33)/3,1),0)+AB31+AD31+AE31+AE32-AF31))</f>
        <v>2</v>
      </c>
      <c r="AL31" s="388">
        <f>IFERROR(ROUND(((W31+Y31)/(W31+Y31+W32+Y32))*AM31,1),0)</f>
        <v>0</v>
      </c>
      <c r="AM31" s="607">
        <f>'(R6)年齢別配置基準'!C22</f>
        <v>0</v>
      </c>
      <c r="AN31" s="604"/>
      <c r="AO31" s="626"/>
      <c r="AP31" s="569">
        <f>IF(AO31="専任",0,1)</f>
        <v>1</v>
      </c>
      <c r="AQ31" s="249">
        <f>IFERROR(AP31*(ROUND((W31+Y31)/(Z31+X31),1)),0)</f>
        <v>0</v>
      </c>
      <c r="AR31" s="613">
        <f t="shared" ref="AR31" si="75">AJ31+AM31+AN31+AP31</f>
        <v>3</v>
      </c>
      <c r="AS31" s="518"/>
      <c r="AT31" s="518"/>
      <c r="AU31" s="528">
        <f>$AU$7</f>
        <v>0</v>
      </c>
      <c r="AV31" s="528">
        <f>SUM('様式１－１（【本園分】標準時間対応）'!BA23:BA24)</f>
        <v>0</v>
      </c>
      <c r="AW31" s="528">
        <f>SUM('様式１－２（【分園分】標準時間対応）'!BA23:BA24)</f>
        <v>0</v>
      </c>
      <c r="AX31" s="525">
        <f>IF(OR(AND('様式１－１（【本園分】標準時間対応）'!J23&gt;0, '様式１－１（【本園分】標準時間対応）'!R23&gt;0), '様式１－１（【本園分】標準時間対応）'!BC23&gt;=ROUND((C32+C33)*0.3,0)),1,0) + IF(OR(AND('様式１－２（【分園分】標準時間対応）'!J23&gt;0, '様式１－２（【分園分】標準時間対応）'!R23&gt;0), '様式１－２（【分園分】標準時間対応）'!BC23&gt;=ROUND((D32+D33)*0.3,0)),1,0)</f>
        <v>2</v>
      </c>
      <c r="AY31" s="531">
        <f>2-AB31</f>
        <v>0</v>
      </c>
      <c r="AZ31" s="551">
        <f t="shared" ref="AZ31" si="76">SUM(AR31:AY33)</f>
        <v>5</v>
      </c>
      <c r="BA31" s="200"/>
      <c r="BC31" s="560"/>
      <c r="BD31" s="660">
        <f>'様式２（専従の常勤）'!O58</f>
        <v>0</v>
      </c>
      <c r="BE31" s="620">
        <f>COUNTIFS('様式３（非専従の常勤＋非常勤）'!$AD$8:$AD$37,"&gt;=1")+'様式２（専従の常勤）'!O70</f>
        <v>0</v>
      </c>
      <c r="BF31" s="657">
        <f>'様式３（非専従の常勤＋非常勤）'!$AE$41</f>
        <v>0</v>
      </c>
      <c r="BG31" s="647"/>
      <c r="BH31" s="703">
        <f>COUNTIFS('様式３（非専従の常勤＋非常勤）'!$AD$50:$AD$54,"&gt;=1")</f>
        <v>0</v>
      </c>
      <c r="BI31" s="688">
        <f>ROUNDDOWN('様式３（非専従の常勤＋非常勤）'!$AD$57,1)</f>
        <v>0</v>
      </c>
      <c r="BJ31" s="613">
        <f>BD31+BF31+IF((BG31+BI31)&gt;=AM31,AM31,(BG31+BI31))</f>
        <v>0</v>
      </c>
      <c r="BK31" s="613">
        <f t="shared" ref="BK31" si="77">BJ31-AR31</f>
        <v>-3</v>
      </c>
      <c r="BL31" s="613">
        <f t="shared" ref="BL31" si="78">BJ31-(AK31+AM31+AN31+AP31)</f>
        <v>-3</v>
      </c>
      <c r="BN31" s="685"/>
      <c r="BO31" s="469" t="str">
        <f t="shared" ref="BO31" si="79">IF(BN31&gt;=0.2,BJ31-AR31-BN31,"")</f>
        <v/>
      </c>
      <c r="BS31" s="515" t="s">
        <v>9</v>
      </c>
      <c r="BT31" s="311" t="s">
        <v>71</v>
      </c>
      <c r="BU31" s="312">
        <f>AA31+AC31+AE31+AH31+AL31+AN31+AQ31</f>
        <v>0</v>
      </c>
      <c r="BV31" s="313">
        <f>ROUND(BU31/(BU31+BU32),2)</f>
        <v>0</v>
      </c>
      <c r="BX31" s="515" t="s">
        <v>9</v>
      </c>
      <c r="BY31" s="311" t="s">
        <v>71</v>
      </c>
      <c r="BZ31" s="314">
        <f>AE31+AH31</f>
        <v>0</v>
      </c>
      <c r="CA31" s="313">
        <f t="shared" ref="CA31" si="80">ROUND(BZ31/(BZ31+BZ32),2)</f>
        <v>0</v>
      </c>
    </row>
    <row r="32" spans="1:79" ht="27" customHeight="1">
      <c r="A32" s="654"/>
      <c r="B32" s="72" t="s">
        <v>72</v>
      </c>
      <c r="C32" s="256">
        <f t="shared" si="10"/>
        <v>0</v>
      </c>
      <c r="D32" s="256">
        <f t="shared" si="0"/>
        <v>0</v>
      </c>
      <c r="E32" s="71"/>
      <c r="F32" s="71"/>
      <c r="G32" s="71"/>
      <c r="H32" s="71"/>
      <c r="I32" s="71"/>
      <c r="J32" s="55"/>
      <c r="K32" s="55"/>
      <c r="L32" s="55"/>
      <c r="M32" s="328"/>
      <c r="N32" s="71"/>
      <c r="O32" s="71"/>
      <c r="P32" s="71"/>
      <c r="Q32" s="71"/>
      <c r="R32" s="71"/>
      <c r="S32" s="55"/>
      <c r="T32" s="55"/>
      <c r="U32" s="55"/>
      <c r="V32" s="331"/>
      <c r="W32" s="56">
        <f>SUM(J32:L32)</f>
        <v>0</v>
      </c>
      <c r="X32" s="537"/>
      <c r="Y32" s="56">
        <f>SUM(S32:U32)</f>
        <v>0</v>
      </c>
      <c r="Z32" s="540"/>
      <c r="AA32" s="584">
        <f>IF(C32+C33&lt;=90,1,0)+IF(D32+D33&lt;=90,1,0)</f>
        <v>2</v>
      </c>
      <c r="AB32" s="595"/>
      <c r="AC32" s="586">
        <f>AD31</f>
        <v>0</v>
      </c>
      <c r="AD32" s="595"/>
      <c r="AE32" s="582">
        <f>IF($W32+$W33&gt;0,1,0)+IF($Y32+$Y33&gt;0,1,0)</f>
        <v>0</v>
      </c>
      <c r="AF32" s="624"/>
      <c r="AG32" s="611"/>
      <c r="AH32" s="591">
        <f>AI31-AH31</f>
        <v>0</v>
      </c>
      <c r="AI32" s="589"/>
      <c r="AJ32" s="614"/>
      <c r="AK32" s="715"/>
      <c r="AL32" s="383">
        <f>AM31-AL31</f>
        <v>0</v>
      </c>
      <c r="AM32" s="608"/>
      <c r="AN32" s="605"/>
      <c r="AO32" s="627"/>
      <c r="AP32" s="570"/>
      <c r="AQ32" s="567">
        <f>IFERROR(AP31*(ROUND((W32+W33+Y32+Y33)/(Z31+X31),1)),0)</f>
        <v>0</v>
      </c>
      <c r="AR32" s="614"/>
      <c r="AS32" s="519"/>
      <c r="AT32" s="519"/>
      <c r="AU32" s="529"/>
      <c r="AV32" s="529"/>
      <c r="AW32" s="529"/>
      <c r="AX32" s="526"/>
      <c r="AY32" s="532"/>
      <c r="AZ32" s="552"/>
      <c r="BA32" s="200"/>
      <c r="BC32" s="560"/>
      <c r="BD32" s="661"/>
      <c r="BE32" s="621" t="e">
        <v>#VALUE!</v>
      </c>
      <c r="BF32" s="658"/>
      <c r="BG32" s="648"/>
      <c r="BH32" s="704" t="e">
        <v>#VALUE!</v>
      </c>
      <c r="BI32" s="689"/>
      <c r="BJ32" s="614"/>
      <c r="BK32" s="614"/>
      <c r="BL32" s="614"/>
      <c r="BN32" s="686"/>
      <c r="BO32" s="470"/>
      <c r="BS32" s="516"/>
      <c r="BT32" s="512" t="s">
        <v>155</v>
      </c>
      <c r="BU32" s="778">
        <f>AA32+AC32+AE32+AH32+AL32+AQ32+AU31+AV31+AW31+AX31+AY31</f>
        <v>4</v>
      </c>
      <c r="BV32" s="514">
        <f>1-BV31</f>
        <v>1</v>
      </c>
      <c r="BX32" s="516"/>
      <c r="BY32" s="512" t="s">
        <v>155</v>
      </c>
      <c r="BZ32" s="513">
        <f>AA32+AC32+AH32+AE32</f>
        <v>2</v>
      </c>
      <c r="CA32" s="514">
        <f t="shared" ref="CA32" si="81">ROUND(BZ32/(BZ31+BZ32),2)</f>
        <v>1</v>
      </c>
    </row>
    <row r="33" spans="1:79" ht="27" customHeight="1">
      <c r="A33" s="655"/>
      <c r="B33" s="72" t="s">
        <v>73</v>
      </c>
      <c r="C33" s="256">
        <f t="shared" si="10"/>
        <v>0</v>
      </c>
      <c r="D33" s="256">
        <f t="shared" si="0"/>
        <v>0</v>
      </c>
      <c r="E33" s="55"/>
      <c r="F33" s="55"/>
      <c r="G33" s="73"/>
      <c r="H33" s="55"/>
      <c r="I33" s="71"/>
      <c r="J33" s="71"/>
      <c r="K33" s="71"/>
      <c r="L33" s="71"/>
      <c r="M33" s="328"/>
      <c r="N33" s="55"/>
      <c r="O33" s="55"/>
      <c r="P33" s="73"/>
      <c r="Q33" s="55"/>
      <c r="R33" s="71"/>
      <c r="S33" s="71"/>
      <c r="T33" s="71"/>
      <c r="U33" s="71"/>
      <c r="V33" s="331"/>
      <c r="W33" s="56">
        <f>SUM(E33:F33,H33)</f>
        <v>0</v>
      </c>
      <c r="X33" s="656"/>
      <c r="Y33" s="56">
        <f>SUM(N33:O33,Q33)</f>
        <v>0</v>
      </c>
      <c r="Z33" s="652"/>
      <c r="AA33" s="597"/>
      <c r="AB33" s="596"/>
      <c r="AC33" s="593"/>
      <c r="AD33" s="596"/>
      <c r="AE33" s="583"/>
      <c r="AF33" s="625"/>
      <c r="AG33" s="612"/>
      <c r="AH33" s="592"/>
      <c r="AI33" s="590"/>
      <c r="AJ33" s="615"/>
      <c r="AK33" s="716"/>
      <c r="AL33" s="389"/>
      <c r="AM33" s="609"/>
      <c r="AN33" s="606"/>
      <c r="AO33" s="631"/>
      <c r="AP33" s="571"/>
      <c r="AQ33" s="568"/>
      <c r="AR33" s="615"/>
      <c r="AS33" s="520"/>
      <c r="AT33" s="520"/>
      <c r="AU33" s="530"/>
      <c r="AV33" s="530"/>
      <c r="AW33" s="530"/>
      <c r="AX33" s="527"/>
      <c r="AY33" s="533"/>
      <c r="AZ33" s="553"/>
      <c r="BA33" s="200"/>
      <c r="BC33" s="560"/>
      <c r="BD33" s="662"/>
      <c r="BE33" s="622" t="e">
        <v>#VALUE!</v>
      </c>
      <c r="BF33" s="659"/>
      <c r="BG33" s="649"/>
      <c r="BH33" s="705" t="e">
        <v>#VALUE!</v>
      </c>
      <c r="BI33" s="690"/>
      <c r="BJ33" s="615"/>
      <c r="BK33" s="615"/>
      <c r="BL33" s="615"/>
      <c r="BN33" s="687"/>
      <c r="BO33" s="471"/>
      <c r="BS33" s="517"/>
      <c r="BT33" s="512"/>
      <c r="BU33" s="778"/>
      <c r="BV33" s="514"/>
      <c r="BX33" s="517"/>
      <c r="BY33" s="512"/>
      <c r="BZ33" s="513"/>
      <c r="CA33" s="514"/>
    </row>
    <row r="34" spans="1:79" ht="27" customHeight="1">
      <c r="A34" s="653" t="s">
        <v>12</v>
      </c>
      <c r="B34" s="72" t="s">
        <v>71</v>
      </c>
      <c r="C34" s="255">
        <f t="shared" si="10"/>
        <v>0</v>
      </c>
      <c r="D34" s="255">
        <f t="shared" si="0"/>
        <v>0</v>
      </c>
      <c r="E34" s="71"/>
      <c r="F34" s="71"/>
      <c r="G34" s="71"/>
      <c r="H34" s="71"/>
      <c r="I34" s="55"/>
      <c r="J34" s="222"/>
      <c r="K34" s="55"/>
      <c r="L34" s="55"/>
      <c r="M34" s="328"/>
      <c r="N34" s="71"/>
      <c r="O34" s="71"/>
      <c r="P34" s="71"/>
      <c r="Q34" s="71"/>
      <c r="R34" s="55"/>
      <c r="S34" s="222"/>
      <c r="T34" s="55"/>
      <c r="U34" s="55"/>
      <c r="V34" s="331"/>
      <c r="W34" s="56">
        <f>SUM(I34:L34)</f>
        <v>0</v>
      </c>
      <c r="X34" s="536">
        <f>SUM(W34:W36)</f>
        <v>0</v>
      </c>
      <c r="Y34" s="56">
        <f>SUM(R34:U34)</f>
        <v>0</v>
      </c>
      <c r="Z34" s="539">
        <f>SUM(Y34:Y36)</f>
        <v>0</v>
      </c>
      <c r="AA34" s="207"/>
      <c r="AB34" s="594">
        <f t="shared" ref="AB34" si="82">AA35</f>
        <v>2</v>
      </c>
      <c r="AC34" s="384"/>
      <c r="AD34" s="594">
        <f>IF('様式１－１（【本園分】標準時間対応）'!BC25&gt;0,1,0)+IF('様式１－２（【分園分】標準時間対応）'!BC25&gt;0,1,0)</f>
        <v>0</v>
      </c>
      <c r="AE34" s="382">
        <f>IF($W34&gt;0,1,0)+IF($Y34&gt;0,1,0)</f>
        <v>0</v>
      </c>
      <c r="AF34" s="623"/>
      <c r="AG34" s="610" t="str">
        <f>'(R6)年齢別配置基準'!I23</f>
        <v>H</v>
      </c>
      <c r="AH34" s="399">
        <f>IF(AG34="判定不能","年齢別配置基準エラー",
IF(AG34="A",ROUND(ROUNDDOWN((L34+K34)/25,1)+ROUNDDOWN((J34)/15,1)+ROUNDDOWN((I34)/6,1),0)+ROUND(ROUNDDOWN((U34+T34)/25,1)+ROUNDDOWN((S34)/15,1)+ROUNDDOWN((R34)/6,1),0),
IF(AG34="B",ROUND(ROUNDDOWN((L34+K34)/25,1)+ROUNDDOWN((J34)/15,1)+ROUNDDOWN((I34)/15,1),0)+ROUND(ROUNDDOWN((U34+T34)/25,1)+ROUNDDOWN((S34)/15,1)+ROUNDDOWN((R34)/15,1),0),
IF(AG34="C",ROUND(ROUNDDOWN((L34+K34)/25,1)+ROUNDDOWN((J34)/20,1)+ROUNDDOWN((I34)/6,1),0)+ROUND(ROUNDDOWN((U34+T34)/25,1)+ROUNDDOWN((S34)/20,1)+ROUNDDOWN((R34)/6,1),0),
IF(AG34="D",ROUND(ROUNDDOWN((L34+K34)/25,1)+ROUNDDOWN((J34)/20,1)+ROUNDDOWN((I34)/20,1),0)+ROUND(ROUNDDOWN((U34+T34)/25,1)+ROUNDDOWN((S34)/20,1)+ROUNDDOWN((R34)/20,1),0),
IF(AG34="E",ROUND(ROUNDDOWN((L34+K34)/30,1)+ROUNDDOWN((J34)/15,1)+ROUNDDOWN((I34)/6,1),0)+ROUND(ROUNDDOWN((U34+T34)/30,1)+ROUNDDOWN((S34)/15,1)+ROUNDDOWN((R34)/6,1),0),
IF(AG34="F",ROUND(ROUNDDOWN((L34+K34)/30,1)+ROUNDDOWN((J34)/15,1)+ROUNDDOWN((I34)/15,1),0)+ROUND(ROUNDDOWN((U34+T34)/30,1)+ROUNDDOWN((S34)/15,1)+ROUNDDOWN((R34)/15,1),0),
IF(AG34="G",ROUND(ROUNDDOWN((L34+K34)/30,1)+ROUNDDOWN((J34)/20,1)+ROUNDDOWN((I34)/6,1),0)+ROUND(ROUNDDOWN((U34+T34)/30,1)+ROUNDDOWN((S34)/20,1)+ROUNDDOWN((R34)/6,1),0),
IF(AG34="H",ROUND(ROUNDDOWN((L34+K34)/30,1)+ROUNDDOWN((J34)/20,1)+ROUNDDOWN((I34)/20,1),0)+ROUND(ROUNDDOWN((U34+T34)/30,1)+ROUNDDOWN((S34)/20,1)+ROUNDDOWN((R34)/20,1),0))))))))))</f>
        <v>0</v>
      </c>
      <c r="AI34" s="588">
        <f t="shared" ref="AI34" si="83">IF(AG34="判定不能","年齢別配置基準エラー",
IF(AG34="A",ROUND(ROUNDDOWN((K34+L34+L35)/25,1)+ROUNDDOWN((K35)/20,1)+ROUNDDOWN((J34+J35)/15,1)+ROUNDDOWN((I34)/6,1)+ROUNDDOWN((H36)/6,1)+ROUNDDOWN((F36)/5,1)+ROUNDDOWN((E36)/3,1),0)+ROUND(ROUNDDOWN((T34+U34+U35)/25,1)+ROUNDDOWN((T35)/20,1)+ROUNDDOWN((S34+S35)/15,1)+ROUNDDOWN((R34)/6,1)+ROUNDDOWN((Q36)/6,1)+ROUNDDOWN((O36)/5,1)+ROUNDDOWN((N36)/3,1),0),
IF(AG34="B",ROUND(ROUNDDOWN((K34+L34+L35)/25,1)+ROUNDDOWN((K35)/20,1)+ROUNDDOWN((J34+J35)/15,1)+ROUNDDOWN((I34)/15,1)+ROUNDDOWN((H36)/6,1)+ROUNDDOWN((F36)/5,1)+ROUNDDOWN((E36)/3,1),0)+ROUND(ROUNDDOWN((T34+U34+U35)/25,1)+ROUNDDOWN((T35)/20,1)+ROUNDDOWN((S34+S35)/15,1)+ROUNDDOWN((R34)/15,1)+ROUNDDOWN((Q36)/6,1)+ROUNDDOWN((O36)/5,1)+ROUNDDOWN((N36)/3,1),0),
IF(AG34="C",ROUND(ROUNDDOWN((K34+L34+L35)/25,1)+ROUNDDOWN((K35)/20,1)+ROUNDDOWN((J34)/20,1)+ROUNDDOWN((J35)/15,1)+ROUNDDOWN((I34)/6,1)+ROUNDDOWN((H36)/6,1)+ROUNDDOWN((F36)/5,1)+ROUNDDOWN((E36)/3,1),0)+ROUND(ROUNDDOWN((T34+U34+U35)/25,1)+ROUNDDOWN((T35)/20,1)+ROUNDDOWN((S34)/20,1)+ROUNDDOWN((S35)/15,1)+ROUNDDOWN((R34)/6,1)+ROUNDDOWN((Q36)/6,1)+ROUNDDOWN((O36)/5,1)+ROUNDDOWN((N36)/3,1),0),
IF(AG34="D",ROUND(ROUNDDOWN((K34+L34+L35)/25,1)+ROUNDDOWN((K35)/20,1)+ROUNDDOWN((J34)/20,1)+ROUNDDOWN((J35)/15,1)+ROUNDDOWN((I34)/20,1)+ROUNDDOWN((H36)/6,1)+ROUNDDOWN((F36)/5,1)+ROUNDDOWN((E36)/3,1),0)+ROUND(ROUNDDOWN((T34+U34+U35)/25,1)+ROUNDDOWN((T35)/20,1)+ROUNDDOWN((S34)/20,1)+ROUNDDOWN((S35)/15,1)+ROUNDDOWN((R34)/20,1)+ROUNDDOWN((Q36)/6,1)+ROUNDDOWN((O36)/5,1)+ROUNDDOWN((N36)/3,1),0),
IF(AG34="E",ROUND(ROUNDDOWN((K34+L34)/30,1)+ROUNDDOWN((L35)/25,1)+ROUNDDOWN((K35)/20,1)+ROUNDDOWN((J34+J35)/15,1)+ROUNDDOWN((I34)/6,1)+ROUNDDOWN((H36)/6,1)+ROUNDDOWN((F36)/5,1)+ROUNDDOWN((E36)/3,1),0)+ROUND(ROUNDDOWN((T34+U34)/30,1)+ROUNDDOWN((U35)/25,1)+ROUNDDOWN((T35)/20,1)+ROUNDDOWN((S34+S35)/15,1)+ROUNDDOWN((R34)/6,1)+ROUNDDOWN((Q36)/6,1)+ROUNDDOWN((O36)/5,1)+ROUNDDOWN((N36)/3,1),0),
IF(AG34="F",ROUND(ROUNDDOWN((K34+L34)/30,1)+ROUNDDOWN((L35)/25,1)+ROUNDDOWN((K35)/20,1)+ROUNDDOWN((J34+J35)/15,1)+ROUNDDOWN((I34)/15,1)+ROUNDDOWN((H36)/6,1)+ROUNDDOWN((F36)/5,1)+ROUNDDOWN((E36)/3,1),0)+ROUND(ROUNDDOWN((T34+U34)/30,1)+ROUNDDOWN((U35)/25,1)+ROUNDDOWN((T35)/20,1)+ROUNDDOWN((S34+S35)/15,1)+ROUNDDOWN((R34)/15,1)+ROUNDDOWN((Q36)/6,1)+ROUNDDOWN((O36)/5,1)+ROUNDDOWN((N36)/3,1),0),
IF(AG34="G",ROUND(ROUNDDOWN((K34+L34)/30,1)+ROUNDDOWN((L35)/25,1)+ROUNDDOWN((K35)/20,1)+ROUNDDOWN((J34)/20,1)+ROUNDDOWN((J35)/15,1)+ROUNDDOWN((I34)/6,1)+ROUNDDOWN((H36)/6,1)+ROUNDDOWN((F36)/5,1)+ROUNDDOWN((E36)/3,1),0)+ROUND(ROUNDDOWN((T34+U34)/30,1)+ROUNDDOWN((U35)/25,1)+ROUNDDOWN((T35)/20,1)+ROUNDDOWN((S34)/20,1)+ROUNDDOWN((S35)/15,1)+ROUNDDOWN((R34)/6,1)+ROUNDDOWN((Q36)/6,1)+ROUNDDOWN((O36)/5,1)+ROUNDDOWN((N36)/3,1),0),
IF(AG34="H",ROUND(ROUNDDOWN((K34+L34)/30,1)+ROUNDDOWN((L35)/25,1)+ROUNDDOWN((K35)/20,1)+ROUNDDOWN((J34)/20,1)+ROUNDDOWN((J35)/15,1)+ROUNDDOWN((I34)/20,1)+ROUNDDOWN((H36)/6,1)+ROUNDDOWN((F36)/5,1)+ROUNDDOWN((E36)/3,1),0)+ROUND(ROUNDDOWN((T34+U34)/30,1)+ROUNDDOWN((U35)/25,1)+ROUNDDOWN((T35)/20,1)+ROUNDDOWN((S34)/20,1)+ROUNDDOWN((S35)/15,1)+ROUNDDOWN((R34)/20,1)+ROUNDDOWN((Q36)/6,1)+ROUNDDOWN((O36)/5,1)+ROUNDDOWN((N36)/3,1),0))))))))))</f>
        <v>0</v>
      </c>
      <c r="AJ34" s="613">
        <f t="shared" ref="AJ34" si="84">AB34+AD34+AE34+AE35+AI34-AF34</f>
        <v>2</v>
      </c>
      <c r="AK34" s="714">
        <f t="shared" ref="AK34" si="85">IF(AG34="判定不能","年齢別配置基準エラー",
IF(OR(AG34="A",AG34="C",AG34="E",AG34="G"),
ROUND(ROUNDDOWN((L34+L35+K34)/25,1)+ROUNDDOWN((K35)/20,1)+ROUNDDOWN((J34+J35)/15,1)+ROUNDDOWN((I34)/6,1)+ROUNDDOWN((H36)/6,1)+ROUNDDOWN((F36)/5,1)+ROUNDDOWN((E36)/3,1),0)+ROUND(ROUNDDOWN((U34+U35+T34)/25,1)+ROUNDDOWN((T35)/20,1)+ROUNDDOWN((S34+S35)/15,1)+ROUNDDOWN((R34)/6,1)+ROUNDDOWN((Q36)/6,1)+ROUNDDOWN((O36)/5,1)+ROUNDDOWN((N36)/3,1),0)+AB34+AD34+AE34+AE35-AF34,
ROUND(ROUNDDOWN((L34+L35+K34)/25,1)+ROUNDDOWN((K35)/20,1)+ROUNDDOWN((J34+J35)/15,1)+ROUNDDOWN((I34)/15,1)+ROUNDDOWN((H36)/6,1)+ROUNDDOWN((F36)/5,1)+ROUNDDOWN((E36)/3,1),0)+ROUND(ROUNDDOWN((U34+U35+T34)/25,1)+ROUNDDOWN((T35)/20,1)+ROUNDDOWN((S34+S35)/15,1)+ROUNDDOWN((R34)/15,1)+ROUNDDOWN((Q36)/6,1)+ROUNDDOWN((O36)/5,1)+ROUNDDOWN((N36)/3,1),0)+AB34+AD34+AE34+AE35-AF34))</f>
        <v>2</v>
      </c>
      <c r="AL34" s="388">
        <f>IFERROR(ROUND(((W34+Y34)/(W34+Y34+W35+Y35))*AM34,1),0)</f>
        <v>0</v>
      </c>
      <c r="AM34" s="607">
        <f>'(R6)年齢別配置基準'!C23</f>
        <v>0</v>
      </c>
      <c r="AN34" s="604"/>
      <c r="AO34" s="626"/>
      <c r="AP34" s="569">
        <f>IF(AO34="専任",0,1)</f>
        <v>1</v>
      </c>
      <c r="AQ34" s="249">
        <f>IFERROR(AP34*(ROUND((W34+Y34)/(Z34+X34),1)),0)</f>
        <v>0</v>
      </c>
      <c r="AR34" s="613">
        <f t="shared" ref="AR34" si="86">AJ34+AM34+AN34+AP34</f>
        <v>3</v>
      </c>
      <c r="AS34" s="518"/>
      <c r="AT34" s="518"/>
      <c r="AU34" s="528">
        <f>$AU$7</f>
        <v>0</v>
      </c>
      <c r="AV34" s="528">
        <f>SUM('様式１－１（【本園分】標準時間対応）'!BA25:BA26)</f>
        <v>0</v>
      </c>
      <c r="AW34" s="528">
        <f>SUM('様式１－２（【分園分】標準時間対応）'!BA25:BA26)</f>
        <v>0</v>
      </c>
      <c r="AX34" s="525">
        <f>IF(OR(AND('様式１－１（【本園分】標準時間対応）'!J25&gt;0, '様式１－１（【本園分】標準時間対応）'!R25&gt;0), '様式１－１（【本園分】標準時間対応）'!BC25&gt;=ROUND((C35+C36)*0.3,0)),1,0) + IF(OR(AND('様式１－２（【分園分】標準時間対応）'!J25&gt;0, '様式１－２（【分園分】標準時間対応）'!R25&gt;0), '様式１－２（【分園分】標準時間対応）'!BC25&gt;=ROUND((D35+D36)*0.3,0)),1,0)</f>
        <v>2</v>
      </c>
      <c r="AY34" s="531">
        <f>2-AB34</f>
        <v>0</v>
      </c>
      <c r="AZ34" s="551">
        <f t="shared" ref="AZ34" si="87">SUM(AR34:AY36)</f>
        <v>5</v>
      </c>
      <c r="BA34" s="200"/>
      <c r="BC34" s="560"/>
      <c r="BD34" s="660">
        <f>'様式２（専従の常勤）'!P58</f>
        <v>0</v>
      </c>
      <c r="BE34" s="620">
        <f>COUNTIFS('様式３（非専従の常勤＋非常勤）'!$AF$8:$AF$37,"&gt;=1")+'様式２（専従の常勤）'!P70</f>
        <v>0</v>
      </c>
      <c r="BF34" s="657">
        <f>'様式３（非専従の常勤＋非常勤）'!$AG$41</f>
        <v>0</v>
      </c>
      <c r="BG34" s="647"/>
      <c r="BH34" s="703">
        <f>COUNTIFS('様式３（非専従の常勤＋非常勤）'!$AF$50:$AF$54,"&gt;=1")</f>
        <v>0</v>
      </c>
      <c r="BI34" s="688">
        <f>ROUNDDOWN('様式３（非専従の常勤＋非常勤）'!$AF$57,1)</f>
        <v>0</v>
      </c>
      <c r="BJ34" s="613">
        <f>BD34+BF34+IF((BG34+BI34)&gt;=AM34,AM34,(BG34+BI34))</f>
        <v>0</v>
      </c>
      <c r="BK34" s="613">
        <f t="shared" ref="BK34" si="88">BJ34-AR34</f>
        <v>-3</v>
      </c>
      <c r="BL34" s="613">
        <f t="shared" ref="BL34" si="89">BJ34-(AK34+AM34+AN34+AP34)</f>
        <v>-3</v>
      </c>
      <c r="BN34" s="685"/>
      <c r="BO34" s="469" t="str">
        <f t="shared" ref="BO34" si="90">IF(BN34&gt;=0.2,BJ34-AR34-BN34,"")</f>
        <v/>
      </c>
      <c r="BS34" s="515" t="s">
        <v>12</v>
      </c>
      <c r="BT34" s="311" t="s">
        <v>71</v>
      </c>
      <c r="BU34" s="312">
        <f>AA34+AC34+AE34+AH34+AL34+AN34+AQ34</f>
        <v>0</v>
      </c>
      <c r="BV34" s="313">
        <f>ROUND(BU34/(BU34+BU35),2)</f>
        <v>0</v>
      </c>
      <c r="BX34" s="515" t="s">
        <v>12</v>
      </c>
      <c r="BY34" s="311" t="s">
        <v>71</v>
      </c>
      <c r="BZ34" s="314">
        <f>AE34+AH34</f>
        <v>0</v>
      </c>
      <c r="CA34" s="313">
        <f t="shared" ref="CA34" si="91">ROUND(BZ34/(BZ34+BZ35),2)</f>
        <v>0</v>
      </c>
    </row>
    <row r="35" spans="1:79" ht="27" customHeight="1">
      <c r="A35" s="654"/>
      <c r="B35" s="72" t="s">
        <v>72</v>
      </c>
      <c r="C35" s="256">
        <f t="shared" si="10"/>
        <v>0</v>
      </c>
      <c r="D35" s="256">
        <f t="shared" si="0"/>
        <v>0</v>
      </c>
      <c r="E35" s="71"/>
      <c r="F35" s="71"/>
      <c r="G35" s="71"/>
      <c r="H35" s="71"/>
      <c r="I35" s="71"/>
      <c r="J35" s="55"/>
      <c r="K35" s="55"/>
      <c r="L35" s="55"/>
      <c r="M35" s="328"/>
      <c r="N35" s="71"/>
      <c r="O35" s="71"/>
      <c r="P35" s="71"/>
      <c r="Q35" s="71"/>
      <c r="R35" s="71"/>
      <c r="S35" s="55"/>
      <c r="T35" s="55"/>
      <c r="U35" s="55"/>
      <c r="V35" s="331"/>
      <c r="W35" s="56">
        <f>SUM(J35:L35)</f>
        <v>0</v>
      </c>
      <c r="X35" s="537"/>
      <c r="Y35" s="56">
        <f>SUM(S35:U35)</f>
        <v>0</v>
      </c>
      <c r="Z35" s="540"/>
      <c r="AA35" s="584">
        <f>IF(C35+C36&lt;=90,1,0)+IF(D35+D36&lt;=90,1,0)</f>
        <v>2</v>
      </c>
      <c r="AB35" s="595"/>
      <c r="AC35" s="586">
        <f>AD34</f>
        <v>0</v>
      </c>
      <c r="AD35" s="595"/>
      <c r="AE35" s="582">
        <f>IF($W35+$W36&gt;0,1,0)+IF($Y35+$Y36&gt;0,1,0)</f>
        <v>0</v>
      </c>
      <c r="AF35" s="624"/>
      <c r="AG35" s="611"/>
      <c r="AH35" s="591">
        <f>AI34-AH34</f>
        <v>0</v>
      </c>
      <c r="AI35" s="589"/>
      <c r="AJ35" s="614"/>
      <c r="AK35" s="715"/>
      <c r="AL35" s="383">
        <f>AM34-AL34</f>
        <v>0</v>
      </c>
      <c r="AM35" s="608"/>
      <c r="AN35" s="605"/>
      <c r="AO35" s="627"/>
      <c r="AP35" s="570"/>
      <c r="AQ35" s="567">
        <f>IFERROR(AP34*(ROUND((W35+W36+Y35+Y36)/(Z34+X34),1)),0)</f>
        <v>0</v>
      </c>
      <c r="AR35" s="614"/>
      <c r="AS35" s="519"/>
      <c r="AT35" s="519"/>
      <c r="AU35" s="529"/>
      <c r="AV35" s="529"/>
      <c r="AW35" s="529"/>
      <c r="AX35" s="526"/>
      <c r="AY35" s="532"/>
      <c r="AZ35" s="552"/>
      <c r="BA35" s="200"/>
      <c r="BC35" s="560"/>
      <c r="BD35" s="661"/>
      <c r="BE35" s="621" t="e">
        <v>#VALUE!</v>
      </c>
      <c r="BF35" s="658"/>
      <c r="BG35" s="648"/>
      <c r="BH35" s="704" t="e">
        <v>#VALUE!</v>
      </c>
      <c r="BI35" s="689"/>
      <c r="BJ35" s="614"/>
      <c r="BK35" s="614"/>
      <c r="BL35" s="614"/>
      <c r="BN35" s="686"/>
      <c r="BO35" s="470"/>
      <c r="BS35" s="516"/>
      <c r="BT35" s="512" t="s">
        <v>155</v>
      </c>
      <c r="BU35" s="778">
        <f>AA35+AC35+AE35+AH35+AL35+AQ35+AU34+AV34+AW34+AX34+AY34</f>
        <v>4</v>
      </c>
      <c r="BV35" s="514">
        <f>1-BV34</f>
        <v>1</v>
      </c>
      <c r="BX35" s="516"/>
      <c r="BY35" s="512" t="s">
        <v>155</v>
      </c>
      <c r="BZ35" s="513">
        <f>AA35+AC35+AH35+AE35</f>
        <v>2</v>
      </c>
      <c r="CA35" s="514">
        <f t="shared" ref="CA35" si="92">ROUND(BZ35/(BZ34+BZ35),2)</f>
        <v>1</v>
      </c>
    </row>
    <row r="36" spans="1:79" ht="27" customHeight="1">
      <c r="A36" s="655"/>
      <c r="B36" s="72" t="s">
        <v>73</v>
      </c>
      <c r="C36" s="256">
        <f t="shared" si="10"/>
        <v>0</v>
      </c>
      <c r="D36" s="256">
        <f t="shared" si="0"/>
        <v>0</v>
      </c>
      <c r="E36" s="55"/>
      <c r="F36" s="55"/>
      <c r="G36" s="73"/>
      <c r="H36" s="55"/>
      <c r="I36" s="71"/>
      <c r="J36" s="71"/>
      <c r="K36" s="71"/>
      <c r="L36" s="71"/>
      <c r="M36" s="328"/>
      <c r="N36" s="55"/>
      <c r="O36" s="55"/>
      <c r="P36" s="73"/>
      <c r="Q36" s="55"/>
      <c r="R36" s="71"/>
      <c r="S36" s="71"/>
      <c r="T36" s="71"/>
      <c r="U36" s="71"/>
      <c r="V36" s="331"/>
      <c r="W36" s="56">
        <f>SUM(E36:F36,H36)</f>
        <v>0</v>
      </c>
      <c r="X36" s="656"/>
      <c r="Y36" s="56">
        <f>SUM(N36:O36,Q36)</f>
        <v>0</v>
      </c>
      <c r="Z36" s="652"/>
      <c r="AA36" s="597"/>
      <c r="AB36" s="596"/>
      <c r="AC36" s="593"/>
      <c r="AD36" s="596"/>
      <c r="AE36" s="583"/>
      <c r="AF36" s="625"/>
      <c r="AG36" s="612"/>
      <c r="AH36" s="592"/>
      <c r="AI36" s="590"/>
      <c r="AJ36" s="615"/>
      <c r="AK36" s="716"/>
      <c r="AL36" s="389"/>
      <c r="AM36" s="609"/>
      <c r="AN36" s="606"/>
      <c r="AO36" s="631"/>
      <c r="AP36" s="571"/>
      <c r="AQ36" s="568"/>
      <c r="AR36" s="615"/>
      <c r="AS36" s="520"/>
      <c r="AT36" s="520"/>
      <c r="AU36" s="530"/>
      <c r="AV36" s="530"/>
      <c r="AW36" s="530"/>
      <c r="AX36" s="527"/>
      <c r="AY36" s="533"/>
      <c r="AZ36" s="553"/>
      <c r="BA36" s="200"/>
      <c r="BC36" s="560"/>
      <c r="BD36" s="662"/>
      <c r="BE36" s="622" t="e">
        <v>#VALUE!</v>
      </c>
      <c r="BF36" s="659"/>
      <c r="BG36" s="649"/>
      <c r="BH36" s="705" t="e">
        <v>#VALUE!</v>
      </c>
      <c r="BI36" s="690"/>
      <c r="BJ36" s="615"/>
      <c r="BK36" s="615"/>
      <c r="BL36" s="615"/>
      <c r="BN36" s="687"/>
      <c r="BO36" s="471"/>
      <c r="BS36" s="517"/>
      <c r="BT36" s="512"/>
      <c r="BU36" s="778"/>
      <c r="BV36" s="514"/>
      <c r="BX36" s="517"/>
      <c r="BY36" s="512"/>
      <c r="BZ36" s="513"/>
      <c r="CA36" s="514"/>
    </row>
    <row r="37" spans="1:79" ht="27" customHeight="1">
      <c r="A37" s="653" t="s">
        <v>15</v>
      </c>
      <c r="B37" s="72" t="s">
        <v>71</v>
      </c>
      <c r="C37" s="255">
        <f t="shared" si="10"/>
        <v>0</v>
      </c>
      <c r="D37" s="255">
        <f t="shared" si="0"/>
        <v>0</v>
      </c>
      <c r="E37" s="71"/>
      <c r="F37" s="71"/>
      <c r="G37" s="71"/>
      <c r="H37" s="71"/>
      <c r="I37" s="55"/>
      <c r="J37" s="222"/>
      <c r="K37" s="55"/>
      <c r="L37" s="55"/>
      <c r="M37" s="328"/>
      <c r="N37" s="71"/>
      <c r="O37" s="71"/>
      <c r="P37" s="71"/>
      <c r="Q37" s="71"/>
      <c r="R37" s="55"/>
      <c r="S37" s="222"/>
      <c r="T37" s="55"/>
      <c r="U37" s="55"/>
      <c r="V37" s="331"/>
      <c r="W37" s="56">
        <f>SUM(I37:L37)</f>
        <v>0</v>
      </c>
      <c r="X37" s="536">
        <f>SUM(W37:W39)</f>
        <v>0</v>
      </c>
      <c r="Y37" s="56">
        <f>SUM(R37:U37)</f>
        <v>0</v>
      </c>
      <c r="Z37" s="539">
        <f>SUM(Y37:Y39)</f>
        <v>0</v>
      </c>
      <c r="AA37" s="207"/>
      <c r="AB37" s="594">
        <f t="shared" ref="AB37" si="93">AA38</f>
        <v>2</v>
      </c>
      <c r="AC37" s="384"/>
      <c r="AD37" s="594">
        <f>IF('様式１－１（【本園分】標準時間対応）'!BC27&gt;0,1,0)+IF('様式１－２（【分園分】標準時間対応）'!BC27&gt;0,1,0)</f>
        <v>0</v>
      </c>
      <c r="AE37" s="382">
        <f>IF($W37&gt;0,1,0)+IF($Y37&gt;0,1,0)</f>
        <v>0</v>
      </c>
      <c r="AF37" s="623"/>
      <c r="AG37" s="610" t="str">
        <f>'(R6)年齢別配置基準'!I24</f>
        <v>H</v>
      </c>
      <c r="AH37" s="399">
        <f>IF(AG37="判定不能","年齢別配置基準エラー",
IF(AG37="A",ROUND(ROUNDDOWN((L37+K37)/25,1)+ROUNDDOWN((J37)/15,1)+ROUNDDOWN((I37)/6,1),0)+ROUND(ROUNDDOWN((U37+T37)/25,1)+ROUNDDOWN((S37)/15,1)+ROUNDDOWN((R37)/6,1),0),
IF(AG37="B",ROUND(ROUNDDOWN((L37+K37)/25,1)+ROUNDDOWN((J37)/15,1)+ROUNDDOWN((I37)/15,1),0)+ROUND(ROUNDDOWN((U37+T37)/25,1)+ROUNDDOWN((S37)/15,1)+ROUNDDOWN((R37)/15,1),0),
IF(AG37="C",ROUND(ROUNDDOWN((L37+K37)/25,1)+ROUNDDOWN((J37)/20,1)+ROUNDDOWN((I37)/6,1),0)+ROUND(ROUNDDOWN((U37+T37)/25,1)+ROUNDDOWN((S37)/20,1)+ROUNDDOWN((R37)/6,1),0),
IF(AG37="D",ROUND(ROUNDDOWN((L37+K37)/25,1)+ROUNDDOWN((J37)/20,1)+ROUNDDOWN((I37)/20,1),0)+ROUND(ROUNDDOWN((U37+T37)/25,1)+ROUNDDOWN((S37)/20,1)+ROUNDDOWN((R37)/20,1),0),
IF(AG37="E",ROUND(ROUNDDOWN((L37+K37)/30,1)+ROUNDDOWN((J37)/15,1)+ROUNDDOWN((I37)/6,1),0)+ROUND(ROUNDDOWN((U37+T37)/30,1)+ROUNDDOWN((S37)/15,1)+ROUNDDOWN((R37)/6,1),0),
IF(AG37="F",ROUND(ROUNDDOWN((L37+K37)/30,1)+ROUNDDOWN((J37)/15,1)+ROUNDDOWN((I37)/15,1),0)+ROUND(ROUNDDOWN((U37+T37)/30,1)+ROUNDDOWN((S37)/15,1)+ROUNDDOWN((R37)/15,1),0),
IF(AG37="G",ROUND(ROUNDDOWN((L37+K37)/30,1)+ROUNDDOWN((J37)/20,1)+ROUNDDOWN((I37)/6,1),0)+ROUND(ROUNDDOWN((U37+T37)/30,1)+ROUNDDOWN((S37)/20,1)+ROUNDDOWN((R37)/6,1),0),
IF(AG37="H",ROUND(ROUNDDOWN((L37+K37)/30,1)+ROUNDDOWN((J37)/20,1)+ROUNDDOWN((I37)/20,1),0)+ROUND(ROUNDDOWN((U37+T37)/30,1)+ROUNDDOWN((S37)/20,1)+ROUNDDOWN((R37)/20,1),0))))))))))</f>
        <v>0</v>
      </c>
      <c r="AI37" s="588">
        <f t="shared" ref="AI37" si="94">IF(AG37="判定不能","年齢別配置基準エラー",
IF(AG37="A",ROUND(ROUNDDOWN((K37+L37+L38)/25,1)+ROUNDDOWN((K38)/20,1)+ROUNDDOWN((J37+J38)/15,1)+ROUNDDOWN((I37)/6,1)+ROUNDDOWN((H39)/6,1)+ROUNDDOWN((F39)/5,1)+ROUNDDOWN((E39)/3,1),0)+ROUND(ROUNDDOWN((T37+U37+U38)/25,1)+ROUNDDOWN((T38)/20,1)+ROUNDDOWN((S37+S38)/15,1)+ROUNDDOWN((R37)/6,1)+ROUNDDOWN((Q39)/6,1)+ROUNDDOWN((O39)/5,1)+ROUNDDOWN((N39)/3,1),0),
IF(AG37="B",ROUND(ROUNDDOWN((K37+L37+L38)/25,1)+ROUNDDOWN((K38)/20,1)+ROUNDDOWN((J37+J38)/15,1)+ROUNDDOWN((I37)/15,1)+ROUNDDOWN((H39)/6,1)+ROUNDDOWN((F39)/5,1)+ROUNDDOWN((E39)/3,1),0)+ROUND(ROUNDDOWN((T37+U37+U38)/25,1)+ROUNDDOWN((T38)/20,1)+ROUNDDOWN((S37+S38)/15,1)+ROUNDDOWN((R37)/15,1)+ROUNDDOWN((Q39)/6,1)+ROUNDDOWN((O39)/5,1)+ROUNDDOWN((N39)/3,1),0),
IF(AG37="C",ROUND(ROUNDDOWN((K37+L37+L38)/25,1)+ROUNDDOWN((K38)/20,1)+ROUNDDOWN((J37)/20,1)+ROUNDDOWN((J38)/15,1)+ROUNDDOWN((I37)/6,1)+ROUNDDOWN((H39)/6,1)+ROUNDDOWN((F39)/5,1)+ROUNDDOWN((E39)/3,1),0)+ROUND(ROUNDDOWN((T37+U37+U38)/25,1)+ROUNDDOWN((T38)/20,1)+ROUNDDOWN((S37)/20,1)+ROUNDDOWN((S38)/15,1)+ROUNDDOWN((R37)/6,1)+ROUNDDOWN((Q39)/6,1)+ROUNDDOWN((O39)/5,1)+ROUNDDOWN((N39)/3,1),0),
IF(AG37="D",ROUND(ROUNDDOWN((K37+L37+L38)/25,1)+ROUNDDOWN((K38)/20,1)+ROUNDDOWN((J37)/20,1)+ROUNDDOWN((J38)/15,1)+ROUNDDOWN((I37)/20,1)+ROUNDDOWN((H39)/6,1)+ROUNDDOWN((F39)/5,1)+ROUNDDOWN((E39)/3,1),0)+ROUND(ROUNDDOWN((T37+U37+U38)/25,1)+ROUNDDOWN((T38)/20,1)+ROUNDDOWN((S37)/20,1)+ROUNDDOWN((S38)/15,1)+ROUNDDOWN((R37)/20,1)+ROUNDDOWN((Q39)/6,1)+ROUNDDOWN((O39)/5,1)+ROUNDDOWN((N39)/3,1),0),
IF(AG37="E",ROUND(ROUNDDOWN((K37+L37)/30,1)+ROUNDDOWN((L38)/25,1)+ROUNDDOWN((K38)/20,1)+ROUNDDOWN((J37+J38)/15,1)+ROUNDDOWN((I37)/6,1)+ROUNDDOWN((H39)/6,1)+ROUNDDOWN((F39)/5,1)+ROUNDDOWN((E39)/3,1),0)+ROUND(ROUNDDOWN((T37+U37)/30,1)+ROUNDDOWN((U38)/25,1)+ROUNDDOWN((T38)/20,1)+ROUNDDOWN((S37+S38)/15,1)+ROUNDDOWN((R37)/6,1)+ROUNDDOWN((Q39)/6,1)+ROUNDDOWN((O39)/5,1)+ROUNDDOWN((N39)/3,1),0),
IF(AG37="F",ROUND(ROUNDDOWN((K37+L37)/30,1)+ROUNDDOWN((L38)/25,1)+ROUNDDOWN((K38)/20,1)+ROUNDDOWN((J37+J38)/15,1)+ROUNDDOWN((I37)/15,1)+ROUNDDOWN((H39)/6,1)+ROUNDDOWN((F39)/5,1)+ROUNDDOWN((E39)/3,1),0)+ROUND(ROUNDDOWN((T37+U37)/30,1)+ROUNDDOWN((U38)/25,1)+ROUNDDOWN((T38)/20,1)+ROUNDDOWN((S37+S38)/15,1)+ROUNDDOWN((R37)/15,1)+ROUNDDOWN((Q39)/6,1)+ROUNDDOWN((O39)/5,1)+ROUNDDOWN((N39)/3,1),0),
IF(AG37="G",ROUND(ROUNDDOWN((K37+L37)/30,1)+ROUNDDOWN((L38)/25,1)+ROUNDDOWN((K38)/20,1)+ROUNDDOWN((J37)/20,1)+ROUNDDOWN((J38)/15,1)+ROUNDDOWN((I37)/6,1)+ROUNDDOWN((H39)/6,1)+ROUNDDOWN((F39)/5,1)+ROUNDDOWN((E39)/3,1),0)+ROUND(ROUNDDOWN((T37+U37)/30,1)+ROUNDDOWN((U38)/25,1)+ROUNDDOWN((T38)/20,1)+ROUNDDOWN((S37)/20,1)+ROUNDDOWN((S38)/15,1)+ROUNDDOWN((R37)/6,1)+ROUNDDOWN((Q39)/6,1)+ROUNDDOWN((O39)/5,1)+ROUNDDOWN((N39)/3,1),0),
IF(AG37="H",ROUND(ROUNDDOWN((K37+L37)/30,1)+ROUNDDOWN((L38)/25,1)+ROUNDDOWN((K38)/20,1)+ROUNDDOWN((J37)/20,1)+ROUNDDOWN((J38)/15,1)+ROUNDDOWN((I37)/20,1)+ROUNDDOWN((H39)/6,1)+ROUNDDOWN((F39)/5,1)+ROUNDDOWN((E39)/3,1),0)+ROUND(ROUNDDOWN((T37+U37)/30,1)+ROUNDDOWN((U38)/25,1)+ROUNDDOWN((T38)/20,1)+ROUNDDOWN((S37)/20,1)+ROUNDDOWN((S38)/15,1)+ROUNDDOWN((R37)/20,1)+ROUNDDOWN((Q39)/6,1)+ROUNDDOWN((O39)/5,1)+ROUNDDOWN((N39)/3,1),0))))))))))</f>
        <v>0</v>
      </c>
      <c r="AJ37" s="613">
        <f t="shared" ref="AJ37" si="95">AB37+AD37+AE37+AE38+AI37-AF37</f>
        <v>2</v>
      </c>
      <c r="AK37" s="714">
        <f t="shared" ref="AK37" si="96">IF(AG37="判定不能","年齢別配置基準エラー",
IF(OR(AG37="A",AG37="C",AG37="E",AG37="G"),
ROUND(ROUNDDOWN((L37+L38+K37)/25,1)+ROUNDDOWN((K38)/20,1)+ROUNDDOWN((J37+J38)/15,1)+ROUNDDOWN((I37)/6,1)+ROUNDDOWN((H39)/6,1)+ROUNDDOWN((F39)/5,1)+ROUNDDOWN((E39)/3,1),0)+ROUND(ROUNDDOWN((U37+U38+T37)/25,1)+ROUNDDOWN((T38)/20,1)+ROUNDDOWN((S37+S38)/15,1)+ROUNDDOWN((R37)/6,1)+ROUNDDOWN((Q39)/6,1)+ROUNDDOWN((O39)/5,1)+ROUNDDOWN((N39)/3,1),0)+AB37+AD37+AE37+AE38-AF37,
ROUND(ROUNDDOWN((L37+L38+K37)/25,1)+ROUNDDOWN((K38)/20,1)+ROUNDDOWN((J37+J38)/15,1)+ROUNDDOWN((I37)/15,1)+ROUNDDOWN((H39)/6,1)+ROUNDDOWN((F39)/5,1)+ROUNDDOWN((E39)/3,1),0)+ROUND(ROUNDDOWN((U37+U38+T37)/25,1)+ROUNDDOWN((T38)/20,1)+ROUNDDOWN((S37+S38)/15,1)+ROUNDDOWN((R37)/15,1)+ROUNDDOWN((Q39)/6,1)+ROUNDDOWN((O39)/5,1)+ROUNDDOWN((N39)/3,1),0)+AB37+AD37+AE37+AE38-AF37))</f>
        <v>2</v>
      </c>
      <c r="AL37" s="388">
        <f>IFERROR(ROUND(((W37+Y37)/(W37+Y37+W38+Y38))*AM37,1),0)</f>
        <v>0</v>
      </c>
      <c r="AM37" s="607">
        <f>'(R6)年齢別配置基準'!C24</f>
        <v>0</v>
      </c>
      <c r="AN37" s="604"/>
      <c r="AO37" s="626"/>
      <c r="AP37" s="569">
        <f>IF(AO37="専任",0,1)</f>
        <v>1</v>
      </c>
      <c r="AQ37" s="249">
        <f>IFERROR(AP37*(ROUND((W37+Y37)/(Z37+X37),1)),0)</f>
        <v>0</v>
      </c>
      <c r="AR37" s="613">
        <f t="shared" ref="AR37" si="97">AJ37+AM37+AN37+AP37</f>
        <v>3</v>
      </c>
      <c r="AS37" s="518"/>
      <c r="AT37" s="518"/>
      <c r="AU37" s="528">
        <f>$AU$7</f>
        <v>0</v>
      </c>
      <c r="AV37" s="528">
        <f>SUM('様式１－１（【本園分】標準時間対応）'!BA27:BA28)</f>
        <v>0</v>
      </c>
      <c r="AW37" s="528">
        <f>SUM('様式１－２（【分園分】標準時間対応）'!BA27:BA28)</f>
        <v>0</v>
      </c>
      <c r="AX37" s="525">
        <f>IF(OR(AND('様式１－１（【本園分】標準時間対応）'!J27&gt;0, '様式１－１（【本園分】標準時間対応）'!R27&gt;0), '様式１－１（【本園分】標準時間対応）'!BC27&gt;=ROUND((C38+C39)*0.3,0)),1,0) + IF(OR(AND('様式１－２（【分園分】標準時間対応）'!J27&gt;0, '様式１－２（【分園分】標準時間対応）'!R27&gt;0), '様式１－２（【分園分】標準時間対応）'!BC27&gt;=ROUND((D38+D39)*0.3,0)),1,0)</f>
        <v>2</v>
      </c>
      <c r="AY37" s="531">
        <f>2-AB37</f>
        <v>0</v>
      </c>
      <c r="AZ37" s="551">
        <f t="shared" ref="AZ37" si="98">SUM(AR37:AY39)</f>
        <v>5</v>
      </c>
      <c r="BA37" s="200"/>
      <c r="BC37" s="560"/>
      <c r="BD37" s="660">
        <f>'様式２（専従の常勤）'!Q58</f>
        <v>0</v>
      </c>
      <c r="BE37" s="620">
        <f>COUNTIFS('様式３（非専従の常勤＋非常勤）'!$AH$8:$AH$37,"&gt;=1")+'様式２（専従の常勤）'!Q70</f>
        <v>0</v>
      </c>
      <c r="BF37" s="657">
        <f>'様式３（非専従の常勤＋非常勤）'!$AI$41</f>
        <v>0</v>
      </c>
      <c r="BG37" s="647"/>
      <c r="BH37" s="703">
        <f>COUNTIFS('様式３（非専従の常勤＋非常勤）'!$AH$50:$AH$54,"&gt;=1")</f>
        <v>0</v>
      </c>
      <c r="BI37" s="688">
        <f>ROUNDDOWN('様式３（非専従の常勤＋非常勤）'!$AH$57,1)</f>
        <v>0</v>
      </c>
      <c r="BJ37" s="613">
        <f>BD37+BF37+IF((BG37+BI37)&gt;=AM37,AM37,(BG37+BI37))</f>
        <v>0</v>
      </c>
      <c r="BK37" s="613">
        <f t="shared" ref="BK37" si="99">BJ37-AR37</f>
        <v>-3</v>
      </c>
      <c r="BL37" s="613">
        <f t="shared" ref="BL37" si="100">BJ37-(AK37+AM37+AN37+AP37)</f>
        <v>-3</v>
      </c>
      <c r="BN37" s="685"/>
      <c r="BO37" s="469" t="str">
        <f t="shared" ref="BO37" si="101">IF(BN37&gt;=0.2,BJ37-AR37-BN37,"")</f>
        <v/>
      </c>
      <c r="BS37" s="515" t="s">
        <v>15</v>
      </c>
      <c r="BT37" s="311" t="s">
        <v>71</v>
      </c>
      <c r="BU37" s="312">
        <f>AA37+AC37+AE37+AH37+AL37+AN37+AQ37</f>
        <v>0</v>
      </c>
      <c r="BV37" s="313">
        <f>ROUND(BU37/(BU37+BU38),2)</f>
        <v>0</v>
      </c>
      <c r="BX37" s="515" t="s">
        <v>15</v>
      </c>
      <c r="BY37" s="311" t="s">
        <v>71</v>
      </c>
      <c r="BZ37" s="314">
        <f>AE37+AH37</f>
        <v>0</v>
      </c>
      <c r="CA37" s="313">
        <f t="shared" ref="CA37" si="102">ROUND(BZ37/(BZ37+BZ38),2)</f>
        <v>0</v>
      </c>
    </row>
    <row r="38" spans="1:79" ht="27" customHeight="1">
      <c r="A38" s="654"/>
      <c r="B38" s="72" t="s">
        <v>72</v>
      </c>
      <c r="C38" s="256">
        <f t="shared" si="10"/>
        <v>0</v>
      </c>
      <c r="D38" s="256">
        <f t="shared" si="0"/>
        <v>0</v>
      </c>
      <c r="E38" s="71"/>
      <c r="F38" s="71"/>
      <c r="G38" s="71"/>
      <c r="H38" s="71"/>
      <c r="I38" s="71"/>
      <c r="J38" s="55"/>
      <c r="K38" s="55"/>
      <c r="L38" s="55"/>
      <c r="M38" s="328"/>
      <c r="N38" s="71"/>
      <c r="O38" s="71"/>
      <c r="P38" s="71"/>
      <c r="Q38" s="71"/>
      <c r="R38" s="71"/>
      <c r="S38" s="55"/>
      <c r="T38" s="55"/>
      <c r="U38" s="55"/>
      <c r="V38" s="331"/>
      <c r="W38" s="56">
        <f>SUM(J38:L38)</f>
        <v>0</v>
      </c>
      <c r="X38" s="537"/>
      <c r="Y38" s="56">
        <f>SUM(S38:U38)</f>
        <v>0</v>
      </c>
      <c r="Z38" s="540"/>
      <c r="AA38" s="584">
        <f>IF(C38+C39&lt;=90,1,0)+IF(D38+D39&lt;=90,1,0)</f>
        <v>2</v>
      </c>
      <c r="AB38" s="595"/>
      <c r="AC38" s="586">
        <f>AD37</f>
        <v>0</v>
      </c>
      <c r="AD38" s="595"/>
      <c r="AE38" s="582">
        <f>IF($W38+$W39&gt;0,1,0)+IF($Y38+$Y39&gt;0,1,0)</f>
        <v>0</v>
      </c>
      <c r="AF38" s="624"/>
      <c r="AG38" s="611"/>
      <c r="AH38" s="591">
        <f>AI37-AH37</f>
        <v>0</v>
      </c>
      <c r="AI38" s="589"/>
      <c r="AJ38" s="614"/>
      <c r="AK38" s="715"/>
      <c r="AL38" s="383">
        <f>AM37-AL37</f>
        <v>0</v>
      </c>
      <c r="AM38" s="608"/>
      <c r="AN38" s="605"/>
      <c r="AO38" s="627"/>
      <c r="AP38" s="570"/>
      <c r="AQ38" s="567">
        <f>IFERROR(AP37*(ROUND((W38+W39+Y38+Y39)/(Z37+X37),1)),0)</f>
        <v>0</v>
      </c>
      <c r="AR38" s="614"/>
      <c r="AS38" s="519"/>
      <c r="AT38" s="519"/>
      <c r="AU38" s="529"/>
      <c r="AV38" s="529"/>
      <c r="AW38" s="529"/>
      <c r="AX38" s="526"/>
      <c r="AY38" s="532"/>
      <c r="AZ38" s="552"/>
      <c r="BA38" s="200"/>
      <c r="BC38" s="560"/>
      <c r="BD38" s="661"/>
      <c r="BE38" s="621" t="e">
        <v>#VALUE!</v>
      </c>
      <c r="BF38" s="658"/>
      <c r="BG38" s="648"/>
      <c r="BH38" s="704" t="e">
        <v>#VALUE!</v>
      </c>
      <c r="BI38" s="689"/>
      <c r="BJ38" s="614"/>
      <c r="BK38" s="614"/>
      <c r="BL38" s="614"/>
      <c r="BN38" s="686"/>
      <c r="BO38" s="470"/>
      <c r="BS38" s="516"/>
      <c r="BT38" s="512" t="s">
        <v>155</v>
      </c>
      <c r="BU38" s="778">
        <f>AA38+AC38+AE38+AH38+AL38+AQ38+AU37+AV37+AW37+AX37+AY37</f>
        <v>4</v>
      </c>
      <c r="BV38" s="514">
        <f>1-BV37</f>
        <v>1</v>
      </c>
      <c r="BX38" s="516"/>
      <c r="BY38" s="512" t="s">
        <v>155</v>
      </c>
      <c r="BZ38" s="513">
        <f>AA38+AC38+AH38+AE38</f>
        <v>2</v>
      </c>
      <c r="CA38" s="514">
        <f t="shared" ref="CA38" si="103">ROUND(BZ38/(BZ37+BZ38),2)</f>
        <v>1</v>
      </c>
    </row>
    <row r="39" spans="1:79" ht="27" customHeight="1">
      <c r="A39" s="655"/>
      <c r="B39" s="72" t="s">
        <v>73</v>
      </c>
      <c r="C39" s="256">
        <f t="shared" si="10"/>
        <v>0</v>
      </c>
      <c r="D39" s="256">
        <f t="shared" si="0"/>
        <v>0</v>
      </c>
      <c r="E39" s="55"/>
      <c r="F39" s="55"/>
      <c r="G39" s="73"/>
      <c r="H39" s="55"/>
      <c r="I39" s="71"/>
      <c r="J39" s="71"/>
      <c r="K39" s="71"/>
      <c r="L39" s="71"/>
      <c r="M39" s="328"/>
      <c r="N39" s="55"/>
      <c r="O39" s="55"/>
      <c r="P39" s="73"/>
      <c r="Q39" s="55"/>
      <c r="R39" s="71"/>
      <c r="S39" s="71"/>
      <c r="T39" s="71"/>
      <c r="U39" s="71"/>
      <c r="V39" s="331"/>
      <c r="W39" s="56">
        <f>SUM(E39:F39,H39)</f>
        <v>0</v>
      </c>
      <c r="X39" s="656"/>
      <c r="Y39" s="56">
        <f>SUM(N39:O39,Q39)</f>
        <v>0</v>
      </c>
      <c r="Z39" s="652"/>
      <c r="AA39" s="597"/>
      <c r="AB39" s="596"/>
      <c r="AC39" s="593"/>
      <c r="AD39" s="596"/>
      <c r="AE39" s="583"/>
      <c r="AF39" s="625"/>
      <c r="AG39" s="612"/>
      <c r="AH39" s="592"/>
      <c r="AI39" s="590"/>
      <c r="AJ39" s="615"/>
      <c r="AK39" s="716"/>
      <c r="AL39" s="389"/>
      <c r="AM39" s="609"/>
      <c r="AN39" s="606"/>
      <c r="AO39" s="631"/>
      <c r="AP39" s="571"/>
      <c r="AQ39" s="568"/>
      <c r="AR39" s="615"/>
      <c r="AS39" s="520"/>
      <c r="AT39" s="520"/>
      <c r="AU39" s="530"/>
      <c r="AV39" s="530"/>
      <c r="AW39" s="530"/>
      <c r="AX39" s="527"/>
      <c r="AY39" s="533"/>
      <c r="AZ39" s="553"/>
      <c r="BA39" s="200"/>
      <c r="BC39" s="560"/>
      <c r="BD39" s="662"/>
      <c r="BE39" s="622" t="e">
        <v>#VALUE!</v>
      </c>
      <c r="BF39" s="659"/>
      <c r="BG39" s="649"/>
      <c r="BH39" s="705" t="e">
        <v>#VALUE!</v>
      </c>
      <c r="BI39" s="690"/>
      <c r="BJ39" s="615"/>
      <c r="BK39" s="615"/>
      <c r="BL39" s="615"/>
      <c r="BN39" s="687"/>
      <c r="BO39" s="471"/>
      <c r="BS39" s="517"/>
      <c r="BT39" s="512"/>
      <c r="BU39" s="778"/>
      <c r="BV39" s="514"/>
      <c r="BX39" s="517"/>
      <c r="BY39" s="512"/>
      <c r="BZ39" s="513"/>
      <c r="CA39" s="514"/>
    </row>
    <row r="40" spans="1:79" ht="27" customHeight="1">
      <c r="A40" s="534" t="s">
        <v>10</v>
      </c>
      <c r="B40" s="72" t="s">
        <v>71</v>
      </c>
      <c r="C40" s="256">
        <f t="shared" si="10"/>
        <v>0</v>
      </c>
      <c r="D40" s="256">
        <f t="shared" si="0"/>
        <v>0</v>
      </c>
      <c r="E40" s="71"/>
      <c r="F40" s="71"/>
      <c r="G40" s="71"/>
      <c r="H40" s="71"/>
      <c r="I40" s="55"/>
      <c r="J40" s="222"/>
      <c r="K40" s="55"/>
      <c r="L40" s="55"/>
      <c r="M40" s="328"/>
      <c r="N40" s="71"/>
      <c r="O40" s="71"/>
      <c r="P40" s="71"/>
      <c r="Q40" s="71"/>
      <c r="R40" s="55"/>
      <c r="S40" s="222"/>
      <c r="T40" s="55"/>
      <c r="U40" s="55"/>
      <c r="V40" s="331"/>
      <c r="W40" s="57">
        <f>SUM(I40:L40)</f>
        <v>0</v>
      </c>
      <c r="X40" s="536">
        <f>SUM(W40:W42)</f>
        <v>0</v>
      </c>
      <c r="Y40" s="56">
        <f>SUM(R40:U40)</f>
        <v>0</v>
      </c>
      <c r="Z40" s="539">
        <f>SUM(Y40:Y42)</f>
        <v>0</v>
      </c>
      <c r="AA40" s="207"/>
      <c r="AB40" s="542">
        <f>AA41</f>
        <v>2</v>
      </c>
      <c r="AC40" s="384"/>
      <c r="AD40" s="542">
        <f>IF('様式１－１（【本園分】標準時間対応）'!BC29&gt;0,1,0)+IF('様式１－２（【分園分】標準時間対応）'!BC29&gt;0,1,0)</f>
        <v>0</v>
      </c>
      <c r="AE40" s="382">
        <f>IF($W40&gt;0,1,0)+IF($Y40&gt;0,1,0)</f>
        <v>0</v>
      </c>
      <c r="AF40" s="623"/>
      <c r="AG40" s="610" t="str">
        <f>'(R6)年齢別配置基準'!I25</f>
        <v>H</v>
      </c>
      <c r="AH40" s="399">
        <f>IF(AG40="判定不能","年齢別配置基準エラー",
IF(AG40="A",ROUND(ROUNDDOWN((L40+K40)/25,1)+ROUNDDOWN((J40)/15,1)+ROUNDDOWN((I40)/6,1),0)+ROUND(ROUNDDOWN((U40+T40)/25,1)+ROUNDDOWN((S40)/15,1)+ROUNDDOWN((R40)/6,1),0),
IF(AG40="B",ROUND(ROUNDDOWN((L40+K40)/25,1)+ROUNDDOWN((J40)/15,1)+ROUNDDOWN((I40)/15,1),0)+ROUND(ROUNDDOWN((U40+T40)/25,1)+ROUNDDOWN((S40)/15,1)+ROUNDDOWN((R40)/15,1),0),
IF(AG40="C",ROUND(ROUNDDOWN((L40+K40)/25,1)+ROUNDDOWN((J40)/20,1)+ROUNDDOWN((I40)/6,1),0)+ROUND(ROUNDDOWN((U40+T40)/25,1)+ROUNDDOWN((S40)/20,1)+ROUNDDOWN((R40)/6,1),0),
IF(AG40="D",ROUND(ROUNDDOWN((L40+K40)/25,1)+ROUNDDOWN((J40)/20,1)+ROUNDDOWN((I40)/20,1),0)+ROUND(ROUNDDOWN((U40+T40)/25,1)+ROUNDDOWN((S40)/20,1)+ROUNDDOWN((R40)/20,1),0),
IF(AG40="E",ROUND(ROUNDDOWN((L40+K40)/30,1)+ROUNDDOWN((J40)/15,1)+ROUNDDOWN((I40)/6,1),0)+ROUND(ROUNDDOWN((U40+T40)/30,1)+ROUNDDOWN((S40)/15,1)+ROUNDDOWN((R40)/6,1),0),
IF(AG40="F",ROUND(ROUNDDOWN((L40+K40)/30,1)+ROUNDDOWN((J40)/15,1)+ROUNDDOWN((I40)/15,1),0)+ROUND(ROUNDDOWN((U40+T40)/30,1)+ROUNDDOWN((S40)/15,1)+ROUNDDOWN((R40)/15,1),0),
IF(AG40="G",ROUND(ROUNDDOWN((L40+K40)/30,1)+ROUNDDOWN((J40)/20,1)+ROUNDDOWN((I40)/6,1),0)+ROUND(ROUNDDOWN((U40+T40)/30,1)+ROUNDDOWN((S40)/20,1)+ROUNDDOWN((R40)/6,1),0),
IF(AG40="H",ROUND(ROUNDDOWN((L40+K40)/30,1)+ROUNDDOWN((J40)/20,1)+ROUNDDOWN((I40)/20,1),0)+ROUND(ROUNDDOWN((U40+T40)/30,1)+ROUNDDOWN((S40)/20,1)+ROUNDDOWN((R40)/20,1),0))))))))))</f>
        <v>0</v>
      </c>
      <c r="AI40" s="588">
        <f t="shared" ref="AI40" si="104">IF(AG40="判定不能","年齢別配置基準エラー",
IF(AG40="A",ROUND(ROUNDDOWN((K40+L40+L41)/25,1)+ROUNDDOWN((K41)/20,1)+ROUNDDOWN((J40+J41)/15,1)+ROUNDDOWN((I40)/6,1)+ROUNDDOWN((H42)/6,1)+ROUNDDOWN((F42)/5,1)+ROUNDDOWN((E42)/3,1),0)+ROUND(ROUNDDOWN((T40+U40+U41)/25,1)+ROUNDDOWN((T41)/20,1)+ROUNDDOWN((S40+S41)/15,1)+ROUNDDOWN((R40)/6,1)+ROUNDDOWN((Q42)/6,1)+ROUNDDOWN((O42)/5,1)+ROUNDDOWN((N42)/3,1),0),
IF(AG40="B",ROUND(ROUNDDOWN((K40+L40+L41)/25,1)+ROUNDDOWN((K41)/20,1)+ROUNDDOWN((J40+J41)/15,1)+ROUNDDOWN((I40)/15,1)+ROUNDDOWN((H42)/6,1)+ROUNDDOWN((F42)/5,1)+ROUNDDOWN((E42)/3,1),0)+ROUND(ROUNDDOWN((T40+U40+U41)/25,1)+ROUNDDOWN((T41)/20,1)+ROUNDDOWN((S40+S41)/15,1)+ROUNDDOWN((R40)/15,1)+ROUNDDOWN((Q42)/6,1)+ROUNDDOWN((O42)/5,1)+ROUNDDOWN((N42)/3,1),0),
IF(AG40="C",ROUND(ROUNDDOWN((K40+L40+L41)/25,1)+ROUNDDOWN((K41)/20,1)+ROUNDDOWN((J40)/20,1)+ROUNDDOWN((J41)/15,1)+ROUNDDOWN((I40)/6,1)+ROUNDDOWN((H42)/6,1)+ROUNDDOWN((F42)/5,1)+ROUNDDOWN((E42)/3,1),0)+ROUND(ROUNDDOWN((T40+U40+U41)/25,1)+ROUNDDOWN((T41)/20,1)+ROUNDDOWN((S40)/20,1)+ROUNDDOWN((S41)/15,1)+ROUNDDOWN((R40)/6,1)+ROUNDDOWN((Q42)/6,1)+ROUNDDOWN((O42)/5,1)+ROUNDDOWN((N42)/3,1),0),
IF(AG40="D",ROUND(ROUNDDOWN((K40+L40+L41)/25,1)+ROUNDDOWN((K41)/20,1)+ROUNDDOWN((J40)/20,1)+ROUNDDOWN((J41)/15,1)+ROUNDDOWN((I40)/20,1)+ROUNDDOWN((H42)/6,1)+ROUNDDOWN((F42)/5,1)+ROUNDDOWN((E42)/3,1),0)+ROUND(ROUNDDOWN((T40+U40+U41)/25,1)+ROUNDDOWN((T41)/20,1)+ROUNDDOWN((S40)/20,1)+ROUNDDOWN((S41)/15,1)+ROUNDDOWN((R40)/20,1)+ROUNDDOWN((Q42)/6,1)+ROUNDDOWN((O42)/5,1)+ROUNDDOWN((N42)/3,1),0),
IF(AG40="E",ROUND(ROUNDDOWN((K40+L40)/30,1)+ROUNDDOWN((L41)/25,1)+ROUNDDOWN((K41)/20,1)+ROUNDDOWN((J40+J41)/15,1)+ROUNDDOWN((I40)/6,1)+ROUNDDOWN((H42)/6,1)+ROUNDDOWN((F42)/5,1)+ROUNDDOWN((E42)/3,1),0)+ROUND(ROUNDDOWN((T40+U40)/30,1)+ROUNDDOWN((U41)/25,1)+ROUNDDOWN((T41)/20,1)+ROUNDDOWN((S40+S41)/15,1)+ROUNDDOWN((R40)/6,1)+ROUNDDOWN((Q42)/6,1)+ROUNDDOWN((O42)/5,1)+ROUNDDOWN((N42)/3,1),0),
IF(AG40="F",ROUND(ROUNDDOWN((K40+L40)/30,1)+ROUNDDOWN((L41)/25,1)+ROUNDDOWN((K41)/20,1)+ROUNDDOWN((J40+J41)/15,1)+ROUNDDOWN((I40)/15,1)+ROUNDDOWN((H42)/6,1)+ROUNDDOWN((F42)/5,1)+ROUNDDOWN((E42)/3,1),0)+ROUND(ROUNDDOWN((T40+U40)/30,1)+ROUNDDOWN((U41)/25,1)+ROUNDDOWN((T41)/20,1)+ROUNDDOWN((S40+S41)/15,1)+ROUNDDOWN((R40)/15,1)+ROUNDDOWN((Q42)/6,1)+ROUNDDOWN((O42)/5,1)+ROUNDDOWN((N42)/3,1),0),
IF(AG40="G",ROUND(ROUNDDOWN((K40+L40)/30,1)+ROUNDDOWN((L41)/25,1)+ROUNDDOWN((K41)/20,1)+ROUNDDOWN((J40)/20,1)+ROUNDDOWN((J41)/15,1)+ROUNDDOWN((I40)/6,1)+ROUNDDOWN((H42)/6,1)+ROUNDDOWN((F42)/5,1)+ROUNDDOWN((E42)/3,1),0)+ROUND(ROUNDDOWN((T40+U40)/30,1)+ROUNDDOWN((U41)/25,1)+ROUNDDOWN((T41)/20,1)+ROUNDDOWN((S40)/20,1)+ROUNDDOWN((S41)/15,1)+ROUNDDOWN((R40)/6,1)+ROUNDDOWN((Q42)/6,1)+ROUNDDOWN((O42)/5,1)+ROUNDDOWN((N42)/3,1),0),
IF(AG40="H",ROUND(ROUNDDOWN((K40+L40)/30,1)+ROUNDDOWN((L41)/25,1)+ROUNDDOWN((K41)/20,1)+ROUNDDOWN((J40)/20,1)+ROUNDDOWN((J41)/15,1)+ROUNDDOWN((I40)/20,1)+ROUNDDOWN((H42)/6,1)+ROUNDDOWN((F42)/5,1)+ROUNDDOWN((E42)/3,1),0)+ROUND(ROUNDDOWN((T40+U40)/30,1)+ROUNDDOWN((U41)/25,1)+ROUNDDOWN((T41)/20,1)+ROUNDDOWN((S40)/20,1)+ROUNDDOWN((S41)/15,1)+ROUNDDOWN((R40)/20,1)+ROUNDDOWN((Q42)/6,1)+ROUNDDOWN((O42)/5,1)+ROUNDDOWN((N42)/3,1),0))))))))))</f>
        <v>0</v>
      </c>
      <c r="AJ40" s="613">
        <f>AB40+AD40+AE40+AE41+AI40-AF40</f>
        <v>2</v>
      </c>
      <c r="AK40" s="714">
        <f t="shared" ref="AK40" si="105">IF(AG40="判定不能","年齢別配置基準エラー",
IF(OR(AG40="A",AG40="C",AG40="E",AG40="G"),
ROUND(ROUNDDOWN((L40+L41+K40)/25,1)+ROUNDDOWN((K41)/20,1)+ROUNDDOWN((J40+J41)/15,1)+ROUNDDOWN((I40)/6,1)+ROUNDDOWN((H42)/6,1)+ROUNDDOWN((F42)/5,1)+ROUNDDOWN((E42)/3,1),0)+ROUND(ROUNDDOWN((U40+U41+T40)/25,1)+ROUNDDOWN((T41)/20,1)+ROUNDDOWN((S40+S41)/15,1)+ROUNDDOWN((R40)/6,1)+ROUNDDOWN((Q42)/6,1)+ROUNDDOWN((O42)/5,1)+ROUNDDOWN((N42)/3,1),0)+AB40+AD40+AE40+AE41-AF40,
ROUND(ROUNDDOWN((L40+L41+K40)/25,1)+ROUNDDOWN((K41)/20,1)+ROUNDDOWN((J40+J41)/15,1)+ROUNDDOWN((I40)/15,1)+ROUNDDOWN((H42)/6,1)+ROUNDDOWN((F42)/5,1)+ROUNDDOWN((E42)/3,1),0)+ROUND(ROUNDDOWN((U40+U41+T40)/25,1)+ROUNDDOWN((T41)/20,1)+ROUNDDOWN((S40+S41)/15,1)+ROUNDDOWN((R40)/15,1)+ROUNDDOWN((Q42)/6,1)+ROUNDDOWN((O42)/5,1)+ROUNDDOWN((N42)/3,1),0)+AB40+AD40+AE40+AE41-AF40))</f>
        <v>2</v>
      </c>
      <c r="AL40" s="388">
        <f>IFERROR(ROUND(((W40+Y40)/(W40+Y40+W41+Y41))*AM40,1),0)</f>
        <v>0</v>
      </c>
      <c r="AM40" s="607">
        <f>'(R6)年齢別配置基準'!C25</f>
        <v>0</v>
      </c>
      <c r="AN40" s="604"/>
      <c r="AO40" s="626"/>
      <c r="AP40" s="569">
        <f>IF(AO40="専任",0,1)</f>
        <v>1</v>
      </c>
      <c r="AQ40" s="249">
        <f>IFERROR(AP40*(ROUND((W40+Y40)/(Z40+X40),1)),0)</f>
        <v>0</v>
      </c>
      <c r="AR40" s="613">
        <f t="shared" ref="AR40:AR43" si="106">AJ40+AM40+AN40+AP40</f>
        <v>3</v>
      </c>
      <c r="AS40" s="518"/>
      <c r="AT40" s="518"/>
      <c r="AU40" s="528">
        <f>$AU$7</f>
        <v>0</v>
      </c>
      <c r="AV40" s="528">
        <f>SUM('様式１－１（【本園分】標準時間対応）'!BA29:BA30)</f>
        <v>0</v>
      </c>
      <c r="AW40" s="528">
        <f>SUM('様式１－２（【分園分】標準時間対応）'!BA29:BA30)</f>
        <v>0</v>
      </c>
      <c r="AX40" s="525">
        <f>IF(OR(AND('様式１－１（【本園分】標準時間対応）'!J29&gt;0, '様式１－１（【本園分】標準時間対応）'!R29&gt;0), '様式１－１（【本園分】標準時間対応）'!BC29&gt;=ROUND((C41+C42)*0.3,0)),1,0) + IF(OR(AND('様式１－２（【分園分】標準時間対応）'!J29&gt;0, '様式１－２（【分園分】標準時間対応）'!R29&gt;0), '様式１－２（【分園分】標準時間対応）'!BC29&gt;=ROUND((D41+D42)*0.3,0)),1,0)</f>
        <v>2</v>
      </c>
      <c r="AY40" s="531">
        <f>2-AB40</f>
        <v>0</v>
      </c>
      <c r="AZ40" s="551">
        <f t="shared" ref="AZ40" si="107">SUM(AR40:AY42)</f>
        <v>5</v>
      </c>
      <c r="BA40" s="200"/>
      <c r="BC40" s="560"/>
      <c r="BD40" s="660">
        <f>'様式２（専従の常勤）'!R58</f>
        <v>0</v>
      </c>
      <c r="BE40" s="620">
        <f>COUNTIFS('様式３（非専従の常勤＋非常勤）'!$AJ$8:$AJ$37,"&gt;=1")+'様式２（専従の常勤）'!R70</f>
        <v>0</v>
      </c>
      <c r="BF40" s="657">
        <f>'様式３（非専従の常勤＋非常勤）'!$AK$41</f>
        <v>0</v>
      </c>
      <c r="BG40" s="647"/>
      <c r="BH40" s="703">
        <f>COUNTIFS('様式３（非専従の常勤＋非常勤）'!$AJ$50:$AJ$54,"&gt;=1")</f>
        <v>0</v>
      </c>
      <c r="BI40" s="688">
        <f>ROUNDDOWN('様式３（非専従の常勤＋非常勤）'!$AJ$57,1)</f>
        <v>0</v>
      </c>
      <c r="BJ40" s="613">
        <f>BD40+BF40+IF((BG40+BI40)&gt;=AM40,AM40,(BG40+BI40))</f>
        <v>0</v>
      </c>
      <c r="BK40" s="613">
        <f t="shared" ref="BK40" si="108">BJ40-AR40</f>
        <v>-3</v>
      </c>
      <c r="BL40" s="613">
        <f t="shared" ref="BL40" si="109">BJ40-(AK40+AM40+AN40+AP40)</f>
        <v>-3</v>
      </c>
      <c r="BN40" s="685"/>
      <c r="BO40" s="469" t="str">
        <f t="shared" ref="BO40" si="110">IF(BN40&gt;=0.2,BJ40-AR40-BN40,"")</f>
        <v/>
      </c>
      <c r="BS40" s="779" t="s">
        <v>10</v>
      </c>
      <c r="BT40" s="311" t="s">
        <v>71</v>
      </c>
      <c r="BU40" s="312">
        <f>AA40+AC40+AE40+AH40+AL40+AN40+AQ40</f>
        <v>0</v>
      </c>
      <c r="BV40" s="313">
        <f>ROUND(BU40/(BU40+BU41),2)</f>
        <v>0</v>
      </c>
      <c r="BX40" s="515" t="s">
        <v>10</v>
      </c>
      <c r="BY40" s="311" t="s">
        <v>71</v>
      </c>
      <c r="BZ40" s="314">
        <f>AE40+AH40</f>
        <v>0</v>
      </c>
      <c r="CA40" s="313">
        <f t="shared" ref="CA40" si="111">ROUND(BZ40/(BZ40+BZ41),2)</f>
        <v>0</v>
      </c>
    </row>
    <row r="41" spans="1:79" ht="27" customHeight="1">
      <c r="A41" s="534"/>
      <c r="B41" s="72" t="s">
        <v>72</v>
      </c>
      <c r="C41" s="256">
        <f t="shared" si="10"/>
        <v>0</v>
      </c>
      <c r="D41" s="256">
        <f t="shared" si="0"/>
        <v>0</v>
      </c>
      <c r="E41" s="71"/>
      <c r="F41" s="71"/>
      <c r="G41" s="71"/>
      <c r="H41" s="71"/>
      <c r="I41" s="71"/>
      <c r="J41" s="55"/>
      <c r="K41" s="55"/>
      <c r="L41" s="55"/>
      <c r="M41" s="328"/>
      <c r="N41" s="70"/>
      <c r="O41" s="71"/>
      <c r="P41" s="71"/>
      <c r="Q41" s="71"/>
      <c r="R41" s="71"/>
      <c r="S41" s="55"/>
      <c r="T41" s="55"/>
      <c r="U41" s="55"/>
      <c r="V41" s="331"/>
      <c r="W41" s="57">
        <f>SUM(J41:L41)</f>
        <v>0</v>
      </c>
      <c r="X41" s="537"/>
      <c r="Y41" s="56">
        <f>SUM(S41:U41)</f>
        <v>0</v>
      </c>
      <c r="Z41" s="540"/>
      <c r="AA41" s="584">
        <f>IF(C41+C42&lt;=90,1,0)+IF(D41+D42&lt;=90,1,0)</f>
        <v>2</v>
      </c>
      <c r="AB41" s="543"/>
      <c r="AC41" s="586">
        <f>AD40</f>
        <v>0</v>
      </c>
      <c r="AD41" s="543"/>
      <c r="AE41" s="582">
        <f>IF($W41+$W42&gt;0,1,0)+IF($Y41+$Y42&gt;0,1,0)</f>
        <v>0</v>
      </c>
      <c r="AF41" s="624"/>
      <c r="AG41" s="611"/>
      <c r="AH41" s="591">
        <f>AI40-AH40</f>
        <v>0</v>
      </c>
      <c r="AI41" s="589"/>
      <c r="AJ41" s="614"/>
      <c r="AK41" s="715"/>
      <c r="AL41" s="383">
        <f>AM40-AL40</f>
        <v>0</v>
      </c>
      <c r="AM41" s="608"/>
      <c r="AN41" s="605"/>
      <c r="AO41" s="627"/>
      <c r="AP41" s="570"/>
      <c r="AQ41" s="734">
        <f>IFERROR(AP40*(ROUND((W41+W42+Y41+Y42)/(Z40+X40),1)),0)</f>
        <v>0</v>
      </c>
      <c r="AR41" s="614"/>
      <c r="AS41" s="519"/>
      <c r="AT41" s="519"/>
      <c r="AU41" s="529"/>
      <c r="AV41" s="529"/>
      <c r="AW41" s="529"/>
      <c r="AX41" s="526"/>
      <c r="AY41" s="532"/>
      <c r="AZ41" s="552"/>
      <c r="BA41" s="200"/>
      <c r="BC41" s="560"/>
      <c r="BD41" s="661"/>
      <c r="BE41" s="621" t="e">
        <v>#VALUE!</v>
      </c>
      <c r="BF41" s="658"/>
      <c r="BG41" s="648"/>
      <c r="BH41" s="704" t="e">
        <v>#VALUE!</v>
      </c>
      <c r="BI41" s="689"/>
      <c r="BJ41" s="614"/>
      <c r="BK41" s="614"/>
      <c r="BL41" s="614"/>
      <c r="BN41" s="686"/>
      <c r="BO41" s="470"/>
      <c r="BS41" s="779"/>
      <c r="BT41" s="512" t="s">
        <v>155</v>
      </c>
      <c r="BU41" s="778">
        <f>AA41+AC41+AE41+AH41+AL41+AQ41+AU40+AV40+AW40+AX40+AY40</f>
        <v>4</v>
      </c>
      <c r="BV41" s="514">
        <f>1-BV40</f>
        <v>1</v>
      </c>
      <c r="BX41" s="516"/>
      <c r="BY41" s="512" t="s">
        <v>155</v>
      </c>
      <c r="BZ41" s="513">
        <f>AA41+AC41+AH41+AE41</f>
        <v>2</v>
      </c>
      <c r="CA41" s="514">
        <f t="shared" ref="CA41" si="112">ROUND(BZ41/(BZ40+BZ41),2)</f>
        <v>1</v>
      </c>
    </row>
    <row r="42" spans="1:79" ht="27" customHeight="1" thickBot="1">
      <c r="A42" s="535"/>
      <c r="B42" s="227" t="s">
        <v>73</v>
      </c>
      <c r="C42" s="257">
        <f t="shared" si="10"/>
        <v>0</v>
      </c>
      <c r="D42" s="257">
        <f t="shared" si="0"/>
        <v>0</v>
      </c>
      <c r="E42" s="228"/>
      <c r="F42" s="228"/>
      <c r="G42" s="229"/>
      <c r="H42" s="228"/>
      <c r="I42" s="230"/>
      <c r="J42" s="230"/>
      <c r="K42" s="230"/>
      <c r="L42" s="230"/>
      <c r="M42" s="330"/>
      <c r="N42" s="240"/>
      <c r="O42" s="228"/>
      <c r="P42" s="229"/>
      <c r="Q42" s="228"/>
      <c r="R42" s="230"/>
      <c r="S42" s="230"/>
      <c r="T42" s="230"/>
      <c r="U42" s="230"/>
      <c r="V42" s="333"/>
      <c r="W42" s="231">
        <f>SUM(E42:F42,H42)</f>
        <v>0</v>
      </c>
      <c r="X42" s="538"/>
      <c r="Y42" s="231">
        <f>SUM(N42:O42,Q42)</f>
        <v>0</v>
      </c>
      <c r="Z42" s="541"/>
      <c r="AA42" s="585"/>
      <c r="AB42" s="544"/>
      <c r="AC42" s="587"/>
      <c r="AD42" s="544"/>
      <c r="AE42" s="710"/>
      <c r="AF42" s="624"/>
      <c r="AG42" s="611"/>
      <c r="AH42" s="713"/>
      <c r="AI42" s="589"/>
      <c r="AJ42" s="614"/>
      <c r="AK42" s="715"/>
      <c r="AL42" s="390"/>
      <c r="AM42" s="708"/>
      <c r="AN42" s="709"/>
      <c r="AO42" s="628"/>
      <c r="AP42" s="629"/>
      <c r="AQ42" s="736"/>
      <c r="AR42" s="732"/>
      <c r="AS42" s="733"/>
      <c r="AT42" s="733"/>
      <c r="AU42" s="745"/>
      <c r="AV42" s="745"/>
      <c r="AW42" s="745"/>
      <c r="AX42" s="746"/>
      <c r="AY42" s="556"/>
      <c r="AZ42" s="557"/>
      <c r="BA42" s="246"/>
      <c r="BC42" s="560"/>
      <c r="BD42" s="739"/>
      <c r="BE42" s="740" t="e">
        <v>#VALUE!</v>
      </c>
      <c r="BF42" s="741"/>
      <c r="BG42" s="742"/>
      <c r="BH42" s="743" t="e">
        <v>#VALUE!</v>
      </c>
      <c r="BI42" s="744"/>
      <c r="BJ42" s="732"/>
      <c r="BK42" s="614"/>
      <c r="BL42" s="732"/>
      <c r="BN42" s="753"/>
      <c r="BO42" s="470"/>
      <c r="BS42" s="779"/>
      <c r="BT42" s="512"/>
      <c r="BU42" s="778"/>
      <c r="BV42" s="514"/>
      <c r="BX42" s="517"/>
      <c r="BY42" s="512"/>
      <c r="BZ42" s="513"/>
      <c r="CA42" s="514"/>
    </row>
    <row r="43" spans="1:79" ht="27" customHeight="1" thickTop="1">
      <c r="A43" s="650" t="s">
        <v>211</v>
      </c>
      <c r="B43" s="223" t="s">
        <v>71</v>
      </c>
      <c r="C43" s="258">
        <f t="shared" ref="C43:D45" si="113">ROUND(SUM(C7,C10,C13,C16,C19,C22,C25,C28,C31,C34,C37,C40)/12,0)</f>
        <v>0</v>
      </c>
      <c r="D43" s="258">
        <f t="shared" si="113"/>
        <v>0</v>
      </c>
      <c r="E43" s="232"/>
      <c r="F43" s="232"/>
      <c r="G43" s="232"/>
      <c r="H43" s="232"/>
      <c r="I43" s="233">
        <f>ROUND(SUM(I7,I10,I13,I16,I19,I22,I25,I28,I31,I34,I37,I40)/12,0)</f>
        <v>0</v>
      </c>
      <c r="J43" s="233">
        <f>ROUND(SUM(J7,J10,J13,J16,J19,J22,J25,J28,J31,J34,J37,J40)/12,0)</f>
        <v>0</v>
      </c>
      <c r="K43" s="233">
        <f>ROUND(SUM(K7,K10,K13,K16,K19,K22,K25,K28,K31,K34,K37,K40)/12,0)</f>
        <v>0</v>
      </c>
      <c r="L43" s="233">
        <f>ROUND(SUM(L7,L10,L13,L16,L19,L22,L25,L28,L31,L34,L37,L40)/12,0)</f>
        <v>0</v>
      </c>
      <c r="M43" s="250"/>
      <c r="N43" s="241"/>
      <c r="O43" s="232"/>
      <c r="P43" s="232"/>
      <c r="Q43" s="232"/>
      <c r="R43" s="233">
        <f>ROUND(SUM(R7,R10,R13,R16,R19,R22,R25,R28,R31,R34,R37,R40)/12,0)</f>
        <v>0</v>
      </c>
      <c r="S43" s="233">
        <f>ROUND(SUM(S7,S10,S13,S16,S19,S22,S25,S28,S31,S34,S37,S40)/12,0)</f>
        <v>0</v>
      </c>
      <c r="T43" s="233">
        <f>ROUND(SUM(T7,T10,T13,T16,T19,T22,T25,T28,T31,T34,T37,T40)/12,0)</f>
        <v>0</v>
      </c>
      <c r="U43" s="233">
        <f>ROUND(SUM(U7,U10,U13,U16,U19,U22,U25,U28,U31,U34,U37,U40)/12,0)</f>
        <v>0</v>
      </c>
      <c r="V43" s="234"/>
      <c r="W43" s="224">
        <f>SUM(I43:L43)</f>
        <v>0</v>
      </c>
      <c r="X43" s="537">
        <f>SUM(W43:W45)</f>
        <v>0</v>
      </c>
      <c r="Y43" s="225">
        <f>SUM(R43:U43)</f>
        <v>0</v>
      </c>
      <c r="Z43" s="540">
        <f>SUM(Y43:Y45)</f>
        <v>0</v>
      </c>
      <c r="AA43" s="226"/>
      <c r="AB43" s="595">
        <f>AA44</f>
        <v>2</v>
      </c>
      <c r="AC43" s="385"/>
      <c r="AD43" s="595">
        <f>IF('様式１－１（【本園分】標準時間対応）'!BC31&gt;0,1,0)+IF('様式１－２（【分園分】標準時間対応）'!BC31&gt;0,1,0)</f>
        <v>0</v>
      </c>
      <c r="AE43" s="395">
        <f>IF($W43&gt;0,1,0)+IF($Y43&gt;0,1,0)</f>
        <v>0</v>
      </c>
      <c r="AF43" s="711">
        <f>AF40</f>
        <v>0</v>
      </c>
      <c r="AG43" s="747" t="str">
        <f>AG40</f>
        <v>H</v>
      </c>
      <c r="AH43" s="399">
        <f>IF(AG43="判定不能","年齢別配置基準エラー",
IF(AG43="A",ROUND(ROUNDDOWN((L43+K43)/25,1)+ROUNDDOWN((J43)/15,1)+ROUNDDOWN((I43)/6,1),0)+ROUND(ROUNDDOWN((U43+T43)/25,1)+ROUNDDOWN((S43)/15,1)+ROUNDDOWN((R43)/6,1),0),
IF(AG43="B",ROUND(ROUNDDOWN((L43+K43)/25,1)+ROUNDDOWN((J43)/15,1)+ROUNDDOWN((I43)/15,1),0)+ROUND(ROUNDDOWN((U43+T43)/25,1)+ROUNDDOWN((S43)/15,1)+ROUNDDOWN((R43)/15,1),0),
IF(AG43="C",ROUND(ROUNDDOWN((L43+K43)/25,1)+ROUNDDOWN((J43)/20,1)+ROUNDDOWN((I43)/6,1),0)+ROUND(ROUNDDOWN((U43+T43)/25,1)+ROUNDDOWN((S43)/20,1)+ROUNDDOWN((R43)/6,1),0),
IF(AG43="D",ROUND(ROUNDDOWN((L43+K43)/25,1)+ROUNDDOWN((J43)/20,1)+ROUNDDOWN((I43)/20,1),0)+ROUND(ROUNDDOWN((U43+T43)/25,1)+ROUNDDOWN((S43)/20,1)+ROUNDDOWN((R43)/20,1),0),
IF(AG43="E",ROUND(ROUNDDOWN((L43+K43)/30,1)+ROUNDDOWN((J43)/15,1)+ROUNDDOWN((I43)/6,1),0)+ROUND(ROUNDDOWN((U43+T43)/30,1)+ROUNDDOWN((S43)/15,1)+ROUNDDOWN((R43)/6,1),0),
IF(AG43="F",ROUND(ROUNDDOWN((L43+K43)/30,1)+ROUNDDOWN((J43)/15,1)+ROUNDDOWN((I43)/15,1),0)+ROUND(ROUNDDOWN((U43+T43)/30,1)+ROUNDDOWN((S43)/15,1)+ROUNDDOWN((R43)/15,1),0),
IF(AG43="G",ROUND(ROUNDDOWN((L43+K43)/30,1)+ROUNDDOWN((J43)/20,1)+ROUNDDOWN((I43)/6,1),0)+ROUND(ROUNDDOWN((U43+T43)/30,1)+ROUNDDOWN((S43)/20,1)+ROUNDDOWN((R43)/6,1),0),
IF(AG43="H",ROUND(ROUNDDOWN((L43+K43)/30,1)+ROUNDDOWN((J43)/20,1)+ROUNDDOWN((I43)/20,1),0)+ROUND(ROUNDDOWN((U43+T43)/30,1)+ROUNDDOWN((S43)/20,1)+ROUNDDOWN((R43)/20,1),0))))))))))</f>
        <v>0</v>
      </c>
      <c r="AI43" s="752">
        <f t="shared" ref="AI43" si="114">IF(AG43="判定不能","年齢別配置基準エラー",
IF(AG43="A",ROUND(ROUNDDOWN((K43+L43+L44)/25,1)+ROUNDDOWN((K44)/20,1)+ROUNDDOWN((J43+J44)/15,1)+ROUNDDOWN((I43)/6,1)+ROUNDDOWN((H45)/6,1)+ROUNDDOWN((F45)/5,1)+ROUNDDOWN((E45)/3,1),0)+ROUND(ROUNDDOWN((T43+U43+U44)/25,1)+ROUNDDOWN((T44)/20,1)+ROUNDDOWN((S43+S44)/15,1)+ROUNDDOWN((R43)/6,1)+ROUNDDOWN((Q45)/6,1)+ROUNDDOWN((O45)/5,1)+ROUNDDOWN((N45)/3,1),0),
IF(AG43="B",ROUND(ROUNDDOWN((K43+L43+L44)/25,1)+ROUNDDOWN((K44)/20,1)+ROUNDDOWN((J43+J44)/15,1)+ROUNDDOWN((I43)/15,1)+ROUNDDOWN((H45)/6,1)+ROUNDDOWN((F45)/5,1)+ROUNDDOWN((E45)/3,1),0)+ROUND(ROUNDDOWN((T43+U43+U44)/25,1)+ROUNDDOWN((T44)/20,1)+ROUNDDOWN((S43+S44)/15,1)+ROUNDDOWN((R43)/15,1)+ROUNDDOWN((Q45)/6,1)+ROUNDDOWN((O45)/5,1)+ROUNDDOWN((N45)/3,1),0),
IF(AG43="C",ROUND(ROUNDDOWN((K43+L43+L44)/25,1)+ROUNDDOWN((K44)/20,1)+ROUNDDOWN((J43)/20,1)+ROUNDDOWN((J44)/15,1)+ROUNDDOWN((I43)/6,1)+ROUNDDOWN((H45)/6,1)+ROUNDDOWN((F45)/5,1)+ROUNDDOWN((E45)/3,1),0)+ROUND(ROUNDDOWN((T43+U43+U44)/25,1)+ROUNDDOWN((T44)/20,1)+ROUNDDOWN((S43)/20,1)+ROUNDDOWN((S44)/15,1)+ROUNDDOWN((R43)/6,1)+ROUNDDOWN((Q45)/6,1)+ROUNDDOWN((O45)/5,1)+ROUNDDOWN((N45)/3,1),0),
IF(AG43="D",ROUND(ROUNDDOWN((K43+L43+L44)/25,1)+ROUNDDOWN((K44)/20,1)+ROUNDDOWN((J43)/20,1)+ROUNDDOWN((J44)/15,1)+ROUNDDOWN((I43)/20,1)+ROUNDDOWN((H45)/6,1)+ROUNDDOWN((F45)/5,1)+ROUNDDOWN((E45)/3,1),0)+ROUND(ROUNDDOWN((T43+U43+U44)/25,1)+ROUNDDOWN((T44)/20,1)+ROUNDDOWN((S43)/20,1)+ROUNDDOWN((S44)/15,1)+ROUNDDOWN((R43)/20,1)+ROUNDDOWN((Q45)/6,1)+ROUNDDOWN((O45)/5,1)+ROUNDDOWN((N45)/3,1),0),
IF(AG43="E",ROUND(ROUNDDOWN((K43+L43)/30,1)+ROUNDDOWN((L44)/25,1)+ROUNDDOWN((K44)/20,1)+ROUNDDOWN((J43+J44)/15,1)+ROUNDDOWN((I43)/6,1)+ROUNDDOWN((H45)/6,1)+ROUNDDOWN((F45)/5,1)+ROUNDDOWN((E45)/3,1),0)+ROUND(ROUNDDOWN((T43+U43)/30,1)+ROUNDDOWN((U44)/25,1)+ROUNDDOWN((T44)/20,1)+ROUNDDOWN((S43+S44)/15,1)+ROUNDDOWN((R43)/6,1)+ROUNDDOWN((Q45)/6,1)+ROUNDDOWN((O45)/5,1)+ROUNDDOWN((N45)/3,1),0),
IF(AG43="F",ROUND(ROUNDDOWN((K43+L43)/30,1)+ROUNDDOWN((L44)/25,1)+ROUNDDOWN((K44)/20,1)+ROUNDDOWN((J43+J44)/15,1)+ROUNDDOWN((I43)/15,1)+ROUNDDOWN((H45)/6,1)+ROUNDDOWN((F45)/5,1)+ROUNDDOWN((E45)/3,1),0)+ROUND(ROUNDDOWN((T43+U43)/30,1)+ROUNDDOWN((U44)/25,1)+ROUNDDOWN((T44)/20,1)+ROUNDDOWN((S43+S44)/15,1)+ROUNDDOWN((R43)/15,1)+ROUNDDOWN((Q45)/6,1)+ROUNDDOWN((O45)/5,1)+ROUNDDOWN((N45)/3,1),0),
IF(AG43="G",ROUND(ROUNDDOWN((K43+L43)/30,1)+ROUNDDOWN((L44)/25,1)+ROUNDDOWN((K44)/20,1)+ROUNDDOWN((J43)/20,1)+ROUNDDOWN((J44)/15,1)+ROUNDDOWN((I43)/6,1)+ROUNDDOWN((H45)/6,1)+ROUNDDOWN((F45)/5,1)+ROUNDDOWN((E45)/3,1),0)+ROUND(ROUNDDOWN((T43+U43)/30,1)+ROUNDDOWN((U44)/25,1)+ROUNDDOWN((T44)/20,1)+ROUNDDOWN((S43)/20,1)+ROUNDDOWN((S44)/15,1)+ROUNDDOWN((R43)/6,1)+ROUNDDOWN((Q45)/6,1)+ROUNDDOWN((O45)/5,1)+ROUNDDOWN((N45)/3,1),0),
IF(AG43="H",ROUND(ROUNDDOWN((K43+L43)/30,1)+ROUNDDOWN((L44)/25,1)+ROUNDDOWN((K44)/20,1)+ROUNDDOWN((J43)/20,1)+ROUNDDOWN((J44)/15,1)+ROUNDDOWN((I43)/20,1)+ROUNDDOWN((H45)/6,1)+ROUNDDOWN((F45)/5,1)+ROUNDDOWN((E45)/3,1),0)+ROUND(ROUNDDOWN((T43+U43)/30,1)+ROUNDDOWN((U44)/25,1)+ROUNDDOWN((T44)/20,1)+ROUNDDOWN((S43)/20,1)+ROUNDDOWN((S44)/15,1)+ROUNDDOWN((R43)/20,1)+ROUNDDOWN((Q45)/6,1)+ROUNDDOWN((O45)/5,1)+ROUNDDOWN((N45)/3,1),0))))))))))</f>
        <v>0</v>
      </c>
      <c r="AJ43" s="717">
        <f t="shared" ref="AJ43" si="115">AB43+AD43+AE43+AE44+AI43-AF43</f>
        <v>2</v>
      </c>
      <c r="AK43" s="780">
        <f>IF(AG43="判定不能","年齢別配置基準エラー",
IF(OR(AG43="A",AG43="C",AG43="E",AG43="G"),
ROUND(ROUNDDOWN((L43+L44+K43)/25,1)+ROUNDDOWN((K44)/20,1)+ROUNDDOWN((J43+J44)/15,1)+ROUNDDOWN((I43)/6,1)+ROUNDDOWN((H45)/6,1)+ROUNDDOWN((F45)/5,1)+ROUNDDOWN((E45)/3,1),0)+ROUND(ROUNDDOWN((U43+U44+T43)/25,1)+ROUNDDOWN((T44)/20,1)+ROUNDDOWN((S43+S44)/15,1)+ROUNDDOWN((R43)/6,1)+ROUNDDOWN((Q45)/6,1)+ROUNDDOWN((O45)/5,1)+ROUNDDOWN((N45)/3,1),0)+AB43+AD43+AE43+AE44-AF43,
ROUND(ROUNDDOWN((L43+L44+K43)/25,1)+ROUNDDOWN((K44)/20,1)+ROUNDDOWN((J43+J44)/15,1)+ROUNDDOWN((I43)/15,1)+ROUNDDOWN((H45)/6,1)+ROUNDDOWN((F45)/5,1)+ROUNDDOWN((E45)/3,1),0)+ROUND(ROUNDDOWN((U43+U44+T43)/25,1)+ROUNDDOWN((T44)/20,1)+ROUNDDOWN((S43+S44)/15,1)+ROUNDDOWN((R43)/15,1)+ROUNDDOWN((Q45)/6,1)+ROUNDDOWN((O45)/5,1)+ROUNDDOWN((N45)/3,1),0)+AB43+AD43+AE43+AE44-AF43))</f>
        <v>2</v>
      </c>
      <c r="AL43" s="386">
        <f>IFERROR(ROUND(((W43+Y43)/(W43+Y43+W44+Y44))*AM43,1),0)</f>
        <v>0</v>
      </c>
      <c r="AM43" s="750">
        <f>ROUND(SUM(AM7:AM42)/12,0)</f>
        <v>0</v>
      </c>
      <c r="AN43" s="633">
        <f>ROUND(SUM(AN7:AN42)/12,0)</f>
        <v>0</v>
      </c>
      <c r="AO43" s="632">
        <f>AO40</f>
        <v>0</v>
      </c>
      <c r="AP43" s="570">
        <f>IF(AO43="専任",0,1)</f>
        <v>1</v>
      </c>
      <c r="AQ43" s="310">
        <f>IFERROR(AP43*(ROUND((W43+Y43)/(Z43+X43),1)),0)</f>
        <v>0</v>
      </c>
      <c r="AR43" s="717">
        <f t="shared" si="106"/>
        <v>3</v>
      </c>
      <c r="AS43" s="719">
        <f>ROUNDDOWN(SUM(AS7:AS42)/12,1)</f>
        <v>0</v>
      </c>
      <c r="AT43" s="719">
        <f>ROUNDDOWN(SUM(AT7:AT42)/12,1)</f>
        <v>0</v>
      </c>
      <c r="AU43" s="529">
        <f>$AU$7</f>
        <v>0</v>
      </c>
      <c r="AV43" s="529">
        <f>SUM('様式１－１（【本園分】標準時間対応）'!BA31:BA32)</f>
        <v>0</v>
      </c>
      <c r="AW43" s="529">
        <f>SUM('様式１－２（【分園分】標準時間対応）'!BA31:BA32)</f>
        <v>0</v>
      </c>
      <c r="AX43" s="526">
        <f>IF(OR(AND('様式１－１（【本園分】標準時間対応）'!J31&gt;0, '様式１－１（【本園分】標準時間対応）'!R31&gt;0), '様式１－１（【本園分】標準時間対応）'!BC31&gt;=ROUND((C44+C45)*0.3,0)),1,0) + IF(OR(AND('様式１－２（【分園分】標準時間対応）'!J31&gt;0, '様式１－２（【分園分】標準時間対応）'!R31&gt;0), '様式１－２（【分園分】標準時間対応）'!BC31&gt;=ROUND((D44+D45)*0.3,0)),1,0)</f>
        <v>2</v>
      </c>
      <c r="AY43" s="532">
        <f>2-AB43</f>
        <v>0</v>
      </c>
      <c r="AZ43" s="725">
        <f t="shared" ref="AZ43" si="116">SUM(AR43:AY45)</f>
        <v>5</v>
      </c>
      <c r="BA43" s="200"/>
      <c r="BC43" s="560"/>
      <c r="BD43" s="789">
        <f>ROUND(SUM(BD7:BD42)/12,1)</f>
        <v>0</v>
      </c>
      <c r="BE43" s="729"/>
      <c r="BF43" s="719">
        <f>ROUND(SUM(BF7:BF42)/12,1)</f>
        <v>0</v>
      </c>
      <c r="BG43" s="727">
        <f>ROUND(SUM(BG7:BG42)/12,1)</f>
        <v>0</v>
      </c>
      <c r="BH43" s="729"/>
      <c r="BI43" s="737">
        <f>ROUND(SUM(BI7:BI42)/12,1)</f>
        <v>0</v>
      </c>
      <c r="BJ43" s="614">
        <f>BD43+BF43+IF((BG43+BI43)&gt;=AM43,AM43,(BG43+BI43))</f>
        <v>0</v>
      </c>
      <c r="BK43" s="717">
        <f t="shared" ref="BK43" si="117">BJ43-AR43</f>
        <v>-3</v>
      </c>
      <c r="BL43" s="717">
        <f t="shared" ref="BL43" si="118">BJ43-(AK43+AM43+AN43+AP43)</f>
        <v>-3</v>
      </c>
      <c r="BN43" s="722">
        <f>ROUND(SUM(BN7:BN40)/12,1)</f>
        <v>0</v>
      </c>
      <c r="BO43" s="472" t="str">
        <f t="shared" ref="BO43" si="119">IF(BN43&gt;=0.2,BJ43-AR43-BN43,"")</f>
        <v/>
      </c>
      <c r="BS43" s="509" t="s">
        <v>211</v>
      </c>
      <c r="BT43" s="311" t="s">
        <v>71</v>
      </c>
      <c r="BU43" s="312">
        <f>AA43+AC43+AE43+AH43+AL43+AN43+AQ43</f>
        <v>0</v>
      </c>
      <c r="BV43" s="313">
        <f>ROUND(BU43/(BU43+BU44),2)</f>
        <v>0</v>
      </c>
      <c r="BX43" s="509" t="s">
        <v>211</v>
      </c>
      <c r="BY43" s="311" t="s">
        <v>71</v>
      </c>
      <c r="BZ43" s="314">
        <f>AE43+AH43</f>
        <v>0</v>
      </c>
      <c r="CA43" s="313">
        <f>ROUND(BZ43/(BZ43+BZ44),2)</f>
        <v>0</v>
      </c>
    </row>
    <row r="44" spans="1:79" ht="27" customHeight="1">
      <c r="A44" s="651"/>
      <c r="B44" s="72" t="s">
        <v>72</v>
      </c>
      <c r="C44" s="258">
        <f t="shared" si="113"/>
        <v>0</v>
      </c>
      <c r="D44" s="258">
        <f t="shared" si="113"/>
        <v>0</v>
      </c>
      <c r="E44" s="235"/>
      <c r="F44" s="235"/>
      <c r="G44" s="235"/>
      <c r="H44" s="235"/>
      <c r="I44" s="235"/>
      <c r="J44" s="236">
        <f>ROUND(SUM(J8,J11,J14,J17,J20,J23,J26,J29,J32,J35,J38,J41)/12,0)</f>
        <v>0</v>
      </c>
      <c r="K44" s="236">
        <f>ROUND(SUM(K8,K11,K14,K17,K20,K23,K26,K29,K32,K35,K38,K41)/12,0)</f>
        <v>0</v>
      </c>
      <c r="L44" s="236">
        <f>ROUND(SUM(L8,L11,L14,L17,L20,L23,L26,L29,L32,L35,L38,L41)/12,0)</f>
        <v>0</v>
      </c>
      <c r="M44" s="251"/>
      <c r="N44" s="242"/>
      <c r="O44" s="235"/>
      <c r="P44" s="235"/>
      <c r="Q44" s="235"/>
      <c r="R44" s="235"/>
      <c r="S44" s="236">
        <f>ROUND(SUM(S8,S11,S14,S17,S20,S23,S26,S29,S32,S35,S38,S41)/12,0)</f>
        <v>0</v>
      </c>
      <c r="T44" s="236">
        <f>ROUND(SUM(T8,T11,T14,T17,T20,T23,T26,T29,T32,T35,T38,T41)/12,0)</f>
        <v>0</v>
      </c>
      <c r="U44" s="236">
        <f>ROUND(SUM(U8,U11,U14,U17,U20,U23,U26,U29,U32,U35,U38,U41)/12,0)</f>
        <v>0</v>
      </c>
      <c r="V44" s="237"/>
      <c r="W44" s="57">
        <f>SUM(J44:L44)</f>
        <v>0</v>
      </c>
      <c r="X44" s="537"/>
      <c r="Y44" s="56">
        <f>SUM(S44:U44)</f>
        <v>0</v>
      </c>
      <c r="Z44" s="540"/>
      <c r="AA44" s="584">
        <f>IF(C44+C45&lt;=90,1,0)+IF(D44+D45&lt;=90,1,0)</f>
        <v>2</v>
      </c>
      <c r="AB44" s="595"/>
      <c r="AC44" s="586">
        <f>AD43</f>
        <v>0</v>
      </c>
      <c r="AD44" s="595"/>
      <c r="AE44" s="582">
        <f>IF($W44+$W45&gt;0,1,0)+IF($Y44+$Y45&gt;0,1,0)</f>
        <v>0</v>
      </c>
      <c r="AF44" s="543"/>
      <c r="AG44" s="748"/>
      <c r="AH44" s="591">
        <f>AI43-AH43</f>
        <v>0</v>
      </c>
      <c r="AI44" s="589"/>
      <c r="AJ44" s="614"/>
      <c r="AK44" s="715"/>
      <c r="AL44" s="383">
        <f>AM43-AL43</f>
        <v>0</v>
      </c>
      <c r="AM44" s="750"/>
      <c r="AN44" s="633"/>
      <c r="AO44" s="633"/>
      <c r="AP44" s="570"/>
      <c r="AQ44" s="734">
        <f>IFERROR(AP43*(ROUND((W44+W45+Y44+Y45)/(Z43+X43),1)),0)</f>
        <v>0</v>
      </c>
      <c r="AR44" s="614"/>
      <c r="AS44" s="720"/>
      <c r="AT44" s="720"/>
      <c r="AU44" s="529"/>
      <c r="AV44" s="529"/>
      <c r="AW44" s="529"/>
      <c r="AX44" s="526"/>
      <c r="AY44" s="532"/>
      <c r="AZ44" s="552"/>
      <c r="BA44" s="200"/>
      <c r="BC44" s="560"/>
      <c r="BD44" s="789"/>
      <c r="BE44" s="730"/>
      <c r="BF44" s="720"/>
      <c r="BG44" s="727"/>
      <c r="BH44" s="730"/>
      <c r="BI44" s="737"/>
      <c r="BJ44" s="614"/>
      <c r="BK44" s="614"/>
      <c r="BL44" s="614"/>
      <c r="BN44" s="723"/>
      <c r="BO44" s="470"/>
      <c r="BS44" s="510"/>
      <c r="BT44" s="512" t="s">
        <v>155</v>
      </c>
      <c r="BU44" s="778">
        <f>AA44+AC44+AE44+AH44+AL44+AQ44+AU43+AV43+AW43+AX43+AY43</f>
        <v>4</v>
      </c>
      <c r="BV44" s="514">
        <f>1-BV43</f>
        <v>1</v>
      </c>
      <c r="BX44" s="510"/>
      <c r="BY44" s="512" t="s">
        <v>155</v>
      </c>
      <c r="BZ44" s="513">
        <f>AA44+AC44+AH44+AE44</f>
        <v>2</v>
      </c>
      <c r="CA44" s="514">
        <f t="shared" ref="CA44" si="120">ROUND(BZ44/(BZ43+BZ44),2)</f>
        <v>1</v>
      </c>
    </row>
    <row r="45" spans="1:79" ht="27" customHeight="1" thickBot="1">
      <c r="A45" s="651"/>
      <c r="B45" s="72" t="s">
        <v>73</v>
      </c>
      <c r="C45" s="258">
        <f t="shared" si="113"/>
        <v>0</v>
      </c>
      <c r="D45" s="258">
        <f t="shared" si="113"/>
        <v>0</v>
      </c>
      <c r="E45" s="236">
        <f>ROUND(SUM(E9,E12,E15,E18,E21,E24,E27,E30,E33,E36,E39,E42)/12,0)</f>
        <v>0</v>
      </c>
      <c r="F45" s="236">
        <f>ROUND(SUM(F9,F12,F15,F18,F21,F24,F27,F30,F33,F36,F39,F42)/12,0)</f>
        <v>0</v>
      </c>
      <c r="G45" s="238"/>
      <c r="H45" s="236">
        <f>ROUND(SUM(H9,H12,H15,H18,H21,H24,H27,H30,H33,H36,H39,H42)/12,0)</f>
        <v>0</v>
      </c>
      <c r="I45" s="235"/>
      <c r="J45" s="235"/>
      <c r="K45" s="235"/>
      <c r="L45" s="235"/>
      <c r="M45" s="251"/>
      <c r="N45" s="243">
        <f>ROUND(SUM(N9,N12,N15,N18,N21,N24,N27,N30,N33,N36,N39,N42)/12,0)</f>
        <v>0</v>
      </c>
      <c r="O45" s="236">
        <f>ROUND(SUM(O9,O12,O15,O18,O21,O24,O27,O30,O33,O36,O39,O42)/12,0)</f>
        <v>0</v>
      </c>
      <c r="P45" s="238"/>
      <c r="Q45" s="236">
        <f>ROUND(SUM(Q9,Q12,Q15,Q18,Q21,Q24,Q27,Q30,Q33,Q36,Q39,Q42)/12,0)</f>
        <v>0</v>
      </c>
      <c r="R45" s="235"/>
      <c r="S45" s="235"/>
      <c r="T45" s="235"/>
      <c r="U45" s="235"/>
      <c r="V45" s="239"/>
      <c r="W45" s="57">
        <f>SUM(E45:F45,H45)</f>
        <v>0</v>
      </c>
      <c r="X45" s="656"/>
      <c r="Y45" s="363">
        <f>SUM(N45:O45,Q45)</f>
        <v>0</v>
      </c>
      <c r="Z45" s="652"/>
      <c r="AA45" s="597"/>
      <c r="AB45" s="596"/>
      <c r="AC45" s="593"/>
      <c r="AD45" s="596"/>
      <c r="AE45" s="583"/>
      <c r="AF45" s="712"/>
      <c r="AG45" s="749"/>
      <c r="AH45" s="592"/>
      <c r="AI45" s="590"/>
      <c r="AJ45" s="718"/>
      <c r="AK45" s="781"/>
      <c r="AL45" s="387"/>
      <c r="AM45" s="751"/>
      <c r="AN45" s="634"/>
      <c r="AO45" s="634"/>
      <c r="AP45" s="571"/>
      <c r="AQ45" s="735"/>
      <c r="AR45" s="718"/>
      <c r="AS45" s="721"/>
      <c r="AT45" s="721"/>
      <c r="AU45" s="530"/>
      <c r="AV45" s="530"/>
      <c r="AW45" s="530"/>
      <c r="AX45" s="527"/>
      <c r="AY45" s="533"/>
      <c r="AZ45" s="726"/>
      <c r="BA45" s="200"/>
      <c r="BC45" s="560"/>
      <c r="BD45" s="790"/>
      <c r="BE45" s="731"/>
      <c r="BF45" s="721"/>
      <c r="BG45" s="728"/>
      <c r="BH45" s="731"/>
      <c r="BI45" s="738"/>
      <c r="BJ45" s="718"/>
      <c r="BK45" s="718"/>
      <c r="BL45" s="718"/>
      <c r="BN45" s="724"/>
      <c r="BO45" s="471"/>
      <c r="BS45" s="511"/>
      <c r="BT45" s="512"/>
      <c r="BU45" s="778"/>
      <c r="BV45" s="514"/>
      <c r="BX45" s="511"/>
      <c r="BY45" s="512"/>
      <c r="BZ45" s="513"/>
      <c r="CA45" s="514"/>
    </row>
    <row r="46" spans="1:79" ht="27" customHeight="1" thickTop="1" thickBot="1">
      <c r="BF46" s="1"/>
      <c r="BG46" s="1"/>
      <c r="BH46" s="1"/>
      <c r="BI46" s="1"/>
      <c r="BS46" s="337"/>
      <c r="BT46" s="197"/>
      <c r="BU46" s="338"/>
      <c r="BV46" s="339"/>
      <c r="BX46" s="337"/>
      <c r="BY46" s="197"/>
      <c r="BZ46" s="340"/>
      <c r="CA46" s="339"/>
    </row>
    <row r="47" spans="1:79" customFormat="1" ht="24.75" customHeight="1" thickTop="1">
      <c r="M47" s="486" t="s">
        <v>275</v>
      </c>
      <c r="N47" s="487"/>
      <c r="O47" s="487"/>
      <c r="P47" s="487"/>
      <c r="Q47" s="487"/>
      <c r="R47" s="488"/>
      <c r="S47" s="489" t="s">
        <v>276</v>
      </c>
      <c r="T47" s="490"/>
      <c r="U47" s="490"/>
      <c r="V47" s="491"/>
      <c r="W47" s="183" t="s">
        <v>277</v>
      </c>
      <c r="AD47" s="341"/>
    </row>
    <row r="48" spans="1:79" customFormat="1" ht="24.75" customHeight="1">
      <c r="M48" s="495" t="s">
        <v>278</v>
      </c>
      <c r="N48" s="496"/>
      <c r="O48" s="497" t="s">
        <v>279</v>
      </c>
      <c r="P48" s="496"/>
      <c r="Q48" s="498" t="s">
        <v>280</v>
      </c>
      <c r="R48" s="499"/>
      <c r="S48" s="492"/>
      <c r="T48" s="493"/>
      <c r="U48" s="493"/>
      <c r="V48" s="494"/>
      <c r="W48" s="183" t="s">
        <v>281</v>
      </c>
      <c r="X48" s="183"/>
      <c r="Y48" s="183"/>
      <c r="Z48" s="183"/>
      <c r="AA48" s="183"/>
      <c r="AB48" s="183"/>
      <c r="AC48" s="183"/>
      <c r="AD48" s="183"/>
      <c r="AE48" s="183"/>
      <c r="AF48" s="183"/>
      <c r="AG48" s="183"/>
      <c r="AH48" s="183"/>
      <c r="AI48" s="183"/>
    </row>
    <row r="49" spans="1:63" customFormat="1" ht="55.5" customHeight="1" thickBot="1">
      <c r="M49" s="500">
        <f>【補助金算定に係る確認表】!AD21</f>
        <v>2</v>
      </c>
      <c r="N49" s="501"/>
      <c r="O49" s="502">
        <f>【補助金算定に係る確認表】!AE21</f>
        <v>0</v>
      </c>
      <c r="P49" s="503"/>
      <c r="Q49" s="504">
        <f>【補助金算定に係る確認表】!AF21</f>
        <v>0</v>
      </c>
      <c r="R49" s="505"/>
      <c r="S49" s="506" t="s">
        <v>293</v>
      </c>
      <c r="T49" s="507"/>
      <c r="U49" s="508"/>
      <c r="V49" s="342">
        <f>BJ43-BU43-【補助金算定に係る確認表】!H21</f>
        <v>-4</v>
      </c>
      <c r="W49" s="617" t="s">
        <v>282</v>
      </c>
      <c r="X49" s="618"/>
      <c r="Y49" s="618"/>
      <c r="Z49" s="618"/>
      <c r="AA49" s="618"/>
      <c r="AB49" s="618"/>
      <c r="AC49" s="618"/>
      <c r="AD49" s="618"/>
      <c r="AE49" s="618"/>
      <c r="AF49" s="618"/>
      <c r="AG49" s="618"/>
      <c r="AH49" s="619"/>
      <c r="AI49" s="343"/>
    </row>
    <row r="50" spans="1:63" customFormat="1" ht="58.5" customHeight="1" thickTop="1">
      <c r="M50" s="475" t="s">
        <v>283</v>
      </c>
      <c r="N50" s="476"/>
      <c r="O50" s="476"/>
      <c r="P50" s="476"/>
      <c r="Q50" s="476"/>
      <c r="R50" s="477"/>
      <c r="S50" s="344" t="s">
        <v>284</v>
      </c>
      <c r="T50" s="345" t="s">
        <v>285</v>
      </c>
      <c r="U50" s="345" t="s">
        <v>286</v>
      </c>
      <c r="V50" s="345" t="s">
        <v>287</v>
      </c>
      <c r="W50" s="346" t="s">
        <v>288</v>
      </c>
      <c r="X50" s="347"/>
      <c r="Y50" s="159"/>
      <c r="Z50" s="159"/>
      <c r="AA50" s="159"/>
      <c r="AB50" s="159"/>
      <c r="AC50" s="159"/>
      <c r="AD50" s="348"/>
      <c r="AE50" s="159"/>
      <c r="AF50" s="159"/>
      <c r="AG50" s="159"/>
      <c r="AH50" s="159"/>
    </row>
    <row r="51" spans="1:63" customFormat="1" ht="36" customHeight="1">
      <c r="M51" s="478" t="s">
        <v>289</v>
      </c>
      <c r="N51" s="479"/>
      <c r="O51" s="479"/>
      <c r="P51" s="479"/>
      <c r="Q51" s="479"/>
      <c r="R51" s="480"/>
      <c r="S51" s="349" t="str">
        <f>IF(SUM(AS43:AT45)=0,"非該当",IF(BJ43-BU43&gt;【補助金算定に係る確認表】!K21,"○","-"))</f>
        <v>非該当</v>
      </c>
      <c r="T51" s="350" t="str">
        <f>IF(BJ43-BU43&gt;(【補助金算定に係る確認表】!K21+【補助金算定に係る確認表】!L21+【補助金算定に係る確認表】!N21),"○","-")</f>
        <v>-</v>
      </c>
      <c r="U51" s="350" t="str">
        <f>IF(BJ43-BU43&gt;(【補助金算定に係る確認表】!K21+【補助金算定に係る確認表】!L21+【補助金算定に係る確認表】!N21+【補助金算定に係る確認表】!Q21),"○","-")</f>
        <v>-</v>
      </c>
      <c r="V51" s="350" t="str">
        <f>IF(BJ43-BU43&gt;(【補助金算定に係る確認表】!K21+【補助金算定に係る確認表】!L21+【補助金算定に係る確認表】!N21+【補助金算定に係る確認表】!Q21+【補助金算定に係る確認表】!T21),"○","-")</f>
        <v>-</v>
      </c>
      <c r="W51" s="351" t="str">
        <f>IF(BJ43-BU43&gt;(【補助金算定に係る確認表】!K21+【補助金算定に係る確認表】!L21+【補助金算定に係る確認表】!N21+【補助金算定に係る確認表】!Q21+【補助金算定に係る確認表】!T21+【補助金算定に係る確認表】!W21),"○","-")</f>
        <v>-</v>
      </c>
      <c r="X51" s="352"/>
    </row>
    <row r="52" spans="1:63" customFormat="1" ht="36" customHeight="1">
      <c r="M52" s="481" t="s">
        <v>290</v>
      </c>
      <c r="N52" s="482"/>
      <c r="O52" s="482"/>
      <c r="P52" s="482"/>
      <c r="Q52" s="482"/>
      <c r="R52" s="483"/>
      <c r="S52" s="353"/>
      <c r="T52" s="354">
        <f>IF(T51="○","適用済",((【補助金算定に係る確認表】!K21+【補助金算定に係る確認表】!L21+【補助金算定に係る確認表】!N21)+0.1-(BJ43-BU43)))</f>
        <v>2.1</v>
      </c>
      <c r="U52" s="354">
        <f>IF(U51="○","適用済",((【補助金算定に係る確認表】!K21+【補助金算定に係る確認表】!L21+【補助金算定に係る確認表】!N21+【補助金算定に係る確認表】!Q21)+0.1-(BJ43-BU43)))</f>
        <v>2.1</v>
      </c>
      <c r="V52" s="354">
        <f>IF(V51="○","適用済",((【補助金算定に係る確認表】!K21+【補助金算定に係る確認表】!L21+【補助金算定に係る確認表】!N21+【補助金算定に係る確認表】!Q21+【補助金算定に係る確認表】!T21)+0.1-(BJ43-BU43)))</f>
        <v>2.1</v>
      </c>
      <c r="W52" s="355">
        <f>IF(W51="○","適用済",((【補助金算定に係る確認表】!K21+【補助金算定に係る確認表】!L21+【補助金算定に係る確認表】!N21+【補助金算定に係る確認表】!Q21+【補助金算定に係る確認表】!T21+【補助金算定に係る確認表】!W21)+0.1-(BJ43-BU43)))</f>
        <v>2.1</v>
      </c>
      <c r="X52" s="158"/>
    </row>
    <row r="53" spans="1:63" customFormat="1" ht="63" customHeight="1" thickBot="1">
      <c r="M53" s="484" t="s">
        <v>291</v>
      </c>
      <c r="N53" s="485"/>
      <c r="O53" s="485"/>
      <c r="P53" s="485"/>
      <c r="Q53" s="356" t="s">
        <v>292</v>
      </c>
      <c r="R53" s="357"/>
      <c r="S53" s="358"/>
      <c r="T53" s="359">
        <f>IF(T$52="適用済","適用済",IF($R$53="",T$52,IF($R$53&lt;=3,ROUND(T$52*12/(4-$R$53),1),ROUND(T$52*12/(16-$R$53),1))))</f>
        <v>2.1</v>
      </c>
      <c r="U53" s="359">
        <f>IF(U$52="適用済","適用済",IF($R$53="",U$52,IF($R$53&lt;=3,ROUND(U$52*12/(4-$R$53),1),ROUND(U$52*12/(16-$R$53),1))))</f>
        <v>2.1</v>
      </c>
      <c r="V53" s="359">
        <f>IF(V$52="適用済","適用済",IF($R$53="",V$52,IF($R$53&lt;=3,ROUND(V$52*12/(4-$R$53),1),ROUND(V$52*12/(16-$R$53),1))))</f>
        <v>2.1</v>
      </c>
      <c r="W53" s="360">
        <f>IF(W$52="適用済","適用済",IF($R$53="",W$52,IF($R$53&lt;=3,ROUND(W$52*12/(4-$R$53),1),ROUND(W$52*12/(16-$R$53),1))))</f>
        <v>2.1</v>
      </c>
    </row>
    <row r="54" spans="1:63" customFormat="1" ht="108.75" customHeight="1" thickTop="1">
      <c r="O54" s="361"/>
      <c r="S54" s="361"/>
      <c r="T54" s="361"/>
      <c r="U54" s="361"/>
      <c r="V54" s="361"/>
      <c r="W54" s="361"/>
      <c r="Z54" s="362"/>
      <c r="AD54" s="341"/>
    </row>
    <row r="55" spans="1:63" s="74" customFormat="1">
      <c r="A55" s="521" t="s">
        <v>207</v>
      </c>
      <c r="B55" s="522"/>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row>
    <row r="56" spans="1:63">
      <c r="A56" s="523" t="s">
        <v>294</v>
      </c>
      <c r="B56" s="524"/>
      <c r="AO56" s="1" t="s">
        <v>97</v>
      </c>
    </row>
    <row r="57" spans="1:63">
      <c r="AF57" s="77"/>
      <c r="AM57" s="77"/>
      <c r="AN57" s="77"/>
      <c r="AO57" s="77" t="s">
        <v>98</v>
      </c>
      <c r="AP57" s="77"/>
      <c r="AQ57" s="77"/>
    </row>
    <row r="58" spans="1:63">
      <c r="AR58"/>
      <c r="AT58" s="156" t="s">
        <v>71</v>
      </c>
      <c r="AU58" s="156" t="s">
        <v>155</v>
      </c>
      <c r="AV58"/>
      <c r="AW58" s="156" t="s">
        <v>71</v>
      </c>
      <c r="AX58" s="156" t="s">
        <v>155</v>
      </c>
      <c r="AY58" s="197"/>
    </row>
    <row r="59" spans="1:63">
      <c r="M59" s="1" t="s">
        <v>50</v>
      </c>
      <c r="AB59" s="21" t="s">
        <v>110</v>
      </c>
      <c r="AC59" s="154"/>
      <c r="AD59" s="706"/>
      <c r="AE59" s="154"/>
      <c r="AF59" s="616" t="s">
        <v>79</v>
      </c>
      <c r="AG59" s="21" t="s">
        <v>77</v>
      </c>
      <c r="AH59" s="21"/>
      <c r="AI59" s="21"/>
      <c r="AJ59" s="144">
        <f>ROUND(ROUNDDOWN((L7+K7)/30,1)+ROUNDDOWN((J7+J8)/15,1)+ROUNDDOWN((I7+H9)/6,1)+ROUNDDOWN(L8/25,1)+ROUNDDOWN(K8/20,1)+ROUNDDOWN(F9/5,1)+ROUNDDOWN(E9/3,1),0)+ROUND(ROUNDDOWN((U7+T7)/30,1)+ROUNDDOWN((S7+S8)/15,1)+ROUNDDOWN((R7+Q9)/6,1)+ROUNDDOWN(U8/25,1)+ROUNDDOWN(T8/20,1)+ROUNDDOWN(O9/5,1)+ROUNDDOWN(N9/3,1),0)</f>
        <v>0</v>
      </c>
      <c r="AK59" s="162"/>
      <c r="AL59" s="162"/>
      <c r="AM59" s="59"/>
      <c r="AN59" s="59"/>
      <c r="AO59" s="59"/>
      <c r="AP59" s="59"/>
      <c r="AQ59" s="59"/>
      <c r="AR59" s="156" t="s">
        <v>77</v>
      </c>
      <c r="AT59" s="214">
        <f>ROUND(ROUNDDOWN((L7+K7)/30,1)+ROUNDDOWN((J7)/15,1)+ROUNDDOWN((I7)/6,1),0)+ROUND(ROUNDDOWN((U7+T7)/30,1)+ROUNDDOWN((S7)/15,1)+ROUNDDOWN((R7)/6,1),0)</f>
        <v>0</v>
      </c>
      <c r="AU59" s="214">
        <f>AJ59-AT59</f>
        <v>0</v>
      </c>
      <c r="AV59" s="158"/>
      <c r="AW59"/>
      <c r="AX59" s="159"/>
      <c r="AY59" s="198"/>
    </row>
    <row r="60" spans="1:63">
      <c r="AB60" s="21" t="s">
        <v>107</v>
      </c>
      <c r="AC60" s="154"/>
      <c r="AD60" s="706"/>
      <c r="AE60" s="154"/>
      <c r="AF60" s="616"/>
      <c r="AG60" s="21" t="s">
        <v>75</v>
      </c>
      <c r="AH60" s="21"/>
      <c r="AI60" s="21"/>
      <c r="AJ60" s="144">
        <f>ROUND(ROUNDDOWN((L7+K7)/30,1)+ROUNDDOWN((J7+I7+J8)/15,1)+ROUNDDOWN(L8/25,1)+ROUNDDOWN(K8/20,1)+ROUNDDOWN(H9/6,1)+ROUNDDOWN(F9/5,1)+ROUNDDOWN(E9/3,1),0)+ROUND(ROUNDDOWN((U7+T7)/30,1)+ROUNDDOWN((S7+R7+S8)/15,1)+ROUNDDOWN(U8/25,1)+ROUNDDOWN(T8/20,1)+ROUNDDOWN(Q9/6,1)+ROUNDDOWN(O9/5,1)+ROUNDDOWN(N9/3,1),0)</f>
        <v>0</v>
      </c>
      <c r="AK60" s="162"/>
      <c r="AL60" s="162"/>
      <c r="AM60" s="59"/>
      <c r="AN60" s="59"/>
      <c r="AO60" s="59"/>
      <c r="AP60" s="59"/>
      <c r="AQ60" s="59"/>
      <c r="AR60" s="156" t="s">
        <v>75</v>
      </c>
      <c r="AT60" s="214">
        <f>ROUND(ROUNDDOWN((L7+K7)/30,1)+ROUNDDOWN((J7+I7)/15,1),)+ROUND(ROUNDDOWN((U7+T7)/30,1)+ROUNDDOWN((S7+R7)/15,1),0)</f>
        <v>0</v>
      </c>
      <c r="AU60" s="214">
        <f t="shared" ref="AU60:AU97" si="121">AJ60-AT60</f>
        <v>0</v>
      </c>
      <c r="AV60" s="160"/>
      <c r="AW60" s="161"/>
      <c r="AX60" s="161"/>
      <c r="AY60" s="198"/>
    </row>
    <row r="61" spans="1:63">
      <c r="AB61" s="21" t="s">
        <v>109</v>
      </c>
      <c r="AC61" s="154"/>
      <c r="AD61" s="706"/>
      <c r="AE61" s="154"/>
      <c r="AF61" s="616"/>
      <c r="AG61" s="21" t="s">
        <v>76</v>
      </c>
      <c r="AH61" s="21"/>
      <c r="AI61" s="21"/>
      <c r="AJ61" s="144">
        <f>ROUND(ROUNDDOWN((L7+K7)/30,1)+ROUNDDOWN((J7+K8)/20,1)+ROUNDDOWN((I7+H9)/6,1)+ROUNDDOWN(L8/25,1)+ROUNDDOWN(J8/15,1)+ROUNDDOWN(F9/5,1)+ROUNDDOWN(E9/3,1),0)+ROUND(ROUNDDOWN((U7+T7)/30,1)+ROUNDDOWN((S7+T8)/20,1)+ROUNDDOWN((R7+Q9)/6,1)+ROUNDDOWN(U8/25,1)+ROUNDDOWN(S8/15,1)+ROUNDDOWN(O9/5,1)+ROUNDDOWN(N9/3,1),0)</f>
        <v>0</v>
      </c>
      <c r="AK61" s="144"/>
      <c r="AL61" s="144"/>
      <c r="AM61" s="78" t="s">
        <v>78</v>
      </c>
      <c r="AN61" s="78"/>
      <c r="AO61" s="144">
        <f>ROUND(ROUNDDOWN(($L7+$K7)/30,1)+ROUNDDOWN(($J7+$I7+$K8)/20,1)+ROUNDDOWN($L8/25,1)+ROUNDDOWN($J8/15,1)+ROUNDDOWN($H9/6,1)+ROUNDDOWN($F9/5,1)+ROUNDDOWN($E9/3,1),0)+ROUND(ROUNDDOWN(($U7+$T7)/30,1)+ROUNDDOWN(($S7+$R7+$T8)/20,1)+ROUNDDOWN($U8/25,1)+ROUNDDOWN($S8/15,1)+ROUNDDOWN($Q9/6,1)+ROUNDDOWN($O9/5,1)+ROUNDDOWN($N9/3,1),0)</f>
        <v>0</v>
      </c>
      <c r="AP61" s="162"/>
      <c r="AQ61" s="162"/>
      <c r="AR61" s="156" t="s">
        <v>76</v>
      </c>
      <c r="AT61" s="214">
        <f>ROUND(ROUNDDOWN((L7+K7)/30,1)+ROUNDDOWN((J7)/20,1)+ROUNDDOWN((I7)/6,1),0)+ROUND(ROUNDDOWN((U7+T7)/30,1)+ROUNDDOWN((S7)/20,1)+ROUNDDOWN((R7)/6,1),0)</f>
        <v>0</v>
      </c>
      <c r="AU61" s="214">
        <f t="shared" si="121"/>
        <v>0</v>
      </c>
      <c r="AV61" s="156" t="s">
        <v>78</v>
      </c>
      <c r="AW61" s="157">
        <f>ROUND(ROUNDDOWN(($L7+$K7)/30,1)+ROUNDDOWN(($J7+$I7)/20,1),0)+ROUND(ROUNDDOWN(($U7+$T7)/30,1)+ROUNDDOWN(($S7+$R7)/20,1),0)</f>
        <v>0</v>
      </c>
      <c r="AX61" s="157">
        <f>AO61-AW61</f>
        <v>0</v>
      </c>
      <c r="AY61" s="198"/>
    </row>
    <row r="62" spans="1:63">
      <c r="AB62" s="21" t="s">
        <v>108</v>
      </c>
      <c r="AC62" s="154"/>
      <c r="AD62" s="706"/>
      <c r="AE62" s="154"/>
      <c r="AF62" s="616" t="s">
        <v>81</v>
      </c>
      <c r="AG62" s="21" t="s">
        <v>77</v>
      </c>
      <c r="AH62" s="21"/>
      <c r="AI62" s="21"/>
      <c r="AJ62" s="54">
        <f>ROUND(ROUNDDOWN((L10+K10)/30,1)+ROUNDDOWN((J10+J11)/15,1)+ROUNDDOWN((I10+H12)/6,1)+ROUNDDOWN(L11/25,1)+ROUNDDOWN(K11/20,1)+ROUNDDOWN(F12/5,1)+ROUNDDOWN(E12/3,1),0)+ROUND(ROUNDDOWN((U10+T10)/30,1)+ROUNDDOWN((S10+S11)/15,1)+ROUNDDOWN((R10+Q12)/6,1)+ROUNDDOWN(U11/25,1)+ROUNDDOWN(T11/20,1)+ROUNDDOWN(O12/5,1)+ROUNDDOWN(N12/3,1),0)</f>
        <v>0</v>
      </c>
      <c r="AK62" s="59"/>
      <c r="AL62" s="59"/>
      <c r="AM62" s="59"/>
      <c r="AN62" s="59"/>
      <c r="AO62" s="59"/>
      <c r="AP62" s="59"/>
      <c r="AQ62" s="59"/>
      <c r="AR62" s="156" t="s">
        <v>77</v>
      </c>
      <c r="AT62" s="214">
        <f>ROUND(ROUNDDOWN((L10+K10)/30,1)+ROUNDDOWN((J10)/15,1)+ROUNDDOWN((I10)/6,1),0)+ROUND(ROUNDDOWN((U10+T10)/30,1)+ROUNDDOWN((S10)/15,1)+ROUNDDOWN((R10)/6,1),0)</f>
        <v>0</v>
      </c>
      <c r="AU62" s="214">
        <f t="shared" si="121"/>
        <v>0</v>
      </c>
      <c r="AV62" s="158"/>
      <c r="AW62"/>
      <c r="AX62" s="159"/>
      <c r="AY62" s="198"/>
    </row>
    <row r="63" spans="1:63">
      <c r="AD63" s="706"/>
      <c r="AE63" s="154"/>
      <c r="AF63" s="616"/>
      <c r="AG63" s="21" t="s">
        <v>75</v>
      </c>
      <c r="AH63" s="21"/>
      <c r="AI63" s="21"/>
      <c r="AJ63" s="54">
        <f>ROUND(ROUNDDOWN((L10+K10)/30,1)+ROUNDDOWN((J10+I10+J11)/15,1)+ROUNDDOWN(L11/25,1)+ROUNDDOWN(K11/20,1)+ROUNDDOWN(H12/6,1)+ROUNDDOWN(F12/5,1)+ROUNDDOWN(E12/3,1),0)+ROUND(ROUNDDOWN((U10+T10)/30,1)+ROUNDDOWN((S10+R10+S11)/15,1)+ROUNDDOWN(U11/25,1)+ROUNDDOWN(T11/20,1)+ROUNDDOWN(Q12/6,1)+ROUNDDOWN(O12/5,1)+ROUNDDOWN(N12/3,1),0)</f>
        <v>0</v>
      </c>
      <c r="AK63" s="59"/>
      <c r="AL63" s="59"/>
      <c r="AM63" s="59"/>
      <c r="AN63" s="59"/>
      <c r="AO63" s="59"/>
      <c r="AP63" s="59"/>
      <c r="AQ63" s="59"/>
      <c r="AR63" s="156" t="s">
        <v>75</v>
      </c>
      <c r="AT63" s="214">
        <f>ROUND(ROUNDDOWN((L10+K10)/30,1)+ROUNDDOWN((J10+I10)/15,1),)+ROUND(ROUNDDOWN((U10+T10)/30,1)+ROUNDDOWN((S10+R10)/15,1),0)</f>
        <v>0</v>
      </c>
      <c r="AU63" s="214">
        <f t="shared" si="121"/>
        <v>0</v>
      </c>
      <c r="AV63" s="160"/>
      <c r="AW63" s="161"/>
      <c r="AX63" s="161"/>
      <c r="AY63" s="198"/>
    </row>
    <row r="64" spans="1:63">
      <c r="AD64" s="706"/>
      <c r="AE64" s="154"/>
      <c r="AF64" s="616"/>
      <c r="AG64" s="21" t="s">
        <v>76</v>
      </c>
      <c r="AH64" s="21"/>
      <c r="AI64" s="21"/>
      <c r="AJ64" s="54">
        <f>ROUND(ROUNDDOWN((L10+K10)/30,1)+ROUNDDOWN((J10+K11)/20,1)+ROUNDDOWN((I10+H12)/6,1)+ROUNDDOWN(L11/25,1)+ROUNDDOWN(J11/15,1)+ROUNDDOWN(F12/5,1)+ROUNDDOWN(E12/3,1),0)+ROUND(ROUNDDOWN((U10+T10)/30,1)+ROUNDDOWN((S10+T11)/20,1)+ROUNDDOWN((R10+Q12)/6,1)+ROUNDDOWN(U11/25,1)+ROUNDDOWN(S11/15,1)+ROUNDDOWN(O12/5,1)+ROUNDDOWN(N12/3,1),0)</f>
        <v>0</v>
      </c>
      <c r="AK64" s="54"/>
      <c r="AL64" s="54"/>
      <c r="AM64" s="78" t="s">
        <v>78</v>
      </c>
      <c r="AN64" s="78"/>
      <c r="AO64" s="54">
        <f>ROUND(ROUNDDOWN(($L10+$K10)/30,1)+ROUNDDOWN(($J10+$I10+$K11)/20,1)+ROUNDDOWN($L11/25,1)+ROUNDDOWN($J11/15,1)+ROUNDDOWN($H12/6,1)+ROUNDDOWN($F12/5,1)+ROUNDDOWN($E12/3,1),0)+ROUND(ROUNDDOWN(($U10+$T10)/30,1)+ROUNDDOWN(($S10+$R10+$T11)/20,1)+ROUNDDOWN($U11/25,1)+ROUNDDOWN($S11/15,1)+ROUNDDOWN($Q12/6,1)+ROUNDDOWN($O12/5,1)+ROUNDDOWN($N12/3,1),0)</f>
        <v>0</v>
      </c>
      <c r="AP64" s="59"/>
      <c r="AQ64" s="59"/>
      <c r="AR64" s="156" t="s">
        <v>76</v>
      </c>
      <c r="AT64" s="214">
        <f>ROUND(ROUNDDOWN((L10+K10)/30,1)+ROUNDDOWN((J10)/20,1)+ROUNDDOWN((I10)/6,1),0)+ROUND(ROUNDDOWN((U10+T10)/30,1)+ROUNDDOWN((S10)/20,1)+ROUNDDOWN((R10)/6,1),0)</f>
        <v>0</v>
      </c>
      <c r="AU64" s="214">
        <f t="shared" si="121"/>
        <v>0</v>
      </c>
      <c r="AV64" s="156" t="s">
        <v>78</v>
      </c>
      <c r="AW64" s="157">
        <f>ROUND(ROUNDDOWN(($L10+$K10)/30,1)+ROUNDDOWN(($J10+$I10)/20,1),0)+ROUND(ROUNDDOWN(($U10+$T10)/30,1)+ROUNDDOWN(($S10+$R10)/20,1),0)</f>
        <v>0</v>
      </c>
      <c r="AX64" s="157">
        <f>AO64-AW64</f>
        <v>0</v>
      </c>
      <c r="AY64" s="198"/>
    </row>
    <row r="65" spans="30:51">
      <c r="AD65" s="706"/>
      <c r="AE65" s="154"/>
      <c r="AF65" s="616" t="s">
        <v>82</v>
      </c>
      <c r="AG65" s="21" t="s">
        <v>77</v>
      </c>
      <c r="AH65" s="21"/>
      <c r="AI65" s="21"/>
      <c r="AJ65" s="54">
        <f>ROUND(ROUNDDOWN((L13+K13)/30,1)+ROUNDDOWN((J13+J14)/15,1)+ROUNDDOWN((I13+H15)/6,1)+ROUNDDOWN(L14/25,1)+ROUNDDOWN(K14/20,1)+ROUNDDOWN(F15/5,1)+ROUNDDOWN(E15/3,1),0)+ROUND(ROUNDDOWN((U13+T13)/30,1)+ROUNDDOWN((S13+S14)/15,1)+ROUNDDOWN((R13+Q15)/6,1)+ROUNDDOWN(U14/25,1)+ROUNDDOWN(T14/20,1)+ROUNDDOWN(O15/5,1)+ROUNDDOWN(N15/3,1),0)</f>
        <v>0</v>
      </c>
      <c r="AK65" s="59"/>
      <c r="AL65" s="59"/>
      <c r="AM65" s="59"/>
      <c r="AN65" s="59"/>
      <c r="AO65" s="59"/>
      <c r="AP65" s="59"/>
      <c r="AQ65" s="59"/>
      <c r="AR65" s="156" t="s">
        <v>77</v>
      </c>
      <c r="AT65" s="214">
        <f>ROUND(ROUNDDOWN((L13+K13)/30,1)+ROUNDDOWN((J13)/15,1)+ROUNDDOWN((I13)/6,1),0)+ROUND(ROUNDDOWN((U13+T13)/30,1)+ROUNDDOWN((S13)/15,1)+ROUNDDOWN((R13)/6,1),0)</f>
        <v>0</v>
      </c>
      <c r="AU65" s="214">
        <f t="shared" si="121"/>
        <v>0</v>
      </c>
      <c r="AV65" s="158"/>
      <c r="AW65"/>
      <c r="AX65" s="159"/>
      <c r="AY65" s="198"/>
    </row>
    <row r="66" spans="30:51">
      <c r="AD66" s="706"/>
      <c r="AE66" s="154"/>
      <c r="AF66" s="616"/>
      <c r="AG66" s="21" t="s">
        <v>75</v>
      </c>
      <c r="AH66" s="21"/>
      <c r="AI66" s="21"/>
      <c r="AJ66" s="54">
        <f>ROUND(ROUNDDOWN((L13+K13)/30,1)+ROUNDDOWN((J13+I13+J14)/15,1)+ROUNDDOWN(L14/25,1)+ROUNDDOWN(K14/20,1)+ROUNDDOWN(H15/6,1)+ROUNDDOWN(F15/5,1)+ROUNDDOWN(E15/3,1),0)+ROUND(ROUNDDOWN((U13+T13)/30,1)+ROUNDDOWN((S13+R13+S14)/15,1)+ROUNDDOWN(U14/25,1)+ROUNDDOWN(T14/20,1)+ROUNDDOWN(Q15/6,1)+ROUNDDOWN(O15/5,1)+ROUNDDOWN(N15/3,1),0)</f>
        <v>0</v>
      </c>
      <c r="AK66" s="59"/>
      <c r="AL66" s="59"/>
      <c r="AM66" s="59"/>
      <c r="AN66" s="59"/>
      <c r="AO66" s="59"/>
      <c r="AP66" s="59"/>
      <c r="AQ66" s="59"/>
      <c r="AR66" s="156" t="s">
        <v>75</v>
      </c>
      <c r="AT66" s="214">
        <f>ROUND(ROUNDDOWN((L13+K13)/30,1)+ROUNDDOWN((J13+I13)/15,1),)+ROUND(ROUNDDOWN((U13+T13)/30,1)+ROUNDDOWN((S13+R13)/15,1),0)</f>
        <v>0</v>
      </c>
      <c r="AU66" s="214">
        <f t="shared" si="121"/>
        <v>0</v>
      </c>
      <c r="AV66" s="160"/>
      <c r="AW66" s="161"/>
      <c r="AX66" s="161"/>
      <c r="AY66" s="198"/>
    </row>
    <row r="67" spans="30:51">
      <c r="AD67" s="706"/>
      <c r="AE67" s="154"/>
      <c r="AF67" s="616"/>
      <c r="AG67" s="21" t="s">
        <v>76</v>
      </c>
      <c r="AH67" s="21"/>
      <c r="AI67" s="21"/>
      <c r="AJ67" s="54">
        <f>ROUND(ROUNDDOWN((L13+K13)/30,1)+ROUNDDOWN((J13+K14)/20,1)+ROUNDDOWN((I13+H15)/6,1)+ROUNDDOWN(L14/25,1)+ROUNDDOWN(J14/15,1)+ROUNDDOWN(F15/5,1)+ROUNDDOWN(E15/3,1),0)+ROUND(ROUNDDOWN((U13+T13)/30,1)+ROUNDDOWN((S13+T14)/20,1)+ROUNDDOWN((R13+Q15)/6,1)+ROUNDDOWN(U14/25,1)+ROUNDDOWN(S14/15,1)+ROUNDDOWN(O15/5,1)+ROUNDDOWN(N15/3,1),0)</f>
        <v>0</v>
      </c>
      <c r="AK67" s="54"/>
      <c r="AL67" s="54"/>
      <c r="AM67" s="78" t="s">
        <v>78</v>
      </c>
      <c r="AN67" s="78"/>
      <c r="AO67" s="54">
        <f>ROUND(ROUNDDOWN(($L13+$K13)/30,1)+ROUNDDOWN(($J13+$I13+$K14)/20,1)+ROUNDDOWN($L14/25,1)+ROUNDDOWN($J14/15,1)+ROUNDDOWN($H15/6,1)+ROUNDDOWN($F15/5,1)+ROUNDDOWN($E15/3,1),0)+ROUND(ROUNDDOWN(($U13+$T13)/30,1)+ROUNDDOWN(($S13+$R13+$T14)/20,1)+ROUNDDOWN($U14/25,1)+ROUNDDOWN($S14/15,1)+ROUNDDOWN($Q15/6,1)+ROUNDDOWN($O15/5,1)+ROUNDDOWN($N15/3,1),0)</f>
        <v>0</v>
      </c>
      <c r="AP67" s="59"/>
      <c r="AQ67" s="59"/>
      <c r="AR67" s="156" t="s">
        <v>76</v>
      </c>
      <c r="AT67" s="157">
        <f>ROUND(ROUNDDOWN((L13+K13)/30,1)+ROUNDDOWN((J13)/20,1)+ROUNDDOWN((I13)/6,1),0)+ROUND(ROUNDDOWN((U13+T13)/30,1)+ROUNDDOWN((S13)/20,1)+ROUNDDOWN((R13)/6,1),0)</f>
        <v>0</v>
      </c>
      <c r="AU67" s="157">
        <f t="shared" si="121"/>
        <v>0</v>
      </c>
      <c r="AV67" s="156" t="s">
        <v>78</v>
      </c>
      <c r="AW67" s="157">
        <f>ROUND(ROUNDDOWN(($L13+$K13)/30,1)+ROUNDDOWN(($J13+$I13)/20,1),0)+ROUND(ROUNDDOWN(($U13+$T13)/30,1)+ROUNDDOWN(($S13+$R13)/20,1),0)</f>
        <v>0</v>
      </c>
      <c r="AX67" s="157">
        <f>AO67-AW67</f>
        <v>0</v>
      </c>
      <c r="AY67" s="198"/>
    </row>
    <row r="68" spans="30:51">
      <c r="AD68" s="706"/>
      <c r="AE68" s="154"/>
      <c r="AF68" s="616" t="s">
        <v>83</v>
      </c>
      <c r="AG68" s="21" t="s">
        <v>77</v>
      </c>
      <c r="AH68" s="21"/>
      <c r="AI68" s="21"/>
      <c r="AJ68" s="54">
        <f>ROUND(ROUNDDOWN((L16+K16)/30,1)+ROUNDDOWN((J16+J17)/15,1)+ROUNDDOWN((I16+H18)/6,1)+ROUNDDOWN(L17/25,1)+ROUNDDOWN(K17/20,1)+ROUNDDOWN(F18/5,1)+ROUNDDOWN(E18/3,1),0)+ROUND(ROUNDDOWN((U16+T16)/30,1)+ROUNDDOWN((S16+S17)/15,1)+ROUNDDOWN((R16+Q18)/6,1)+ROUNDDOWN(U17/25,1)+ROUNDDOWN(T17/20,1)+ROUNDDOWN(O18/5,1)+ROUNDDOWN(N18/3,1),0)</f>
        <v>0</v>
      </c>
      <c r="AK68" s="59"/>
      <c r="AL68" s="59"/>
      <c r="AM68" s="59"/>
      <c r="AN68" s="59"/>
      <c r="AO68" s="59"/>
      <c r="AP68" s="59"/>
      <c r="AQ68" s="59"/>
      <c r="AR68" s="156" t="s">
        <v>77</v>
      </c>
      <c r="AT68" s="157">
        <f>ROUND(ROUNDDOWN((L16+K16)/30,1)+ROUNDDOWN((J16)/15,1)+ROUNDDOWN((I16)/6,1),0)+ROUND(ROUNDDOWN((U16+T16)/30,1)+ROUNDDOWN((S16)/15,1)+ROUNDDOWN((R16)/6,1),0)</f>
        <v>0</v>
      </c>
      <c r="AU68" s="157">
        <f t="shared" si="121"/>
        <v>0</v>
      </c>
      <c r="AV68" s="158"/>
      <c r="AW68"/>
      <c r="AX68" s="159"/>
      <c r="AY68" s="198"/>
    </row>
    <row r="69" spans="30:51">
      <c r="AD69" s="706"/>
      <c r="AE69" s="154"/>
      <c r="AF69" s="616"/>
      <c r="AG69" s="21" t="s">
        <v>75</v>
      </c>
      <c r="AH69" s="21"/>
      <c r="AI69" s="21"/>
      <c r="AJ69" s="54">
        <f>ROUND(ROUNDDOWN((L16+K16)/30,1)+ROUNDDOWN((J16+I16+J17)/15,1)+ROUNDDOWN(L17/25,1)+ROUNDDOWN(K17/20,1)+ROUNDDOWN(H18/6,1)+ROUNDDOWN(F18/5,1)+ROUNDDOWN(E18/3,1),0)+ROUND(ROUNDDOWN((U16+T16)/30,1)+ROUNDDOWN((S16+R16+S17)/15,1)+ROUNDDOWN(U17/25,1)+ROUNDDOWN(T17/20,1)+ROUNDDOWN(Q18/6,1)+ROUNDDOWN(O18/5,1)+ROUNDDOWN(N18/3,1),0)</f>
        <v>0</v>
      </c>
      <c r="AK69" s="59"/>
      <c r="AL69" s="59"/>
      <c r="AM69" s="59"/>
      <c r="AN69" s="59"/>
      <c r="AO69" s="59"/>
      <c r="AP69" s="59"/>
      <c r="AQ69" s="59"/>
      <c r="AR69" s="156" t="s">
        <v>75</v>
      </c>
      <c r="AT69" s="157">
        <f>ROUND(ROUNDDOWN((L16+K16)/30,1)+ROUNDDOWN((J16+I16)/15,1),)+ROUND(ROUNDDOWN((U16+T16)/30,1)+ROUNDDOWN((S16+R16)/15,1),0)</f>
        <v>0</v>
      </c>
      <c r="AU69" s="157">
        <f t="shared" si="121"/>
        <v>0</v>
      </c>
      <c r="AV69" s="160"/>
      <c r="AW69" s="161"/>
      <c r="AX69" s="161"/>
      <c r="AY69" s="198"/>
    </row>
    <row r="70" spans="30:51">
      <c r="AD70" s="706"/>
      <c r="AE70" s="154"/>
      <c r="AF70" s="616"/>
      <c r="AG70" s="21" t="s">
        <v>76</v>
      </c>
      <c r="AH70" s="21"/>
      <c r="AI70" s="21"/>
      <c r="AJ70" s="54">
        <f>ROUND(ROUNDDOWN((L16+K16)/30,1)+ROUNDDOWN((J16+K17)/20,1)+ROUNDDOWN((I16+H18)/6,1)+ROUNDDOWN(L17/25,1)+ROUNDDOWN(J17/15,1)+ROUNDDOWN(F18/5,1)+ROUNDDOWN(E18/3,1),0)+ROUND(ROUNDDOWN((U16+T16)/30,1)+ROUNDDOWN((S16+T17)/20,1)+ROUNDDOWN((R16+Q18)/6,1)+ROUNDDOWN(U17/25,1)+ROUNDDOWN(S17/15,1)+ROUNDDOWN(O18/5,1)+ROUNDDOWN(N18/3,1),0)</f>
        <v>0</v>
      </c>
      <c r="AK70" s="54"/>
      <c r="AL70" s="54"/>
      <c r="AM70" s="78" t="s">
        <v>78</v>
      </c>
      <c r="AN70" s="78"/>
      <c r="AO70" s="54">
        <f>ROUND(ROUNDDOWN(($L16+$K16)/30,1)+ROUNDDOWN(($J16+$I16+$K17)/20,1)+ROUNDDOWN($L17/25,1)+ROUNDDOWN($J17/15,1)+ROUNDDOWN($H18/6,1)+ROUNDDOWN($F18/5,1)+ROUNDDOWN($E18/3,1),0)+ROUND(ROUNDDOWN(($U16+$T16)/30,1)+ROUNDDOWN(($S16+$R16+$T17)/20,1)+ROUNDDOWN($U17/25,1)+ROUNDDOWN($S17/15,1)+ROUNDDOWN($Q18/6,1)+ROUNDDOWN($O18/5,1)+ROUNDDOWN($N18/3,1),0)</f>
        <v>0</v>
      </c>
      <c r="AP70" s="59"/>
      <c r="AQ70" s="59"/>
      <c r="AR70" s="156" t="s">
        <v>76</v>
      </c>
      <c r="AT70" s="157">
        <f>ROUND(ROUNDDOWN((L16+K16)/30,1)+ROUNDDOWN((J16)/20,1)+ROUNDDOWN((I16)/6,1),0)+ROUND(ROUNDDOWN((U16+T16)/30,1)+ROUNDDOWN((S16)/20,1)+ROUNDDOWN((R16)/6,1),0)</f>
        <v>0</v>
      </c>
      <c r="AU70" s="157">
        <f t="shared" si="121"/>
        <v>0</v>
      </c>
      <c r="AV70" s="156" t="s">
        <v>78</v>
      </c>
      <c r="AW70" s="157">
        <f>ROUND(ROUNDDOWN(($L16+$K16)/30,1)+ROUNDDOWN(($J16+$I16)/20,1),0)+ROUND(ROUNDDOWN(($U16+$T16)/30,1)+ROUNDDOWN(($S16+$R16)/20,1),0)</f>
        <v>0</v>
      </c>
      <c r="AX70" s="157">
        <f>AO70-AW70</f>
        <v>0</v>
      </c>
      <c r="AY70" s="198"/>
    </row>
    <row r="71" spans="30:51">
      <c r="AD71" s="706"/>
      <c r="AE71" s="154"/>
      <c r="AF71" s="616" t="s">
        <v>84</v>
      </c>
      <c r="AG71" s="21" t="s">
        <v>77</v>
      </c>
      <c r="AH71" s="21"/>
      <c r="AI71" s="21"/>
      <c r="AJ71" s="54">
        <f>ROUND(ROUNDDOWN((L19+K19)/30,1)+ROUNDDOWN((J19+J20)/15,1)+ROUNDDOWN((I19+H21)/6,1)+ROUNDDOWN(L20/25,1)+ROUNDDOWN(K20/20,1)+ROUNDDOWN(F21/5,1)+ROUNDDOWN(E21/3,1),0)+ROUND(ROUNDDOWN((U19+T19)/30,1)+ROUNDDOWN((S19+S20)/15,1)+ROUNDDOWN((R19+Q21)/6,1)+ROUNDDOWN(U20/25,1)+ROUNDDOWN(T20/20,1)+ROUNDDOWN(O21/5,1)+ROUNDDOWN(N21/3,1),0)</f>
        <v>0</v>
      </c>
      <c r="AK71" s="59"/>
      <c r="AL71" s="59"/>
      <c r="AM71" s="59"/>
      <c r="AN71" s="59"/>
      <c r="AO71" s="59"/>
      <c r="AP71" s="59"/>
      <c r="AQ71" s="59"/>
      <c r="AR71" s="156" t="s">
        <v>77</v>
      </c>
      <c r="AT71" s="157">
        <f>ROUND(ROUNDDOWN((L19+K19)/30,1)+ROUNDDOWN((J19)/15,1)+ROUNDDOWN((I19)/6,1),0)+ROUND(ROUNDDOWN((U19+T19)/30,1)+ROUNDDOWN((S19)/15,1)+ROUNDDOWN((R19)/6,1),0)</f>
        <v>0</v>
      </c>
      <c r="AU71" s="157">
        <f t="shared" si="121"/>
        <v>0</v>
      </c>
      <c r="AV71" s="158"/>
      <c r="AW71"/>
      <c r="AX71" s="159"/>
      <c r="AY71" s="198"/>
    </row>
    <row r="72" spans="30:51">
      <c r="AD72" s="706"/>
      <c r="AE72" s="154"/>
      <c r="AF72" s="616"/>
      <c r="AG72" s="21" t="s">
        <v>75</v>
      </c>
      <c r="AH72" s="21"/>
      <c r="AI72" s="21"/>
      <c r="AJ72" s="54">
        <f>ROUND(ROUNDDOWN((L19+K19)/30,1)+ROUNDDOWN((J19+I19+J20)/15,1)+ROUNDDOWN(L20/25,1)+ROUNDDOWN(K20/20,1)+ROUNDDOWN(H21/6,1)+ROUNDDOWN(F21/5,1)+ROUNDDOWN(E21/3,1),0)+ROUND(ROUNDDOWN((U19+T19)/30,1)+ROUNDDOWN((S19+R19+S20)/15,1)+ROUNDDOWN(U20/25,1)+ROUNDDOWN(T20/20,1)+ROUNDDOWN(Q21/6,1)+ROUNDDOWN(O21/5,1)+ROUNDDOWN(N21/3,1),0)</f>
        <v>0</v>
      </c>
      <c r="AK72" s="59"/>
      <c r="AL72" s="59"/>
      <c r="AM72" s="59"/>
      <c r="AN72" s="59"/>
      <c r="AO72" s="59"/>
      <c r="AP72" s="59"/>
      <c r="AQ72" s="59"/>
      <c r="AR72" s="156" t="s">
        <v>75</v>
      </c>
      <c r="AT72" s="157">
        <f>ROUND(ROUNDDOWN((L19+K19)/30,1)+ROUNDDOWN((J19+I19)/15,1),)+ROUND(ROUNDDOWN((U19+T19)/30,1)+ROUNDDOWN((S19+R19)/15,1),0)</f>
        <v>0</v>
      </c>
      <c r="AU72" s="157">
        <f t="shared" si="121"/>
        <v>0</v>
      </c>
      <c r="AV72" s="160"/>
      <c r="AW72" s="161"/>
      <c r="AX72" s="161"/>
      <c r="AY72" s="198"/>
    </row>
    <row r="73" spans="30:51">
      <c r="AD73" s="706"/>
      <c r="AE73" s="154"/>
      <c r="AF73" s="616"/>
      <c r="AG73" s="21" t="s">
        <v>76</v>
      </c>
      <c r="AH73" s="21"/>
      <c r="AI73" s="21"/>
      <c r="AJ73" s="54">
        <f>ROUND(ROUNDDOWN((L19+K19)/30,1)+ROUNDDOWN((J19+K20)/20,1)+ROUNDDOWN((I19+H21)/6,1)+ROUNDDOWN(L20/25,1)+ROUNDDOWN(J20/15,1)+ROUNDDOWN(F21/5,1)+ROUNDDOWN(E21/3,1),0)+ROUND(ROUNDDOWN((U19+T19)/30,1)+ROUNDDOWN((S19+T20)/20,1)+ROUNDDOWN((R19+Q21)/6,1)+ROUNDDOWN(U20/25,1)+ROUNDDOWN(S20/15,1)+ROUNDDOWN(O21/5,1)+ROUNDDOWN(N21/3,1),0)</f>
        <v>0</v>
      </c>
      <c r="AK73" s="54"/>
      <c r="AL73" s="54"/>
      <c r="AM73" s="78" t="s">
        <v>78</v>
      </c>
      <c r="AN73" s="78"/>
      <c r="AO73" s="54">
        <f>ROUND(ROUNDDOWN(($L19+$K19)/30,1)+ROUNDDOWN(($J19+$I19+$K20)/20,1)+ROUNDDOWN($L20/25,1)+ROUNDDOWN($J20/15,1)+ROUNDDOWN($H21/6,1)+ROUNDDOWN($F21/5,1)+ROUNDDOWN($E21/3,1),0)+ROUND(ROUNDDOWN(($U19+$T19)/30,1)+ROUNDDOWN(($S19+$R19+$T20)/20,1)+ROUNDDOWN($U20/25,1)+ROUNDDOWN($S20/15,1)+ROUNDDOWN($Q21/6,1)+ROUNDDOWN($O21/5,1)+ROUNDDOWN($N21/3,1),0)</f>
        <v>0</v>
      </c>
      <c r="AP73" s="59"/>
      <c r="AQ73" s="59"/>
      <c r="AR73" s="156" t="s">
        <v>76</v>
      </c>
      <c r="AT73" s="157">
        <f>ROUND(ROUNDDOWN((L19+K19)/30,1)+ROUNDDOWN((J19)/20,1)+ROUNDDOWN((I19)/6,1),0)+ROUND(ROUNDDOWN((U19+T19)/30,1)+ROUNDDOWN((S19)/20,1)+ROUNDDOWN((R19)/6,1),0)</f>
        <v>0</v>
      </c>
      <c r="AU73" s="157">
        <f t="shared" si="121"/>
        <v>0</v>
      </c>
      <c r="AV73" s="156" t="s">
        <v>78</v>
      </c>
      <c r="AW73" s="157">
        <f>ROUND(ROUNDDOWN(($L19+$K19)/30,1)+ROUNDDOWN(($J19+$I19)/20,1),0)+ROUND(ROUNDDOWN(($U19+$T19)/30,1)+ROUNDDOWN(($S19+$R19)/20,1),0)</f>
        <v>0</v>
      </c>
      <c r="AX73" s="157">
        <f>AO73-AW73</f>
        <v>0</v>
      </c>
      <c r="AY73" s="198"/>
    </row>
    <row r="74" spans="30:51">
      <c r="AD74" s="706"/>
      <c r="AE74" s="154"/>
      <c r="AF74" s="616" t="s">
        <v>85</v>
      </c>
      <c r="AG74" s="21" t="s">
        <v>77</v>
      </c>
      <c r="AH74" s="21"/>
      <c r="AI74" s="21"/>
      <c r="AJ74" s="54">
        <f>ROUND(ROUNDDOWN((L22+K22)/30,1)+ROUNDDOWN((J22+J23)/15,1)+ROUNDDOWN((I22+H24)/6,1)+ROUNDDOWN(L23/25,1)+ROUNDDOWN(K23/20,1)+ROUNDDOWN(F24/5,1)+ROUNDDOWN(E24/3,1),0)+ROUND(ROUNDDOWN((U22+T22)/30,1)+ROUNDDOWN((S22+S23)/15,1)+ROUNDDOWN((R22+Q24)/6,1)+ROUNDDOWN(U23/25,1)+ROUNDDOWN(T23/20,1)+ROUNDDOWN(O24/5,1)+ROUNDDOWN(N24/3,1),0)</f>
        <v>0</v>
      </c>
      <c r="AK74" s="59"/>
      <c r="AL74" s="59"/>
      <c r="AM74" s="59"/>
      <c r="AN74" s="59"/>
      <c r="AO74" s="59"/>
      <c r="AP74" s="59"/>
      <c r="AQ74" s="59"/>
      <c r="AR74" s="156" t="s">
        <v>77</v>
      </c>
      <c r="AT74" s="157">
        <f>ROUND(ROUNDDOWN((L22+K22)/30,1)+ROUNDDOWN((J22)/15,1)+ROUNDDOWN((I22)/6,1),0)+ROUND(ROUNDDOWN((U22+T22)/30,1)+ROUNDDOWN((S22)/15,1)+ROUNDDOWN((R22)/6,1),0)</f>
        <v>0</v>
      </c>
      <c r="AU74" s="157">
        <f t="shared" si="121"/>
        <v>0</v>
      </c>
      <c r="AV74" s="158"/>
      <c r="AW74"/>
      <c r="AX74" s="159"/>
      <c r="AY74" s="198"/>
    </row>
    <row r="75" spans="30:51">
      <c r="AD75" s="706"/>
      <c r="AE75" s="154"/>
      <c r="AF75" s="616"/>
      <c r="AG75" s="21" t="s">
        <v>75</v>
      </c>
      <c r="AH75" s="21"/>
      <c r="AI75" s="21"/>
      <c r="AJ75" s="54">
        <f>ROUND(ROUNDDOWN((L22+K22)/30,1)+ROUNDDOWN((J22+I22+J23)/15,1)+ROUNDDOWN(L23/25,1)+ROUNDDOWN(K23/20,1)+ROUNDDOWN(H24/6,1)+ROUNDDOWN(F24/5,1)+ROUNDDOWN(E24/3,1),0)+ROUND(ROUNDDOWN((U22+T22)/30,1)+ROUNDDOWN((S22+R22+S23)/15,1)+ROUNDDOWN(U23/25,1)+ROUNDDOWN(T23/20,1)+ROUNDDOWN(Q24/6,1)+ROUNDDOWN(O24/5,1)+ROUNDDOWN(N24/3,1),0)</f>
        <v>0</v>
      </c>
      <c r="AK75" s="59"/>
      <c r="AL75" s="59"/>
      <c r="AM75" s="59"/>
      <c r="AN75" s="59"/>
      <c r="AO75" s="59"/>
      <c r="AP75" s="59"/>
      <c r="AQ75" s="59"/>
      <c r="AR75" s="156" t="s">
        <v>75</v>
      </c>
      <c r="AT75" s="157">
        <f>ROUND(ROUNDDOWN((L22+K22)/30,1)+ROUNDDOWN((J22+I22)/15,1),)+ROUND(ROUNDDOWN((U22+T22)/30,1)+ROUNDDOWN((S22+R22)/15,1),0)</f>
        <v>0</v>
      </c>
      <c r="AU75" s="157">
        <f t="shared" si="121"/>
        <v>0</v>
      </c>
      <c r="AV75" s="160"/>
      <c r="AW75" s="161"/>
      <c r="AX75" s="161"/>
      <c r="AY75" s="198"/>
    </row>
    <row r="76" spans="30:51">
      <c r="AD76" s="706"/>
      <c r="AE76" s="154"/>
      <c r="AF76" s="616"/>
      <c r="AG76" s="21" t="s">
        <v>76</v>
      </c>
      <c r="AH76" s="21"/>
      <c r="AI76" s="21"/>
      <c r="AJ76" s="54">
        <f>ROUND(ROUNDDOWN((L22+K22)/30,1)+ROUNDDOWN((J22+K23)/20,1)+ROUNDDOWN((I22+H24)/6,1)+ROUNDDOWN(L23/25,1)+ROUNDDOWN(J23/15,1)+ROUNDDOWN(F24/5,1)+ROUNDDOWN(E24/3,1),0)+ROUND(ROUNDDOWN((U22+T22)/30,1)+ROUNDDOWN((S22+T23)/20,1)+ROUNDDOWN((R22+Q24)/6,1)+ROUNDDOWN(U23/25,1)+ROUNDDOWN(S23/15,1)+ROUNDDOWN(O24/5,1)+ROUNDDOWN(N24/3,1),0)</f>
        <v>0</v>
      </c>
      <c r="AK76" s="54"/>
      <c r="AL76" s="54"/>
      <c r="AM76" s="78" t="s">
        <v>78</v>
      </c>
      <c r="AN76" s="78"/>
      <c r="AO76" s="54">
        <f>ROUND(ROUNDDOWN(($L22+$K22)/30,1)+ROUNDDOWN(($J22+$I22+$K23)/20,1)+ROUNDDOWN($L23/25,1)+ROUNDDOWN($J23/15,1)+ROUNDDOWN($H24/6,1)+ROUNDDOWN($F24/5,1)+ROUNDDOWN($E24/3,1),0)+ROUND(ROUNDDOWN(($U22+$T22)/30,1)+ROUNDDOWN(($S22+$R22+$T23)/20,1)+ROUNDDOWN($U23/25,1)+ROUNDDOWN($S23/15,1)+ROUNDDOWN($Q24/6,1)+ROUNDDOWN($O24/5,1)+ROUNDDOWN($N24/3,1),0)</f>
        <v>0</v>
      </c>
      <c r="AP76" s="59"/>
      <c r="AQ76" s="59"/>
      <c r="AR76" s="156" t="s">
        <v>76</v>
      </c>
      <c r="AT76" s="157">
        <f>ROUND(ROUNDDOWN((L22+K22)/30,1)+ROUNDDOWN((J22)/20,1)+ROUNDDOWN((I22)/6,1),0)+ROUND(ROUNDDOWN((U22+T22)/30,1)+ROUNDDOWN((S22)/20,1)+ROUNDDOWN((R22)/6,1),0)</f>
        <v>0</v>
      </c>
      <c r="AU76" s="157">
        <f t="shared" si="121"/>
        <v>0</v>
      </c>
      <c r="AV76" s="156" t="s">
        <v>78</v>
      </c>
      <c r="AW76" s="157">
        <f>ROUND(ROUNDDOWN(($L22+$K22)/30,1)+ROUNDDOWN(($J22+$I22)/20,1),0)+ROUND(ROUNDDOWN(($U22+$T22)/30,1)+ROUNDDOWN(($S22+$R22)/20,1),0)</f>
        <v>0</v>
      </c>
      <c r="AX76" s="157">
        <f>AO76-AW76</f>
        <v>0</v>
      </c>
      <c r="AY76" s="198"/>
    </row>
    <row r="77" spans="30:51">
      <c r="AD77" s="706"/>
      <c r="AE77" s="154"/>
      <c r="AF77" s="616" t="s">
        <v>86</v>
      </c>
      <c r="AG77" s="21" t="s">
        <v>77</v>
      </c>
      <c r="AH77" s="21"/>
      <c r="AI77" s="21"/>
      <c r="AJ77" s="54">
        <f>ROUND(ROUNDDOWN((L25+K25)/30,1)+ROUNDDOWN((J25+J26)/15,1)+ROUNDDOWN((I25+H27)/6,1)+ROUNDDOWN(L26/25,1)+ROUNDDOWN(K26/20,1)+ROUNDDOWN(F27/5,1)+ROUNDDOWN(E27/3,1),0)+ROUND(ROUNDDOWN((U25+T25)/30,1)+ROUNDDOWN((S25+S26)/15,1)+ROUNDDOWN((R25+Q27)/6,1)+ROUNDDOWN(U26/25,1)+ROUNDDOWN(T26/20,1)+ROUNDDOWN(O27/5,1)+ROUNDDOWN(N27/3,1),0)</f>
        <v>0</v>
      </c>
      <c r="AK77" s="59"/>
      <c r="AL77" s="59"/>
      <c r="AM77" s="59"/>
      <c r="AN77" s="59"/>
      <c r="AO77" s="59"/>
      <c r="AP77" s="59"/>
      <c r="AQ77" s="59"/>
      <c r="AR77" s="156" t="s">
        <v>77</v>
      </c>
      <c r="AT77" s="157">
        <f>ROUND(ROUNDDOWN((L25+K25)/30,1)+ROUNDDOWN((J25)/15,1)+ROUNDDOWN((I25)/6,1),0)+ROUND(ROUNDDOWN((U25+T25)/30,1)+ROUNDDOWN((S25)/15,1)+ROUNDDOWN((R25)/6,1),0)</f>
        <v>0</v>
      </c>
      <c r="AU77" s="157">
        <f t="shared" si="121"/>
        <v>0</v>
      </c>
      <c r="AV77" s="158"/>
      <c r="AW77"/>
      <c r="AX77" s="159"/>
      <c r="AY77" s="198"/>
    </row>
    <row r="78" spans="30:51">
      <c r="AD78" s="706"/>
      <c r="AE78" s="154"/>
      <c r="AF78" s="616"/>
      <c r="AG78" s="21" t="s">
        <v>75</v>
      </c>
      <c r="AH78" s="21"/>
      <c r="AI78" s="21"/>
      <c r="AJ78" s="54">
        <f>ROUND(ROUNDDOWN((L25+K25)/30,1)+ROUNDDOWN((J25+I25+J26)/15,1)+ROUNDDOWN(L26/25,1)+ROUNDDOWN(K26/20,1)+ROUNDDOWN(H27/6,1)+ROUNDDOWN(F27/5,1)+ROUNDDOWN(E27/3,1),0)+ROUND(ROUNDDOWN((U25+T25)/30,1)+ROUNDDOWN((S25+R25+S26)/15,1)+ROUNDDOWN(U26/25,1)+ROUNDDOWN(T26/20,1)+ROUNDDOWN(Q27/6,1)+ROUNDDOWN(O27/5,1)+ROUNDDOWN(N27/3,1),0)</f>
        <v>0</v>
      </c>
      <c r="AK78" s="59"/>
      <c r="AL78" s="59"/>
      <c r="AM78" s="59"/>
      <c r="AN78" s="59"/>
      <c r="AO78" s="59"/>
      <c r="AP78" s="59"/>
      <c r="AQ78" s="59"/>
      <c r="AR78" s="156" t="s">
        <v>75</v>
      </c>
      <c r="AT78" s="157">
        <f>ROUND(ROUNDDOWN((L25+K25)/30,1)+ROUNDDOWN((J25+I25)/15,1),)+ROUND(ROUNDDOWN((U25+T25)/30,1)+ROUNDDOWN((S25+R25)/15,1),0)</f>
        <v>0</v>
      </c>
      <c r="AU78" s="157">
        <f t="shared" si="121"/>
        <v>0</v>
      </c>
      <c r="AV78" s="160"/>
      <c r="AW78" s="161"/>
      <c r="AX78" s="161"/>
      <c r="AY78" s="198"/>
    </row>
    <row r="79" spans="30:51">
      <c r="AD79" s="706"/>
      <c r="AE79" s="154"/>
      <c r="AF79" s="616"/>
      <c r="AG79" s="21" t="s">
        <v>76</v>
      </c>
      <c r="AH79" s="21"/>
      <c r="AI79" s="21"/>
      <c r="AJ79" s="54">
        <f>ROUND(ROUNDDOWN((L25+K25)/30,1)+ROUNDDOWN((J25+K26)/20,1)+ROUNDDOWN((I25+H27)/6,1)+ROUNDDOWN(L26/25,1)+ROUNDDOWN(J26/15,1)+ROUNDDOWN(F27/5,1)+ROUNDDOWN(E27/3,1),0)+ROUND(ROUNDDOWN((U25+T25)/30,1)+ROUNDDOWN((S25+T26)/20,1)+ROUNDDOWN((R25+Q27)/6,1)+ROUNDDOWN(U26/25,1)+ROUNDDOWN(S26/15,1)+ROUNDDOWN(O27/5,1)+ROUNDDOWN(N27/3,1),0)</f>
        <v>0</v>
      </c>
      <c r="AK79" s="54"/>
      <c r="AL79" s="54"/>
      <c r="AM79" s="78" t="s">
        <v>78</v>
      </c>
      <c r="AN79" s="78"/>
      <c r="AO79" s="54">
        <f>ROUND(ROUNDDOWN(($L25+$K25)/30,1)+ROUNDDOWN(($J25+$I25+$K26)/20,1)+ROUNDDOWN($L26/25,1)+ROUNDDOWN($J26/15,1)+ROUNDDOWN($H27/6,1)+ROUNDDOWN($F27/5,1)+ROUNDDOWN($E27/3,1),0)+ROUND(ROUNDDOWN(($U25+$T25)/30,1)+ROUNDDOWN(($S25+$R25+$T26)/20,1)+ROUNDDOWN($U26/25,1)+ROUNDDOWN($S26/15,1)+ROUNDDOWN($Q27/6,1)+ROUNDDOWN($O27/5,1)+ROUNDDOWN($N27/3,1),0)</f>
        <v>0</v>
      </c>
      <c r="AP79" s="59"/>
      <c r="AQ79" s="59"/>
      <c r="AR79" s="156" t="s">
        <v>76</v>
      </c>
      <c r="AT79" s="157">
        <f>ROUND(ROUNDDOWN((L25+K25)/30,1)+ROUNDDOWN((J25)/20,1)+ROUNDDOWN((I25)/6,1),0)+ROUND(ROUNDDOWN((U25+T25)/30,1)+ROUNDDOWN((S25)/20,1)+ROUNDDOWN((R25)/6,1),0)</f>
        <v>0</v>
      </c>
      <c r="AU79" s="157">
        <f t="shared" si="121"/>
        <v>0</v>
      </c>
      <c r="AV79" s="156" t="s">
        <v>78</v>
      </c>
      <c r="AW79" s="157">
        <f>ROUND(ROUNDDOWN(($L25+$K25)/30,1)+ROUNDDOWN(($J25+$I25)/20,1),0)+ROUND(ROUNDDOWN(($U25+$T25)/30,1)+ROUNDDOWN(($S25+$R25)/20,1),0)</f>
        <v>0</v>
      </c>
      <c r="AX79" s="157">
        <f>AO79-AW79</f>
        <v>0</v>
      </c>
      <c r="AY79" s="198"/>
    </row>
    <row r="80" spans="30:51">
      <c r="AD80" s="706"/>
      <c r="AE80" s="154"/>
      <c r="AF80" s="616" t="s">
        <v>87</v>
      </c>
      <c r="AG80" s="21" t="s">
        <v>77</v>
      </c>
      <c r="AH80" s="21"/>
      <c r="AI80" s="21"/>
      <c r="AJ80" s="54">
        <f>ROUND(ROUNDDOWN((L28+K28)/30,1)+ROUNDDOWN((J28+J29)/15,1)+ROUNDDOWN((I28+H30)/6,1)+ROUNDDOWN(L29/25,1)+ROUNDDOWN(K29/20,1)+ROUNDDOWN(F30/5,1)+ROUNDDOWN(E30/3,1),0)+ROUND(ROUNDDOWN((U28+T28)/30,1)+ROUNDDOWN((S28+S29)/15,1)+ROUNDDOWN((R28+Q30)/6,1)+ROUNDDOWN(U29/25,1)+ROUNDDOWN(T29/20,1)+ROUNDDOWN(O30/5,1)+ROUNDDOWN(N30/3,1),0)</f>
        <v>0</v>
      </c>
      <c r="AK80" s="59"/>
      <c r="AL80" s="59"/>
      <c r="AM80" s="59"/>
      <c r="AN80" s="59"/>
      <c r="AO80" s="59"/>
      <c r="AP80" s="59"/>
      <c r="AQ80" s="59"/>
      <c r="AR80" s="156" t="s">
        <v>77</v>
      </c>
      <c r="AT80" s="157">
        <f>ROUND(ROUNDDOWN((L28+K28)/30,1)+ROUNDDOWN((J28)/15,1)+ROUNDDOWN((I28)/6,1),0)+ROUND(ROUNDDOWN((U28+T28)/30,1)+ROUNDDOWN((S28)/15,1)+ROUNDDOWN((R28)/6,1),0)</f>
        <v>0</v>
      </c>
      <c r="AU80" s="157">
        <f t="shared" si="121"/>
        <v>0</v>
      </c>
      <c r="AV80" s="158"/>
      <c r="AW80"/>
      <c r="AX80" s="159"/>
      <c r="AY80" s="198"/>
    </row>
    <row r="81" spans="30:51">
      <c r="AD81" s="706"/>
      <c r="AE81" s="154"/>
      <c r="AF81" s="616"/>
      <c r="AG81" s="21" t="s">
        <v>75</v>
      </c>
      <c r="AH81" s="21"/>
      <c r="AI81" s="21"/>
      <c r="AJ81" s="54">
        <f>ROUND(ROUNDDOWN((L28+K28)/30,1)+ROUNDDOWN((J28+I28+J29)/15,1)+ROUNDDOWN(L29/25,1)+ROUNDDOWN(K29/20,1)+ROUNDDOWN(H30/6,1)+ROUNDDOWN(F30/5,1)+ROUNDDOWN(E30/3,1),0)+ROUND(ROUNDDOWN((U28+T28)/30,1)+ROUNDDOWN((S28+R28+S29)/15,1)+ROUNDDOWN(U29/25,1)+ROUNDDOWN(T29/20,1)+ROUNDDOWN(Q30/6,1)+ROUNDDOWN(O30/5,1)+ROUNDDOWN(N30/3,1),0)</f>
        <v>0</v>
      </c>
      <c r="AK81" s="59"/>
      <c r="AL81" s="59"/>
      <c r="AM81" s="59"/>
      <c r="AN81" s="59"/>
      <c r="AO81" s="59"/>
      <c r="AP81" s="59"/>
      <c r="AQ81" s="59"/>
      <c r="AR81" s="156" t="s">
        <v>75</v>
      </c>
      <c r="AT81" s="157">
        <f>ROUND(ROUNDDOWN((L28+K28)/30,1)+ROUNDDOWN((J28+I28)/15,1),)+ROUND(ROUNDDOWN((U28+T28)/30,1)+ROUNDDOWN((S28+R28)/15,1),0)</f>
        <v>0</v>
      </c>
      <c r="AU81" s="157">
        <f t="shared" si="121"/>
        <v>0</v>
      </c>
      <c r="AV81" s="160"/>
      <c r="AW81" s="161"/>
      <c r="AX81" s="161"/>
      <c r="AY81" s="198"/>
    </row>
    <row r="82" spans="30:51">
      <c r="AD82" s="706"/>
      <c r="AE82" s="154"/>
      <c r="AF82" s="616"/>
      <c r="AG82" s="21" t="s">
        <v>76</v>
      </c>
      <c r="AH82" s="21"/>
      <c r="AI82" s="21"/>
      <c r="AJ82" s="54">
        <f>ROUND(ROUNDDOWN((L28+K28)/30,1)+ROUNDDOWN((J28+K29)/20,1)+ROUNDDOWN((I28+H30)/6,1)+ROUNDDOWN(L29/25,1)+ROUNDDOWN(J29/15,1)+ROUNDDOWN(F30/5,1)+ROUNDDOWN(E30/3,1),0)+ROUND(ROUNDDOWN((U28+T28)/30,1)+ROUNDDOWN((S28+T29)/20,1)+ROUNDDOWN((R28+Q30)/6,1)+ROUNDDOWN(U29/25,1)+ROUNDDOWN(S29/15,1)+ROUNDDOWN(O30/5,1)+ROUNDDOWN(N30/3,1),0)</f>
        <v>0</v>
      </c>
      <c r="AK82" s="54"/>
      <c r="AL82" s="54"/>
      <c r="AM82" s="78" t="s">
        <v>78</v>
      </c>
      <c r="AN82" s="78"/>
      <c r="AO82" s="54">
        <f>ROUND(ROUNDDOWN(($L28+$K28)/30,1)+ROUNDDOWN(($J28+$I28+$K29)/20,1)+ROUNDDOWN($L29/25,1)+ROUNDDOWN($J29/15,1)+ROUNDDOWN($H30/6,1)+ROUNDDOWN($F30/5,1)+ROUNDDOWN($E30/3,1),0)+ROUND(ROUNDDOWN(($U28+$T28)/30,1)+ROUNDDOWN(($S28+$R28+$T29)/20,1)+ROUNDDOWN($U29/25,1)+ROUNDDOWN($S29/15,1)+ROUNDDOWN($Q30/6,1)+ROUNDDOWN($O30/5,1)+ROUNDDOWN($N30/3,1),0)</f>
        <v>0</v>
      </c>
      <c r="AP82" s="59"/>
      <c r="AQ82" s="59"/>
      <c r="AR82" s="156" t="s">
        <v>76</v>
      </c>
      <c r="AT82" s="157">
        <f>ROUND(ROUNDDOWN((L28+K28)/30,1)+ROUNDDOWN((J28)/20,1)+ROUNDDOWN((I28)/6,1),0)+ROUND(ROUNDDOWN((U28+T28)/30,1)+ROUNDDOWN((S28)/20,1)+ROUNDDOWN((R28)/6,1),0)</f>
        <v>0</v>
      </c>
      <c r="AU82" s="157">
        <f t="shared" si="121"/>
        <v>0</v>
      </c>
      <c r="AV82" s="156" t="s">
        <v>78</v>
      </c>
      <c r="AW82" s="157">
        <f>ROUND(ROUNDDOWN(($L28+$K28)/30,1)+ROUNDDOWN(($J28+$I28)/20,1),0)+ROUND(ROUNDDOWN(($U28+$T28)/30,1)+ROUNDDOWN(($S28+$R28)/20,1),0)</f>
        <v>0</v>
      </c>
      <c r="AX82" s="157">
        <f>AO82-AW82</f>
        <v>0</v>
      </c>
      <c r="AY82" s="198"/>
    </row>
    <row r="83" spans="30:51">
      <c r="AD83" s="706"/>
      <c r="AE83" s="154"/>
      <c r="AF83" s="616" t="s">
        <v>88</v>
      </c>
      <c r="AG83" s="21" t="s">
        <v>77</v>
      </c>
      <c r="AH83" s="21"/>
      <c r="AI83" s="21"/>
      <c r="AJ83" s="54">
        <f>ROUND(ROUNDDOWN((L31+K31)/30,1)+ROUNDDOWN((J31+J32)/15,1)+ROUNDDOWN((I31+H33)/6,1)+ROUNDDOWN(L32/25,1)+ROUNDDOWN(K32/20,1)+ROUNDDOWN(F33/5,1)+ROUNDDOWN(E33/3,1),0)+ROUND(ROUNDDOWN((U31+T31)/30,1)+ROUNDDOWN((S31+S32)/15,1)+ROUNDDOWN((R31+Q33)/6,1)+ROUNDDOWN(U32/25,1)+ROUNDDOWN(T32/20,1)+ROUNDDOWN(O33/5,1)+ROUNDDOWN(N33/3,1),0)</f>
        <v>0</v>
      </c>
      <c r="AK83" s="59"/>
      <c r="AL83" s="59"/>
      <c r="AM83" s="59"/>
      <c r="AN83" s="59"/>
      <c r="AO83" s="59"/>
      <c r="AP83" s="59"/>
      <c r="AQ83" s="59"/>
      <c r="AR83" s="156" t="s">
        <v>77</v>
      </c>
      <c r="AT83" s="157">
        <f>ROUND(ROUNDDOWN((L31+K31)/30,1)+ROUNDDOWN((J31)/15,1)+ROUNDDOWN((I31)/6,1),0)+ROUND(ROUNDDOWN((U31+T31)/30,1)+ROUNDDOWN((S31)/15,1)+ROUNDDOWN((R31)/6,1),0)</f>
        <v>0</v>
      </c>
      <c r="AU83" s="157">
        <f t="shared" si="121"/>
        <v>0</v>
      </c>
      <c r="AV83" s="158"/>
      <c r="AW83"/>
      <c r="AX83" s="159"/>
      <c r="AY83" s="198"/>
    </row>
    <row r="84" spans="30:51">
      <c r="AD84" s="706"/>
      <c r="AE84" s="154"/>
      <c r="AF84" s="616"/>
      <c r="AG84" s="21" t="s">
        <v>75</v>
      </c>
      <c r="AH84" s="21"/>
      <c r="AI84" s="21"/>
      <c r="AJ84" s="54">
        <f>ROUND(ROUNDDOWN((L31+K31)/30,1)+ROUNDDOWN((J31+I31+J32)/15,1)+ROUNDDOWN(L32/25,1)+ROUNDDOWN(K32/20,1)+ROUNDDOWN(H33/6,1)+ROUNDDOWN(F33/5,1)+ROUNDDOWN(E33/3,1),0)+ROUND(ROUNDDOWN((U31+T31)/30,1)+ROUNDDOWN((S31+R31+S32)/15,1)+ROUNDDOWN(U32/25,1)+ROUNDDOWN(T32/20,1)+ROUNDDOWN(Q33/6,1)+ROUNDDOWN(O33/5,1)+ROUNDDOWN(N33/3,1),0)</f>
        <v>0</v>
      </c>
      <c r="AK84" s="59"/>
      <c r="AL84" s="59"/>
      <c r="AM84" s="59"/>
      <c r="AN84" s="59"/>
      <c r="AO84" s="59"/>
      <c r="AP84" s="59"/>
      <c r="AQ84" s="59"/>
      <c r="AR84" s="156" t="s">
        <v>75</v>
      </c>
      <c r="AT84" s="157">
        <f>ROUND(ROUNDDOWN((L31+K31)/30,1)+ROUNDDOWN((J31+I31)/15,1),)+ROUND(ROUNDDOWN((U31+T31)/30,1)+ROUNDDOWN((S31+R31)/15,1),0)</f>
        <v>0</v>
      </c>
      <c r="AU84" s="157">
        <f t="shared" si="121"/>
        <v>0</v>
      </c>
      <c r="AV84" s="160"/>
      <c r="AW84" s="161"/>
      <c r="AX84" s="161"/>
      <c r="AY84" s="198"/>
    </row>
    <row r="85" spans="30:51">
      <c r="AD85" s="706"/>
      <c r="AE85" s="154"/>
      <c r="AF85" s="616"/>
      <c r="AG85" s="21" t="s">
        <v>76</v>
      </c>
      <c r="AH85" s="21"/>
      <c r="AI85" s="21"/>
      <c r="AJ85" s="54">
        <f>ROUND(ROUNDDOWN((L31+K31)/30,1)+ROUNDDOWN((J31+K32)/20,1)+ROUNDDOWN((I31+H33)/6,1)+ROUNDDOWN(L32/25,1)+ROUNDDOWN(J32/15,1)+ROUNDDOWN(F33/5,1)+ROUNDDOWN(E33/3,1),0)+ROUND(ROUNDDOWN((U31+T31)/30,1)+ROUNDDOWN((S31+T32)/20,1)+ROUNDDOWN((R31+Q33)/6,1)+ROUNDDOWN(U32/25,1)+ROUNDDOWN(S32/15,1)+ROUNDDOWN(O33/5,1)+ROUNDDOWN(N33/3,1),0)</f>
        <v>0</v>
      </c>
      <c r="AK85" s="54"/>
      <c r="AL85" s="54"/>
      <c r="AM85" s="78" t="s">
        <v>78</v>
      </c>
      <c r="AN85" s="78"/>
      <c r="AO85" s="54">
        <f>ROUND(ROUNDDOWN(($L31+$K31)/30,1)+ROUNDDOWN(($J31+$I31+$K32)/20,1)+ROUNDDOWN($L32/25,1)+ROUNDDOWN($J32/15,1)+ROUNDDOWN($H33/6,1)+ROUNDDOWN($F33/5,1)+ROUNDDOWN($E33/3,1),0)+ROUND(ROUNDDOWN(($U31+$T31)/30,1)+ROUNDDOWN(($S31+$R31+$T32)/20,1)+ROUNDDOWN($U32/25,1)+ROUNDDOWN($S32/15,1)+ROUNDDOWN($Q33/6,1)+ROUNDDOWN($O33/5,1)+ROUNDDOWN($N33/3,1),0)</f>
        <v>0</v>
      </c>
      <c r="AP85" s="59"/>
      <c r="AQ85" s="59"/>
      <c r="AR85" s="156" t="s">
        <v>76</v>
      </c>
      <c r="AT85" s="157">
        <f>ROUND(ROUNDDOWN((L31+K31)/30,1)+ROUNDDOWN((J31)/20,1)+ROUNDDOWN((I31)/6,1),0)+ROUND(ROUNDDOWN((U31+T31)/30,1)+ROUNDDOWN((S31)/20,1)+ROUNDDOWN((R31)/6,1),0)</f>
        <v>0</v>
      </c>
      <c r="AU85" s="157">
        <f t="shared" si="121"/>
        <v>0</v>
      </c>
      <c r="AV85" s="156" t="s">
        <v>78</v>
      </c>
      <c r="AW85" s="157">
        <f>ROUND(ROUNDDOWN(($L31+$K31)/30,1)+ROUNDDOWN(($J31+$I31)/20,1),0)+ROUND(ROUNDDOWN(($U31+$T31)/30,1)+ROUNDDOWN(($S31+$R31)/20,1),0)</f>
        <v>0</v>
      </c>
      <c r="AX85" s="157">
        <f>AO85-AW85</f>
        <v>0</v>
      </c>
      <c r="AY85" s="198"/>
    </row>
    <row r="86" spans="30:51">
      <c r="AD86" s="706"/>
      <c r="AE86" s="154"/>
      <c r="AF86" s="616" t="s">
        <v>89</v>
      </c>
      <c r="AG86" s="21" t="s">
        <v>77</v>
      </c>
      <c r="AH86" s="21"/>
      <c r="AI86" s="21"/>
      <c r="AJ86" s="54">
        <f>ROUND(ROUNDDOWN((L34+K34)/30,1)+ROUNDDOWN((J34+J35)/15,1)+ROUNDDOWN((I34+H36)/6,1)+ROUNDDOWN(L35/25,1)+ROUNDDOWN(K35/20,1)+ROUNDDOWN(F36/5,1)+ROUNDDOWN(E36/3,1),0)+ROUND(ROUNDDOWN((U34+T34)/30,1)+ROUNDDOWN((S34+S35)/15,1)+ROUNDDOWN((R34+Q36)/6,1)+ROUNDDOWN(U35/25,1)+ROUNDDOWN(T35/20,1)+ROUNDDOWN(O36/5,1)+ROUNDDOWN(N36/3,1),0)</f>
        <v>0</v>
      </c>
      <c r="AK86" s="59"/>
      <c r="AL86" s="59"/>
      <c r="AM86" s="59"/>
      <c r="AN86" s="59"/>
      <c r="AO86" s="59"/>
      <c r="AP86" s="59"/>
      <c r="AQ86" s="59"/>
      <c r="AR86" s="156" t="s">
        <v>77</v>
      </c>
      <c r="AT86" s="157">
        <f>ROUND(ROUNDDOWN((L34+K34)/30,1)+ROUNDDOWN((J34)/15,1)+ROUNDDOWN((I34)/6,1),0)+ROUND(ROUNDDOWN((U34+T34)/30,1)+ROUNDDOWN((S34)/15,1)+ROUNDDOWN((R34)/6,1),0)</f>
        <v>0</v>
      </c>
      <c r="AU86" s="157">
        <f t="shared" si="121"/>
        <v>0</v>
      </c>
      <c r="AV86" s="158"/>
      <c r="AW86"/>
      <c r="AX86" s="159"/>
      <c r="AY86" s="198"/>
    </row>
    <row r="87" spans="30:51">
      <c r="AD87" s="706"/>
      <c r="AE87" s="154"/>
      <c r="AF87" s="616"/>
      <c r="AG87" s="21" t="s">
        <v>75</v>
      </c>
      <c r="AH87" s="21"/>
      <c r="AI87" s="21"/>
      <c r="AJ87" s="54">
        <f>ROUND(ROUNDDOWN((L34+K34)/30,1)+ROUNDDOWN((J34+I34+J35)/15,1)+ROUNDDOWN(L35/25,1)+ROUNDDOWN(K35/20,1)+ROUNDDOWN(H36/6,1)+ROUNDDOWN(F36/5,1)+ROUNDDOWN(E36/3,1),0)+ROUND(ROUNDDOWN((U34+T34)/30,1)+ROUNDDOWN((S34+R34+S35)/15,1)+ROUNDDOWN(U35/25,1)+ROUNDDOWN(T35/20,1)+ROUNDDOWN(Q36/6,1)+ROUNDDOWN(O36/5,1)+ROUNDDOWN(N36/3,1),0)</f>
        <v>0</v>
      </c>
      <c r="AK87" s="59"/>
      <c r="AL87" s="59"/>
      <c r="AM87" s="59"/>
      <c r="AN87" s="59"/>
      <c r="AO87" s="59"/>
      <c r="AP87" s="59"/>
      <c r="AQ87" s="59"/>
      <c r="AR87" s="156" t="s">
        <v>75</v>
      </c>
      <c r="AT87" s="157">
        <f>ROUND(ROUNDDOWN((L34+K34)/30,1)+ROUNDDOWN((J34+I34)/15,1),)+ROUND(ROUNDDOWN((U34+T34)/30,1)+ROUNDDOWN((S34+R34)/15,1),0)</f>
        <v>0</v>
      </c>
      <c r="AU87" s="157">
        <f t="shared" si="121"/>
        <v>0</v>
      </c>
      <c r="AV87" s="160"/>
      <c r="AW87" s="161"/>
      <c r="AX87" s="161"/>
      <c r="AY87" s="198"/>
    </row>
    <row r="88" spans="30:51">
      <c r="AD88" s="706"/>
      <c r="AE88" s="154"/>
      <c r="AF88" s="616"/>
      <c r="AG88" s="21" t="s">
        <v>76</v>
      </c>
      <c r="AH88" s="21"/>
      <c r="AI88" s="21"/>
      <c r="AJ88" s="54">
        <f>ROUND(ROUNDDOWN((L34+K34)/30,1)+ROUNDDOWN((J34+K35)/20,1)+ROUNDDOWN((I34+H36)/6,1)+ROUNDDOWN(L35/25,1)+ROUNDDOWN(J35/15,1)+ROUNDDOWN(F36/5,1)+ROUNDDOWN(E36/3,1),0)+ROUND(ROUNDDOWN((U34+T34)/30,1)+ROUNDDOWN((S34+T35)/20,1)+ROUNDDOWN((R34+Q36)/6,1)+ROUNDDOWN(U35/25,1)+ROUNDDOWN(S35/15,1)+ROUNDDOWN(O36/5,1)+ROUNDDOWN(N36/3,1),0)</f>
        <v>0</v>
      </c>
      <c r="AK88" s="54"/>
      <c r="AL88" s="54"/>
      <c r="AM88" s="78" t="s">
        <v>78</v>
      </c>
      <c r="AN88" s="78"/>
      <c r="AO88" s="54">
        <f>ROUND(ROUNDDOWN(($L34+$K34)/30,1)+ROUNDDOWN(($J34+$I34+$K35)/20,1)+ROUNDDOWN($L35/25,1)+ROUNDDOWN($J35/15,1)+ROUNDDOWN($H36/6,1)+ROUNDDOWN($F36/5,1)+ROUNDDOWN($E36/3,1),0)+ROUND(ROUNDDOWN(($U34+$T34)/30,1)+ROUNDDOWN(($S34+$R34+$T35)/20,1)+ROUNDDOWN($U35/25,1)+ROUNDDOWN($S35/15,1)+ROUNDDOWN($Q36/6,1)+ROUNDDOWN($O36/5,1)+ROUNDDOWN($N36/3,1),0)</f>
        <v>0</v>
      </c>
      <c r="AP88" s="59"/>
      <c r="AQ88" s="59"/>
      <c r="AR88" s="156" t="s">
        <v>76</v>
      </c>
      <c r="AT88" s="157">
        <f>ROUND(ROUNDDOWN((L34+K34)/30,1)+ROUNDDOWN((J34)/20,1)+ROUNDDOWN((I34)/6,1),0)+ROUND(ROUNDDOWN((U34+T34)/30,1)+ROUNDDOWN((S34)/20,1)+ROUNDDOWN((R34)/6,1),0)</f>
        <v>0</v>
      </c>
      <c r="AU88" s="157">
        <f t="shared" si="121"/>
        <v>0</v>
      </c>
      <c r="AV88" s="156" t="s">
        <v>78</v>
      </c>
      <c r="AW88" s="157">
        <f>ROUND(ROUNDDOWN(($L34+$K34)/30,1)+ROUNDDOWN(($J34+$I34)/20,1),0)+ROUND(ROUNDDOWN(($U34+$T34)/30,1)+ROUNDDOWN(($S34+$R34)/20,1),0)</f>
        <v>0</v>
      </c>
      <c r="AX88" s="157">
        <f>AO88-AW88</f>
        <v>0</v>
      </c>
      <c r="AY88" s="198"/>
    </row>
    <row r="89" spans="30:51">
      <c r="AD89" s="706"/>
      <c r="AE89" s="154"/>
      <c r="AF89" s="616" t="s">
        <v>90</v>
      </c>
      <c r="AG89" s="21" t="s">
        <v>77</v>
      </c>
      <c r="AH89" s="21"/>
      <c r="AI89" s="21"/>
      <c r="AJ89" s="54">
        <f>ROUND(ROUNDDOWN((L37+K37)/30,1)+ROUNDDOWN((J37+J38)/15,1)+ROUNDDOWN((I37+H39)/6,1)+ROUNDDOWN(L38/25,1)+ROUNDDOWN(K38/20,1)+ROUNDDOWN(F39/5,1)+ROUNDDOWN(E39/3,1),0)+ROUND(ROUNDDOWN((U37+T37)/30,1)+ROUNDDOWN((S37+S38)/15,1)+ROUNDDOWN((R37+Q39)/6,1)+ROUNDDOWN(U38/25,1)+ROUNDDOWN(T38/20,1)+ROUNDDOWN(O39/5,1)+ROUNDDOWN(N39/3,1),0)</f>
        <v>0</v>
      </c>
      <c r="AK89" s="59"/>
      <c r="AL89" s="59"/>
      <c r="AM89" s="59"/>
      <c r="AN89" s="59"/>
      <c r="AO89" s="59"/>
      <c r="AP89" s="59"/>
      <c r="AQ89" s="59"/>
      <c r="AR89" s="156" t="s">
        <v>77</v>
      </c>
      <c r="AT89" s="157">
        <f>ROUND(ROUNDDOWN((L37+K37)/30,1)+ROUNDDOWN((J37)/15,1)+ROUNDDOWN((I37)/6,1),0)+ROUND(ROUNDDOWN((U37+T37)/30,1)+ROUNDDOWN((S37)/15,1)+ROUNDDOWN((R37)/6,1),0)</f>
        <v>0</v>
      </c>
      <c r="AU89" s="157">
        <f t="shared" si="121"/>
        <v>0</v>
      </c>
      <c r="AV89" s="158"/>
      <c r="AW89"/>
      <c r="AX89" s="159"/>
      <c r="AY89" s="198"/>
    </row>
    <row r="90" spans="30:51">
      <c r="AD90" s="706"/>
      <c r="AE90" s="154"/>
      <c r="AF90" s="616"/>
      <c r="AG90" s="21" t="s">
        <v>75</v>
      </c>
      <c r="AH90" s="21"/>
      <c r="AI90" s="21"/>
      <c r="AJ90" s="54">
        <f>ROUND(ROUNDDOWN((L37+K37)/30,1)+ROUNDDOWN((J37+I37+J38)/15,1)+ROUNDDOWN(L38/25,1)+ROUNDDOWN(K38/20,1)+ROUNDDOWN(H39/6,1)+ROUNDDOWN(F39/5,1)+ROUNDDOWN(E39/3,1),0)+ROUND(ROUNDDOWN((U37+T37)/30,1)+ROUNDDOWN((S37+R37+S38)/15,1)+ROUNDDOWN(U38/25,1)+ROUNDDOWN(T38/20,1)+ROUNDDOWN(Q39/6,1)+ROUNDDOWN(O39/5,1)+ROUNDDOWN(N39/3,1),0)</f>
        <v>0</v>
      </c>
      <c r="AK90" s="59"/>
      <c r="AL90" s="59"/>
      <c r="AM90" s="59"/>
      <c r="AN90" s="59"/>
      <c r="AO90" s="59"/>
      <c r="AP90" s="59"/>
      <c r="AQ90" s="59"/>
      <c r="AR90" s="156" t="s">
        <v>75</v>
      </c>
      <c r="AT90" s="157">
        <f>ROUND(ROUNDDOWN((L37+K37)/30,1)+ROUNDDOWN((J37+I37)/15,1),)+ROUND(ROUNDDOWN((U37+T37)/30,1)+ROUNDDOWN((S37+R37)/15,1),0)</f>
        <v>0</v>
      </c>
      <c r="AU90" s="157">
        <f t="shared" si="121"/>
        <v>0</v>
      </c>
      <c r="AV90" s="160"/>
      <c r="AW90" s="161"/>
      <c r="AX90" s="161"/>
      <c r="AY90" s="198"/>
    </row>
    <row r="91" spans="30:51">
      <c r="AD91" s="706"/>
      <c r="AE91" s="154"/>
      <c r="AF91" s="616"/>
      <c r="AG91" s="21" t="s">
        <v>76</v>
      </c>
      <c r="AH91" s="21"/>
      <c r="AI91" s="21"/>
      <c r="AJ91" s="54">
        <f>ROUND(ROUNDDOWN((L37+K37)/30,1)+ROUNDDOWN((J37+K38)/20,1)+ROUNDDOWN((I37+H39)/6,1)+ROUNDDOWN(L38/25,1)+ROUNDDOWN(J38/15,1)+ROUNDDOWN(F39/5,1)+ROUNDDOWN(E39/3,1),0)+ROUND(ROUNDDOWN((U37+T37)/30,1)+ROUNDDOWN((S37+T38)/20,1)+ROUNDDOWN((R37+Q39)/6,1)+ROUNDDOWN(U38/25,1)+ROUNDDOWN(S38/15,1)+ROUNDDOWN(O39/5,1)+ROUNDDOWN(N39/3,1),0)</f>
        <v>0</v>
      </c>
      <c r="AK91" s="54"/>
      <c r="AL91" s="54"/>
      <c r="AM91" s="78" t="s">
        <v>78</v>
      </c>
      <c r="AN91" s="78"/>
      <c r="AO91" s="54">
        <f>ROUND(ROUNDDOWN(($L37+$K37)/30,1)+ROUNDDOWN(($J37+$I37+$K38)/20,1)+ROUNDDOWN($L38/25,1)+ROUNDDOWN($J38/15,1)+ROUNDDOWN($H39/6,1)+ROUNDDOWN($F39/5,1)+ROUNDDOWN($E39/3,1),0)+ROUND(ROUNDDOWN(($U37+$T37)/30,1)+ROUNDDOWN(($S37+$R37+$T38)/20,1)+ROUNDDOWN($U38/25,1)+ROUNDDOWN($S38/15,1)+ROUNDDOWN($Q39/6,1)+ROUNDDOWN($O39/5,1)+ROUNDDOWN($N39/3,1),0)</f>
        <v>0</v>
      </c>
      <c r="AP91" s="59"/>
      <c r="AQ91" s="59"/>
      <c r="AR91" s="156" t="s">
        <v>76</v>
      </c>
      <c r="AT91" s="157">
        <f>ROUND(ROUNDDOWN((L37+K37)/30,1)+ROUNDDOWN((J37)/20,1)+ROUNDDOWN((I37)/6,1),0)+ROUND(ROUNDDOWN((U37+T37)/30,1)+ROUNDDOWN((S37)/20,1)+ROUNDDOWN((R37)/6,1),0)</f>
        <v>0</v>
      </c>
      <c r="AU91" s="157">
        <f t="shared" si="121"/>
        <v>0</v>
      </c>
      <c r="AV91" s="156" t="s">
        <v>78</v>
      </c>
      <c r="AW91" s="157">
        <f>ROUND(ROUNDDOWN(($L37+$K37)/30,1)+ROUNDDOWN(($J37+$I37)/20,1),0)+ROUND(ROUNDDOWN(($U37+$T37)/30,1)+ROUNDDOWN(($S37+$R37)/20,1),0)</f>
        <v>0</v>
      </c>
      <c r="AX91" s="157">
        <f>AO91-AW91</f>
        <v>0</v>
      </c>
      <c r="AY91" s="198"/>
    </row>
    <row r="92" spans="30:51">
      <c r="AD92" s="706"/>
      <c r="AE92" s="216"/>
      <c r="AF92" s="616" t="s">
        <v>91</v>
      </c>
      <c r="AG92" s="215" t="s">
        <v>77</v>
      </c>
      <c r="AH92" s="215"/>
      <c r="AI92" s="215"/>
      <c r="AJ92" s="54">
        <f>ROUND(ROUNDDOWN((L40+K40)/30,1)+ROUNDDOWN((J40+J41)/15,1)+ROUNDDOWN((I40+H42)/6,1)+ROUNDDOWN(L41/25,1)+ROUNDDOWN(K41/20,1)+ROUNDDOWN(F42/5,1)+ROUNDDOWN(E42/3,1),0)+ROUND(ROUNDDOWN((U40+T40)/30,1)+ROUNDDOWN((S40+S41)/15,1)+ROUNDDOWN((R40+Q42)/6,1)+ROUNDDOWN(U41/25,1)+ROUNDDOWN(T41/20,1)+ROUNDDOWN(O42/5,1)+ROUNDDOWN(N42/3,1),0)</f>
        <v>0</v>
      </c>
      <c r="AK92" s="59"/>
      <c r="AL92" s="59"/>
      <c r="AM92" s="59"/>
      <c r="AN92" s="59"/>
      <c r="AO92" s="59"/>
      <c r="AP92" s="59"/>
      <c r="AQ92" s="59"/>
      <c r="AR92" s="217" t="s">
        <v>77</v>
      </c>
      <c r="AT92" s="157">
        <f>ROUND(ROUNDDOWN((L40+K40)/30,1)+ROUNDDOWN((J40)/15,1)+ROUNDDOWN((I40)/6,1),0)+ROUND(ROUNDDOWN((U40+T40)/30,1)+ROUNDDOWN((S40)/15,1)+ROUNDDOWN((R40)/6,1),0)</f>
        <v>0</v>
      </c>
      <c r="AU92" s="157">
        <f t="shared" ref="AU92:AU94" si="122">AJ92-AT92</f>
        <v>0</v>
      </c>
      <c r="AV92" s="158"/>
      <c r="AW92"/>
      <c r="AX92" s="159"/>
      <c r="AY92" s="198"/>
    </row>
    <row r="93" spans="30:51">
      <c r="AD93" s="706"/>
      <c r="AE93" s="216"/>
      <c r="AF93" s="616"/>
      <c r="AG93" s="215" t="s">
        <v>75</v>
      </c>
      <c r="AH93" s="215"/>
      <c r="AI93" s="215"/>
      <c r="AJ93" s="54">
        <f>ROUND(ROUNDDOWN((L40+K40)/30,1)+ROUNDDOWN((J40+I40+J41)/15,1)+ROUNDDOWN(L41/25,1)+ROUNDDOWN(K41/20,1)+ROUNDDOWN(H42/6,1)+ROUNDDOWN(F42/5,1)+ROUNDDOWN(E42/3,1),0)+ROUND(ROUNDDOWN((U40+T40)/30,1)+ROUNDDOWN((S40+R40+S41)/15,1)+ROUNDDOWN(U41/25,1)+ROUNDDOWN(T41/20,1)+ROUNDDOWN(Q42/6,1)+ROUNDDOWN(O42/5,1)+ROUNDDOWN(N42/3,1),0)</f>
        <v>0</v>
      </c>
      <c r="AK93" s="59"/>
      <c r="AL93" s="59"/>
      <c r="AM93" s="59"/>
      <c r="AN93" s="59"/>
      <c r="AO93" s="59"/>
      <c r="AP93" s="59"/>
      <c r="AQ93" s="59"/>
      <c r="AR93" s="217" t="s">
        <v>75</v>
      </c>
      <c r="AT93" s="157">
        <f>ROUND(ROUNDDOWN((L40+K40)/30,1)+ROUNDDOWN((J40+I40)/15,1),)+ROUND(ROUNDDOWN((U40+T40)/30,1)+ROUNDDOWN((S40+R40)/15,1),0)</f>
        <v>0</v>
      </c>
      <c r="AU93" s="157">
        <f t="shared" si="122"/>
        <v>0</v>
      </c>
      <c r="AV93" s="160"/>
      <c r="AW93" s="161"/>
      <c r="AX93" s="161"/>
      <c r="AY93" s="198"/>
    </row>
    <row r="94" spans="30:51">
      <c r="AD94" s="706"/>
      <c r="AE94" s="216"/>
      <c r="AF94" s="616"/>
      <c r="AG94" s="215" t="s">
        <v>76</v>
      </c>
      <c r="AH94" s="215"/>
      <c r="AI94" s="215"/>
      <c r="AJ94" s="54">
        <f>ROUND(ROUNDDOWN((L40+K40)/30,1)+ROUNDDOWN((J40+K41)/20,1)+ROUNDDOWN((I40+H42)/6,1)+ROUNDDOWN(L41/25,1)+ROUNDDOWN(J41/15,1)+ROUNDDOWN(F42/5,1)+ROUNDDOWN(E42/3,1),0)+ROUND(ROUNDDOWN((U40+T40)/30,1)+ROUNDDOWN((S40+T41)/20,1)+ROUNDDOWN((R40+Q42)/6,1)+ROUNDDOWN(U41/25,1)+ROUNDDOWN(S41/15,1)+ROUNDDOWN(O42/5,1)+ROUNDDOWN(N42/3,1),0)</f>
        <v>0</v>
      </c>
      <c r="AK94" s="54"/>
      <c r="AL94" s="54"/>
      <c r="AM94" s="78" t="s">
        <v>78</v>
      </c>
      <c r="AN94" s="78"/>
      <c r="AO94" s="54">
        <f>ROUND(ROUNDDOWN(($L40+$K40)/30,1)+ROUNDDOWN(($J40+$I40+$K41)/20,1)+ROUNDDOWN($L41/25,1)+ROUNDDOWN($J41/15,1)+ROUNDDOWN($H42/6,1)+ROUNDDOWN($F42/5,1)+ROUNDDOWN($E42/3,1),0)+ROUND(ROUNDDOWN(($U40+$T40)/30,1)+ROUNDDOWN(($S40+$R40+$T41)/20,1)+ROUNDDOWN($U41/25,1)+ROUNDDOWN($S41/15,1)+ROUNDDOWN($Q42/6,1)+ROUNDDOWN($O42/5,1)+ROUNDDOWN($N42/3,1),0)</f>
        <v>0</v>
      </c>
      <c r="AP94" s="59"/>
      <c r="AQ94" s="59"/>
      <c r="AR94" s="217" t="s">
        <v>76</v>
      </c>
      <c r="AT94" s="157">
        <f>ROUND(ROUNDDOWN((L40+K40)/30,1)+ROUNDDOWN((J40)/20,1)+ROUNDDOWN((I40)/6,1),0)+ROUND(ROUNDDOWN((U40+T40)/30,1)+ROUNDDOWN((S40)/20,1)+ROUNDDOWN((R40)/6,1),0)</f>
        <v>0</v>
      </c>
      <c r="AU94" s="157">
        <f t="shared" si="122"/>
        <v>0</v>
      </c>
      <c r="AV94" s="217" t="s">
        <v>78</v>
      </c>
      <c r="AW94" s="157">
        <f>ROUND(ROUNDDOWN(($L40+$K40)/30,1)+ROUNDDOWN(($J40+$I40)/20,1),0)+ROUND(ROUNDDOWN(($U40+$T40)/30,1)+ROUNDDOWN(($S40+$R40)/20,1),0)</f>
        <v>0</v>
      </c>
      <c r="AX94" s="157">
        <f>AO94-AW94</f>
        <v>0</v>
      </c>
      <c r="AY94" s="198"/>
    </row>
    <row r="95" spans="30:51">
      <c r="AD95" s="706"/>
      <c r="AE95" s="154"/>
      <c r="AF95" s="707" t="s">
        <v>211</v>
      </c>
      <c r="AG95" s="21" t="s">
        <v>77</v>
      </c>
      <c r="AH95" s="21"/>
      <c r="AI95" s="21"/>
      <c r="AJ95" s="54">
        <f>ROUND(ROUNDDOWN((L43+K43)/30,1)+ROUNDDOWN((J43+J44)/15,1)+ROUNDDOWN((I43+H45)/6,1)+ROUNDDOWN(L44/25,1)+ROUNDDOWN(K44/20,1)+ROUNDDOWN(F45/5,1)+ROUNDDOWN(E45/3,1),0)+ROUND(ROUNDDOWN((U43+T43)/30,1)+ROUNDDOWN((S43+S44)/15,1)+ROUNDDOWN((R43+Q45)/6,1)+ROUNDDOWN(U44/25,1)+ROUNDDOWN(T44/20,1)+ROUNDDOWN(O45/5,1)+ROUNDDOWN(N45/3,1),0)</f>
        <v>0</v>
      </c>
      <c r="AK95" s="59"/>
      <c r="AL95" s="59"/>
      <c r="AM95" s="59"/>
      <c r="AN95" s="59"/>
      <c r="AO95" s="59"/>
      <c r="AP95" s="59"/>
      <c r="AQ95" s="59"/>
      <c r="AR95" s="156" t="s">
        <v>77</v>
      </c>
      <c r="AT95" s="157">
        <f>ROUND(ROUNDDOWN((L43+K43)/30,1)+ROUNDDOWN((J43)/15,1)+ROUNDDOWN((I43)/6,1),0)+ROUND(ROUNDDOWN((U43+T43)/30,1)+ROUNDDOWN((S43)/15,1)+ROUNDDOWN((R43)/6,1),0)</f>
        <v>0</v>
      </c>
      <c r="AU95" s="157">
        <f>AJ95-AT95</f>
        <v>0</v>
      </c>
      <c r="AV95" s="158"/>
      <c r="AW95"/>
      <c r="AX95" s="159"/>
      <c r="AY95" s="198"/>
    </row>
    <row r="96" spans="30:51">
      <c r="AD96" s="706"/>
      <c r="AE96" s="154"/>
      <c r="AF96" s="707"/>
      <c r="AG96" s="21" t="s">
        <v>75</v>
      </c>
      <c r="AH96" s="21"/>
      <c r="AI96" s="21"/>
      <c r="AJ96" s="54">
        <f>ROUND(ROUNDDOWN((L43+K43)/30,1)+ROUNDDOWN((J43+I43+J44)/15,1)+ROUNDDOWN(L44/25,1)+ROUNDDOWN(K44/20,1)+ROUNDDOWN(H45/6,1)+ROUNDDOWN(F45/5,1)+ROUNDDOWN(E45/3,1),0)+ROUND(ROUNDDOWN((U43+T43)/30,1)+ROUNDDOWN((S43+R43+S44)/15,1)+ROUNDDOWN(U44/25,1)+ROUNDDOWN(T44/20,1)+ROUNDDOWN(Q45/6,1)+ROUNDDOWN(O45/5,1)+ROUNDDOWN(N45/3,1),0)</f>
        <v>0</v>
      </c>
      <c r="AK96" s="59"/>
      <c r="AL96" s="59"/>
      <c r="AM96" s="59"/>
      <c r="AN96" s="59"/>
      <c r="AO96" s="59"/>
      <c r="AP96" s="59"/>
      <c r="AQ96" s="59"/>
      <c r="AR96" s="156" t="s">
        <v>75</v>
      </c>
      <c r="AT96" s="157">
        <f>ROUND(ROUNDDOWN((L43+K43)/30,1)+ROUNDDOWN((J43+I43)/15,1),)+ROUND(ROUNDDOWN((U43+T43)/30,1)+ROUNDDOWN((S43+R43)/15,1),0)</f>
        <v>0</v>
      </c>
      <c r="AU96" s="157">
        <f t="shared" si="121"/>
        <v>0</v>
      </c>
      <c r="AV96" s="160"/>
      <c r="AW96" s="161"/>
      <c r="AX96" s="161"/>
      <c r="AY96" s="198"/>
    </row>
    <row r="97" spans="30:51">
      <c r="AD97" s="706"/>
      <c r="AE97" s="154"/>
      <c r="AF97" s="707"/>
      <c r="AG97" s="21" t="s">
        <v>76</v>
      </c>
      <c r="AH97" s="21"/>
      <c r="AI97" s="21"/>
      <c r="AJ97" s="54">
        <f>ROUND(ROUNDDOWN((L43+K43)/30,1)+ROUNDDOWN((J43+K44)/20,1)+ROUNDDOWN((I43+H45)/6,1)+ROUNDDOWN(L44/25,1)+ROUNDDOWN(J44/15,1)+ROUNDDOWN(F45/5,1)+ROUNDDOWN(E45/3,1),0)+ROUND(ROUNDDOWN((U43+T43)/30,1)+ROUNDDOWN((S43+T44)/20,1)+ROUNDDOWN((R43+Q45)/6,1)+ROUNDDOWN(U44/25,1)+ROUNDDOWN(S44/15,1)+ROUNDDOWN(O45/5,1)+ROUNDDOWN(N45/3,1),0)</f>
        <v>0</v>
      </c>
      <c r="AK97" s="54"/>
      <c r="AL97" s="54"/>
      <c r="AM97" s="78" t="s">
        <v>78</v>
      </c>
      <c r="AN97" s="78"/>
      <c r="AO97" s="54">
        <f>ROUND(ROUNDDOWN(($L43+$K43)/30,1)+ROUNDDOWN(($J43+$I43+$K44)/20,1)+ROUNDDOWN($L44/25,1)+ROUNDDOWN($J44/15,1)+ROUNDDOWN($H45/6,1)+ROUNDDOWN($F45/5,1)+ROUNDDOWN($E45/3,1),0)+ROUND(ROUNDDOWN(($U43+$T43)/30,1)+ROUNDDOWN(($S43+$R43+$T44)/20,1)+ROUNDDOWN($U44/25,1)+ROUNDDOWN($S44/15,1)+ROUNDDOWN($Q45/6,1)+ROUNDDOWN($O45/5,1)+ROUNDDOWN($N45/3,1),0)</f>
        <v>0</v>
      </c>
      <c r="AP97" s="59"/>
      <c r="AQ97" s="59"/>
      <c r="AR97" s="156" t="s">
        <v>76</v>
      </c>
      <c r="AT97" s="157">
        <f>ROUND(ROUNDDOWN((L43+K43)/30,1)+ROUNDDOWN((J43)/20,1)+ROUNDDOWN((I43)/6,1),0)+ROUND(ROUNDDOWN((U43+T43)/30,1)+ROUNDDOWN((S43)/20,1)+ROUNDDOWN((R43)/6,1),0)</f>
        <v>0</v>
      </c>
      <c r="AU97" s="157">
        <f t="shared" si="121"/>
        <v>0</v>
      </c>
      <c r="AV97" s="156" t="s">
        <v>78</v>
      </c>
      <c r="AW97" s="157">
        <f>ROUND(ROUNDDOWN(($L43+$K43)/30,1)+ROUNDDOWN(($J43+$I43)/20,1),0)+ROUND(ROUNDDOWN(($U43+$T43)/30,1)+ROUNDDOWN(($S43+$R43)/20,1),0)</f>
        <v>0</v>
      </c>
      <c r="AX97" s="157">
        <f>AO97-AW97</f>
        <v>0</v>
      </c>
      <c r="AY97" s="198"/>
    </row>
    <row r="98" spans="30:51">
      <c r="AF98" s="7"/>
      <c r="AG98" s="79"/>
      <c r="AH98" s="79"/>
      <c r="AI98" s="79"/>
      <c r="AJ98" s="80"/>
      <c r="AK98" s="80"/>
      <c r="AL98" s="80"/>
    </row>
    <row r="99" spans="30:51">
      <c r="AF99" s="7"/>
      <c r="AG99" s="7"/>
      <c r="AH99" s="7"/>
      <c r="AI99" s="7"/>
      <c r="AJ99" s="80"/>
      <c r="AK99" s="80"/>
      <c r="AL99" s="80"/>
    </row>
    <row r="100" spans="30:51">
      <c r="AF100" s="7"/>
      <c r="AG100" s="7"/>
      <c r="AH100" s="7"/>
      <c r="AI100" s="7"/>
      <c r="AJ100" s="80"/>
      <c r="AK100" s="80"/>
      <c r="AL100" s="80"/>
    </row>
    <row r="101" spans="30:51">
      <c r="AF101" s="7"/>
      <c r="AG101" s="7"/>
      <c r="AH101" s="7"/>
      <c r="AI101" s="7"/>
      <c r="AJ101" s="80"/>
      <c r="AK101" s="80"/>
      <c r="AL101" s="80"/>
    </row>
    <row r="102" spans="30:51">
      <c r="AF102" s="7"/>
      <c r="AG102" s="7"/>
      <c r="AH102" s="7"/>
      <c r="AI102" s="7"/>
      <c r="AJ102" s="80"/>
      <c r="AK102" s="80"/>
      <c r="AL102" s="80"/>
    </row>
    <row r="103" spans="30:51">
      <c r="AF103" s="7"/>
      <c r="AG103" s="7"/>
      <c r="AH103" s="7"/>
      <c r="AI103" s="7"/>
      <c r="AJ103" s="80"/>
      <c r="AK103" s="80"/>
      <c r="AL103" s="80"/>
    </row>
    <row r="104" spans="30:51">
      <c r="AF104" s="7"/>
      <c r="AG104" s="7"/>
      <c r="AH104" s="7"/>
      <c r="AI104" s="7"/>
      <c r="AJ104" s="80"/>
      <c r="AK104" s="80"/>
      <c r="AL104" s="80"/>
    </row>
    <row r="105" spans="30:51">
      <c r="AF105" s="7"/>
      <c r="AG105" s="7"/>
      <c r="AH105" s="7"/>
      <c r="AI105" s="7"/>
      <c r="AJ105" s="80"/>
      <c r="AK105" s="80"/>
      <c r="AL105" s="80"/>
    </row>
    <row r="106" spans="30:51">
      <c r="AF106" s="7"/>
      <c r="AG106" s="7"/>
      <c r="AH106" s="7"/>
      <c r="AI106" s="7"/>
      <c r="AJ106" s="80"/>
      <c r="AK106" s="80"/>
      <c r="AL106" s="80"/>
    </row>
    <row r="107" spans="30:51">
      <c r="AF107" s="7"/>
      <c r="AG107" s="7"/>
      <c r="AH107" s="7"/>
      <c r="AI107" s="7"/>
      <c r="AJ107" s="80"/>
      <c r="AK107" s="80"/>
      <c r="AL107" s="80"/>
    </row>
    <row r="108" spans="30:51">
      <c r="AF108" s="7"/>
      <c r="AG108" s="7"/>
      <c r="AH108" s="7"/>
      <c r="AI108" s="7"/>
      <c r="AJ108" s="80"/>
      <c r="AK108" s="80"/>
      <c r="AL108" s="80"/>
    </row>
    <row r="109" spans="30:51">
      <c r="AF109" s="7"/>
      <c r="AG109" s="7"/>
      <c r="AH109" s="7"/>
      <c r="AI109" s="7"/>
      <c r="AJ109" s="80"/>
      <c r="AK109" s="80"/>
      <c r="AL109" s="80"/>
    </row>
    <row r="110" spans="30:51">
      <c r="AG110" s="77"/>
      <c r="AH110" s="77"/>
      <c r="AI110" s="77"/>
    </row>
    <row r="111" spans="30:51">
      <c r="AG111" s="77"/>
      <c r="AH111" s="77"/>
      <c r="AI111" s="77"/>
    </row>
    <row r="112" spans="30:51">
      <c r="AG112" s="77"/>
      <c r="AH112" s="77"/>
      <c r="AI112" s="77"/>
    </row>
  </sheetData>
  <sheetProtection algorithmName="SHA-512" hashValue="yWX1Sxb3JOLLgWWYrbRfM8gRrvLao82yWS5enAHL3arUI+dfzMz9nXd3XHL1uim2EmTFpNMpNgTm3HB2lyF2/Q==" saltValue="V9/GmGxSSzgYXRTuKsjGKA==" spinCount="100000" sheet="1" objects="1" scenarios="1"/>
  <mergeCells count="723">
    <mergeCell ref="AK43:AK45"/>
    <mergeCell ref="BK5:BK6"/>
    <mergeCell ref="BK3:BL3"/>
    <mergeCell ref="BL4:BL6"/>
    <mergeCell ref="BL7:BL9"/>
    <mergeCell ref="BL10:BL12"/>
    <mergeCell ref="BL13:BL15"/>
    <mergeCell ref="BL16:BL18"/>
    <mergeCell ref="BL19:BL21"/>
    <mergeCell ref="BL22:BL24"/>
    <mergeCell ref="BL25:BL27"/>
    <mergeCell ref="BL28:BL30"/>
    <mergeCell ref="BL31:BL33"/>
    <mergeCell ref="BL34:BL36"/>
    <mergeCell ref="BL37:BL39"/>
    <mergeCell ref="BL40:BL42"/>
    <mergeCell ref="BL43:BL45"/>
    <mergeCell ref="AK3:AK6"/>
    <mergeCell ref="AK7:AK9"/>
    <mergeCell ref="AK10:AK12"/>
    <mergeCell ref="AK16:AK18"/>
    <mergeCell ref="AK19:AK21"/>
    <mergeCell ref="BJ43:BJ45"/>
    <mergeCell ref="BD43:BD45"/>
    <mergeCell ref="BN31:BN33"/>
    <mergeCell ref="BC31:BC33"/>
    <mergeCell ref="AW31:AW33"/>
    <mergeCell ref="AW28:AW30"/>
    <mergeCell ref="AV31:AV33"/>
    <mergeCell ref="AV28:AV30"/>
    <mergeCell ref="AV25:AV27"/>
    <mergeCell ref="BE22:BE24"/>
    <mergeCell ref="AV22:AV24"/>
    <mergeCell ref="BJ31:BJ33"/>
    <mergeCell ref="BD31:BD33"/>
    <mergeCell ref="BE31:BE33"/>
    <mergeCell ref="BF31:BF33"/>
    <mergeCell ref="BK31:BK33"/>
    <mergeCell ref="BG31:BG33"/>
    <mergeCell ref="BI31:BI33"/>
    <mergeCell ref="BH31:BH33"/>
    <mergeCell ref="AZ31:AZ33"/>
    <mergeCell ref="BU29:BU30"/>
    <mergeCell ref="BS28:BS30"/>
    <mergeCell ref="BT29:BT30"/>
    <mergeCell ref="BK28:BK30"/>
    <mergeCell ref="BK25:BK27"/>
    <mergeCell ref="AT28:AT30"/>
    <mergeCell ref="AU28:AU30"/>
    <mergeCell ref="BN28:BN30"/>
    <mergeCell ref="BD28:BD30"/>
    <mergeCell ref="BE28:BE30"/>
    <mergeCell ref="BH28:BH30"/>
    <mergeCell ref="BG28:BG30"/>
    <mergeCell ref="AT25:AT27"/>
    <mergeCell ref="BG25:BG27"/>
    <mergeCell ref="BN25:BN27"/>
    <mergeCell ref="BD25:BD27"/>
    <mergeCell ref="AZ25:AZ27"/>
    <mergeCell ref="BU26:BU27"/>
    <mergeCell ref="BS25:BS27"/>
    <mergeCell ref="BT26:BT27"/>
    <mergeCell ref="BV35:BV36"/>
    <mergeCell ref="BV38:BV39"/>
    <mergeCell ref="BV44:BV45"/>
    <mergeCell ref="BV8:BV9"/>
    <mergeCell ref="BV11:BV12"/>
    <mergeCell ref="BV14:BV15"/>
    <mergeCell ref="BV17:BV18"/>
    <mergeCell ref="BV20:BV21"/>
    <mergeCell ref="BV23:BV24"/>
    <mergeCell ref="BV41:BV42"/>
    <mergeCell ref="BV26:BV27"/>
    <mergeCell ref="BV29:BV30"/>
    <mergeCell ref="BV32:BV33"/>
    <mergeCell ref="BU38:BU39"/>
    <mergeCell ref="BU44:BU45"/>
    <mergeCell ref="BS31:BS33"/>
    <mergeCell ref="BT32:BT33"/>
    <mergeCell ref="BS34:BS36"/>
    <mergeCell ref="BT35:BT36"/>
    <mergeCell ref="BS37:BS39"/>
    <mergeCell ref="BT38:BT39"/>
    <mergeCell ref="BS43:BS45"/>
    <mergeCell ref="BT44:BT45"/>
    <mergeCell ref="BS40:BS42"/>
    <mergeCell ref="BT41:BT42"/>
    <mergeCell ref="BU41:BU42"/>
    <mergeCell ref="BU32:BU33"/>
    <mergeCell ref="BU35:BU36"/>
    <mergeCell ref="BU8:BU9"/>
    <mergeCell ref="BU11:BU12"/>
    <mergeCell ref="BU14:BU15"/>
    <mergeCell ref="BU17:BU18"/>
    <mergeCell ref="BU20:BU21"/>
    <mergeCell ref="BU23:BU24"/>
    <mergeCell ref="BS7:BS9"/>
    <mergeCell ref="BT8:BT9"/>
    <mergeCell ref="BS10:BS12"/>
    <mergeCell ref="BT11:BT12"/>
    <mergeCell ref="BS13:BS15"/>
    <mergeCell ref="BT14:BT15"/>
    <mergeCell ref="BS22:BS24"/>
    <mergeCell ref="BT23:BT24"/>
    <mergeCell ref="BS19:BS21"/>
    <mergeCell ref="BT20:BT21"/>
    <mergeCell ref="BS16:BS18"/>
    <mergeCell ref="BT17:BT18"/>
    <mergeCell ref="A1:B1"/>
    <mergeCell ref="AJ19:AJ21"/>
    <mergeCell ref="AJ22:AJ24"/>
    <mergeCell ref="BJ19:BJ21"/>
    <mergeCell ref="AQ20:AQ21"/>
    <mergeCell ref="BD19:BD21"/>
    <mergeCell ref="BK19:BK21"/>
    <mergeCell ref="AM22:AM24"/>
    <mergeCell ref="BF19:BF21"/>
    <mergeCell ref="AR19:AR21"/>
    <mergeCell ref="AR16:AR18"/>
    <mergeCell ref="BJ16:BJ18"/>
    <mergeCell ref="BK16:BK18"/>
    <mergeCell ref="AG19:AG21"/>
    <mergeCell ref="AM19:AM21"/>
    <mergeCell ref="AT19:AT21"/>
    <mergeCell ref="AF7:AF9"/>
    <mergeCell ref="AB22:AB24"/>
    <mergeCell ref="AD22:AD24"/>
    <mergeCell ref="AG22:AG24"/>
    <mergeCell ref="T4:T5"/>
    <mergeCell ref="U4:U5"/>
    <mergeCell ref="V4:V6"/>
    <mergeCell ref="N6:U6"/>
    <mergeCell ref="AE3:AF5"/>
    <mergeCell ref="AA3:AB6"/>
    <mergeCell ref="Z37:Z39"/>
    <mergeCell ref="Z43:Z45"/>
    <mergeCell ref="Z10:Z12"/>
    <mergeCell ref="Z13:Z15"/>
    <mergeCell ref="Z16:Z18"/>
    <mergeCell ref="Z19:Z21"/>
    <mergeCell ref="Z22:Z24"/>
    <mergeCell ref="Z25:Z27"/>
    <mergeCell ref="AD31:AD33"/>
    <mergeCell ref="AD19:AD21"/>
    <mergeCell ref="AA35:AA36"/>
    <mergeCell ref="AA38:AA39"/>
    <mergeCell ref="AA44:AA45"/>
    <mergeCell ref="Z28:Z30"/>
    <mergeCell ref="Z31:Z33"/>
    <mergeCell ref="Z34:Z36"/>
    <mergeCell ref="AB37:AB39"/>
    <mergeCell ref="AD37:AD39"/>
    <mergeCell ref="AB34:AB36"/>
    <mergeCell ref="AD34:AD36"/>
    <mergeCell ref="AC29:AC30"/>
    <mergeCell ref="AC32:AC33"/>
    <mergeCell ref="AA20:AA21"/>
    <mergeCell ref="AA23:AA24"/>
    <mergeCell ref="AA26:AA27"/>
    <mergeCell ref="S4:S5"/>
    <mergeCell ref="AB16:AB18"/>
    <mergeCell ref="W4:X6"/>
    <mergeCell ref="X10:X12"/>
    <mergeCell ref="AA8:AA9"/>
    <mergeCell ref="B3:Z3"/>
    <mergeCell ref="Y4:Z6"/>
    <mergeCell ref="D4:D6"/>
    <mergeCell ref="N4:N5"/>
    <mergeCell ref="O4:O5"/>
    <mergeCell ref="Q4:Q5"/>
    <mergeCell ref="R4:R5"/>
    <mergeCell ref="L4:L5"/>
    <mergeCell ref="J4:J5"/>
    <mergeCell ref="K4:K5"/>
    <mergeCell ref="M4:M6"/>
    <mergeCell ref="AB43:AB45"/>
    <mergeCell ref="AD43:AD45"/>
    <mergeCell ref="AG43:AG45"/>
    <mergeCell ref="BN37:BN39"/>
    <mergeCell ref="AJ43:AJ45"/>
    <mergeCell ref="AJ37:AJ39"/>
    <mergeCell ref="AM37:AM39"/>
    <mergeCell ref="AM43:AM45"/>
    <mergeCell ref="AP37:AP39"/>
    <mergeCell ref="AQ38:AQ39"/>
    <mergeCell ref="AV43:AV45"/>
    <mergeCell ref="AV37:AV39"/>
    <mergeCell ref="AW43:AW45"/>
    <mergeCell ref="AW37:AW39"/>
    <mergeCell ref="AX43:AX45"/>
    <mergeCell ref="AH38:AH39"/>
    <mergeCell ref="AI43:AI45"/>
    <mergeCell ref="AH44:AH45"/>
    <mergeCell ref="AC38:AC39"/>
    <mergeCell ref="AC44:AC45"/>
    <mergeCell ref="BN40:BN42"/>
    <mergeCell ref="AN43:AN45"/>
    <mergeCell ref="AK37:AK39"/>
    <mergeCell ref="AK40:AK42"/>
    <mergeCell ref="AR40:AR42"/>
    <mergeCell ref="BH37:BH39"/>
    <mergeCell ref="BC40:BC42"/>
    <mergeCell ref="BD40:BD42"/>
    <mergeCell ref="BE40:BE42"/>
    <mergeCell ref="BF40:BF42"/>
    <mergeCell ref="BG40:BG42"/>
    <mergeCell ref="BH40:BH42"/>
    <mergeCell ref="BI40:BI42"/>
    <mergeCell ref="AT40:AT42"/>
    <mergeCell ref="AU40:AU42"/>
    <mergeCell ref="AV40:AV42"/>
    <mergeCell ref="AW40:AW42"/>
    <mergeCell ref="AX40:AX42"/>
    <mergeCell ref="BJ40:BJ42"/>
    <mergeCell ref="AS37:AS39"/>
    <mergeCell ref="AS40:AS42"/>
    <mergeCell ref="AS43:AS45"/>
    <mergeCell ref="BN34:BN36"/>
    <mergeCell ref="AR34:AR36"/>
    <mergeCell ref="BC34:BC36"/>
    <mergeCell ref="AW34:AW36"/>
    <mergeCell ref="AN34:AN36"/>
    <mergeCell ref="BK34:BK36"/>
    <mergeCell ref="BD34:BD36"/>
    <mergeCell ref="BE34:BE36"/>
    <mergeCell ref="BG34:BG36"/>
    <mergeCell ref="BI34:BI36"/>
    <mergeCell ref="BH34:BH36"/>
    <mergeCell ref="AQ44:AQ45"/>
    <mergeCell ref="AS34:AS36"/>
    <mergeCell ref="AQ41:AQ42"/>
    <mergeCell ref="BK40:BK42"/>
    <mergeCell ref="BE43:BE45"/>
    <mergeCell ref="BF43:BF45"/>
    <mergeCell ref="BC37:BC39"/>
    <mergeCell ref="BC43:BC45"/>
    <mergeCell ref="BI43:BI45"/>
    <mergeCell ref="AK34:AK36"/>
    <mergeCell ref="AE35:AE36"/>
    <mergeCell ref="AV34:AV36"/>
    <mergeCell ref="BK43:BK45"/>
    <mergeCell ref="AT43:AT45"/>
    <mergeCell ref="AU43:AU45"/>
    <mergeCell ref="BN43:BN45"/>
    <mergeCell ref="AR43:AR45"/>
    <mergeCell ref="AZ37:AZ39"/>
    <mergeCell ref="AZ43:AZ45"/>
    <mergeCell ref="BD37:BD39"/>
    <mergeCell ref="BE37:BE39"/>
    <mergeCell ref="BF37:BF39"/>
    <mergeCell ref="AR37:AR39"/>
    <mergeCell ref="AT37:AT39"/>
    <mergeCell ref="AU37:AU39"/>
    <mergeCell ref="BG43:BG45"/>
    <mergeCell ref="BG37:BG39"/>
    <mergeCell ref="BH43:BH45"/>
    <mergeCell ref="BK37:BK39"/>
    <mergeCell ref="BJ37:BJ39"/>
    <mergeCell ref="BF34:BF36"/>
    <mergeCell ref="BJ34:BJ36"/>
    <mergeCell ref="BI37:BI39"/>
    <mergeCell ref="BN19:BN21"/>
    <mergeCell ref="BH22:BH24"/>
    <mergeCell ref="BI25:BI27"/>
    <mergeCell ref="BH25:BH27"/>
    <mergeCell ref="BF25:BF27"/>
    <mergeCell ref="BJ22:BJ24"/>
    <mergeCell ref="BI19:BI21"/>
    <mergeCell ref="BI22:BI24"/>
    <mergeCell ref="BG19:BG21"/>
    <mergeCell ref="BG22:BG24"/>
    <mergeCell ref="BF22:BF24"/>
    <mergeCell ref="BK22:BK24"/>
    <mergeCell ref="BN22:BN24"/>
    <mergeCell ref="BH19:BH21"/>
    <mergeCell ref="BN16:BN18"/>
    <mergeCell ref="AT13:AT15"/>
    <mergeCell ref="AU13:AU15"/>
    <mergeCell ref="BN13:BN15"/>
    <mergeCell ref="AR13:AR15"/>
    <mergeCell ref="AZ13:AZ15"/>
    <mergeCell ref="AX13:AX15"/>
    <mergeCell ref="BH13:BH15"/>
    <mergeCell ref="BI13:BI15"/>
    <mergeCell ref="BI16:BI18"/>
    <mergeCell ref="AZ16:AZ18"/>
    <mergeCell ref="BD13:BD15"/>
    <mergeCell ref="BE13:BE15"/>
    <mergeCell ref="BF13:BF15"/>
    <mergeCell ref="BJ13:BJ15"/>
    <mergeCell ref="BG13:BG15"/>
    <mergeCell ref="BG16:BG18"/>
    <mergeCell ref="BH16:BH18"/>
    <mergeCell ref="BE16:BE18"/>
    <mergeCell ref="BF16:BF18"/>
    <mergeCell ref="AN31:AN33"/>
    <mergeCell ref="AQ29:AQ30"/>
    <mergeCell ref="BK13:BK15"/>
    <mergeCell ref="AG16:AG18"/>
    <mergeCell ref="AM16:AM18"/>
    <mergeCell ref="AT16:AT18"/>
    <mergeCell ref="AU16:AU18"/>
    <mergeCell ref="AG13:AG15"/>
    <mergeCell ref="AK13:AK15"/>
    <mergeCell ref="AT22:AT24"/>
    <mergeCell ref="AU22:AU24"/>
    <mergeCell ref="AZ22:AZ24"/>
    <mergeCell ref="AK22:AK24"/>
    <mergeCell ref="AK25:AK27"/>
    <mergeCell ref="AK28:AK30"/>
    <mergeCell ref="AT31:AT33"/>
    <mergeCell ref="AK31:AK33"/>
    <mergeCell ref="AU31:AU33"/>
    <mergeCell ref="AM28:AM30"/>
    <mergeCell ref="AP31:AP33"/>
    <mergeCell ref="AQ32:AQ33"/>
    <mergeCell ref="AO31:AO33"/>
    <mergeCell ref="AX19:AX21"/>
    <mergeCell ref="AM34:AM36"/>
    <mergeCell ref="AO34:AO36"/>
    <mergeCell ref="BF10:BF12"/>
    <mergeCell ref="BJ10:BJ12"/>
    <mergeCell ref="BG10:BG12"/>
    <mergeCell ref="BI10:BI12"/>
    <mergeCell ref="BH10:BH12"/>
    <mergeCell ref="AX10:AX12"/>
    <mergeCell ref="AV10:AV12"/>
    <mergeCell ref="BJ25:BJ27"/>
    <mergeCell ref="AO25:AO27"/>
    <mergeCell ref="AR22:AR24"/>
    <mergeCell ref="AR25:AR27"/>
    <mergeCell ref="BD22:BD24"/>
    <mergeCell ref="BJ28:BJ30"/>
    <mergeCell ref="BI28:BI30"/>
    <mergeCell ref="AZ34:AZ36"/>
    <mergeCell ref="AN25:AN27"/>
    <mergeCell ref="AO28:AO30"/>
    <mergeCell ref="AS19:AS21"/>
    <mergeCell ref="AS22:AS24"/>
    <mergeCell ref="AS25:AS27"/>
    <mergeCell ref="AS28:AS30"/>
    <mergeCell ref="AS31:AS33"/>
    <mergeCell ref="AE44:AE45"/>
    <mergeCell ref="AI31:AI33"/>
    <mergeCell ref="AH32:AH33"/>
    <mergeCell ref="AI34:AI36"/>
    <mergeCell ref="AH35:AH36"/>
    <mergeCell ref="AG40:AG42"/>
    <mergeCell ref="AI40:AI42"/>
    <mergeCell ref="AE41:AE42"/>
    <mergeCell ref="AG31:AG33"/>
    <mergeCell ref="AF43:AF45"/>
    <mergeCell ref="AF34:AF36"/>
    <mergeCell ref="AF37:AF39"/>
    <mergeCell ref="AH41:AH42"/>
    <mergeCell ref="AG37:AG39"/>
    <mergeCell ref="AF31:AF33"/>
    <mergeCell ref="AF40:AF42"/>
    <mergeCell ref="AD59:AD61"/>
    <mergeCell ref="AF95:AF97"/>
    <mergeCell ref="AF65:AF67"/>
    <mergeCell ref="AF68:AF70"/>
    <mergeCell ref="AF71:AF73"/>
    <mergeCell ref="AF74:AF76"/>
    <mergeCell ref="AF77:AF79"/>
    <mergeCell ref="AF80:AF82"/>
    <mergeCell ref="AN37:AN39"/>
    <mergeCell ref="AJ40:AJ42"/>
    <mergeCell ref="AM40:AM42"/>
    <mergeCell ref="AN40:AN42"/>
    <mergeCell ref="AD95:AD97"/>
    <mergeCell ref="AD62:AD64"/>
    <mergeCell ref="AD65:AD67"/>
    <mergeCell ref="AD68:AD70"/>
    <mergeCell ref="AD71:AD73"/>
    <mergeCell ref="AD74:AD76"/>
    <mergeCell ref="AD77:AD79"/>
    <mergeCell ref="AD80:AD82"/>
    <mergeCell ref="AD83:AD85"/>
    <mergeCell ref="AD86:AD88"/>
    <mergeCell ref="AD92:AD94"/>
    <mergeCell ref="AD89:AD91"/>
    <mergeCell ref="BK7:BK9"/>
    <mergeCell ref="BK10:BK12"/>
    <mergeCell ref="BF7:BF9"/>
    <mergeCell ref="BN4:BN6"/>
    <mergeCell ref="AO7:AO9"/>
    <mergeCell ref="AG7:AG9"/>
    <mergeCell ref="AJ7:AJ9"/>
    <mergeCell ref="AN4:AN6"/>
    <mergeCell ref="BJ7:BJ9"/>
    <mergeCell ref="AT7:AT9"/>
    <mergeCell ref="AU7:AU9"/>
    <mergeCell ref="BN7:BN9"/>
    <mergeCell ref="AR7:AR9"/>
    <mergeCell ref="BI7:BI9"/>
    <mergeCell ref="BD4:BF5"/>
    <mergeCell ref="BG4:BI5"/>
    <mergeCell ref="BJ4:BJ6"/>
    <mergeCell ref="AG3:AI6"/>
    <mergeCell ref="BD10:BD12"/>
    <mergeCell ref="BE7:BE9"/>
    <mergeCell ref="BN10:BN12"/>
    <mergeCell ref="AR10:AR12"/>
    <mergeCell ref="BE10:BE12"/>
    <mergeCell ref="BH7:BH9"/>
    <mergeCell ref="A25:A27"/>
    <mergeCell ref="A22:A24"/>
    <mergeCell ref="F4:F5"/>
    <mergeCell ref="H4:H5"/>
    <mergeCell ref="I4:I5"/>
    <mergeCell ref="AA32:AA33"/>
    <mergeCell ref="BD3:BJ3"/>
    <mergeCell ref="AG10:AG12"/>
    <mergeCell ref="AM10:AM12"/>
    <mergeCell ref="AT10:AT12"/>
    <mergeCell ref="AI22:AI24"/>
    <mergeCell ref="AG25:AG27"/>
    <mergeCell ref="AF25:AF27"/>
    <mergeCell ref="AH14:AH15"/>
    <mergeCell ref="AP22:AP24"/>
    <mergeCell ref="AQ23:AQ24"/>
    <mergeCell ref="AP25:AP27"/>
    <mergeCell ref="AO22:AO24"/>
    <mergeCell ref="AQ26:AQ27"/>
    <mergeCell ref="AJ25:AJ27"/>
    <mergeCell ref="AF10:AF12"/>
    <mergeCell ref="AF13:AF15"/>
    <mergeCell ref="AF16:AF18"/>
    <mergeCell ref="AJ31:AJ33"/>
    <mergeCell ref="BD7:BD9"/>
    <mergeCell ref="AU25:AU27"/>
    <mergeCell ref="AU34:AU36"/>
    <mergeCell ref="AV7:AV9"/>
    <mergeCell ref="AW10:AW12"/>
    <mergeCell ref="A2:B2"/>
    <mergeCell ref="E6:L6"/>
    <mergeCell ref="X31:X33"/>
    <mergeCell ref="AB10:AB12"/>
    <mergeCell ref="X28:X30"/>
    <mergeCell ref="AB13:AB15"/>
    <mergeCell ref="AB19:AB21"/>
    <mergeCell ref="AB25:AB27"/>
    <mergeCell ref="A7:A9"/>
    <mergeCell ref="AB28:AB30"/>
    <mergeCell ref="C2:K2"/>
    <mergeCell ref="A3:A6"/>
    <mergeCell ref="C4:C6"/>
    <mergeCell ref="B4:B6"/>
    <mergeCell ref="E4:E5"/>
    <mergeCell ref="Z7:Z9"/>
    <mergeCell ref="A16:A18"/>
    <mergeCell ref="BD16:BD18"/>
    <mergeCell ref="A19:A21"/>
    <mergeCell ref="BG7:BG9"/>
    <mergeCell ref="BE19:BE21"/>
    <mergeCell ref="A43:A45"/>
    <mergeCell ref="X7:X9"/>
    <mergeCell ref="A31:A33"/>
    <mergeCell ref="X34:X36"/>
    <mergeCell ref="X37:X39"/>
    <mergeCell ref="A34:A36"/>
    <mergeCell ref="A37:A39"/>
    <mergeCell ref="A28:A30"/>
    <mergeCell ref="A10:A12"/>
    <mergeCell ref="A13:A15"/>
    <mergeCell ref="X43:X45"/>
    <mergeCell ref="X13:X15"/>
    <mergeCell ref="X16:X18"/>
    <mergeCell ref="X19:X21"/>
    <mergeCell ref="X22:X24"/>
    <mergeCell ref="X25:X27"/>
    <mergeCell ref="BF28:BF30"/>
    <mergeCell ref="AW7:AW9"/>
    <mergeCell ref="AX7:AX9"/>
    <mergeCell ref="AE26:AE27"/>
    <mergeCell ref="AE32:AE33"/>
    <mergeCell ref="AF28:AF30"/>
    <mergeCell ref="AJ3:AJ6"/>
    <mergeCell ref="AM7:AM9"/>
    <mergeCell ref="AO19:AO21"/>
    <mergeCell ref="AO43:AO45"/>
    <mergeCell ref="AN28:AN30"/>
    <mergeCell ref="AN22:AN24"/>
    <mergeCell ref="AP7:AP9"/>
    <mergeCell ref="AO37:AO39"/>
    <mergeCell ref="AN7:AN9"/>
    <mergeCell ref="AN10:AN12"/>
    <mergeCell ref="AN13:AN15"/>
    <mergeCell ref="AM25:AM27"/>
    <mergeCell ref="AM31:AM33"/>
    <mergeCell ref="AJ34:AJ36"/>
    <mergeCell ref="AP19:AP21"/>
    <mergeCell ref="AO10:AO12"/>
    <mergeCell ref="AO13:AO15"/>
    <mergeCell ref="AO16:AO18"/>
    <mergeCell ref="AJ10:AJ12"/>
    <mergeCell ref="AJ13:AJ15"/>
    <mergeCell ref="AJ16:AJ18"/>
    <mergeCell ref="AO4:AQ6"/>
    <mergeCell ref="AL3:AQ3"/>
    <mergeCell ref="AL4:AM6"/>
    <mergeCell ref="AF59:AF61"/>
    <mergeCell ref="AF83:AF85"/>
    <mergeCell ref="AF86:AF88"/>
    <mergeCell ref="AF89:AF91"/>
    <mergeCell ref="AF92:AF94"/>
    <mergeCell ref="AF62:AF64"/>
    <mergeCell ref="W49:AH49"/>
    <mergeCell ref="AV19:AV21"/>
    <mergeCell ref="BE25:BE27"/>
    <mergeCell ref="AI37:AI39"/>
    <mergeCell ref="AP34:AP36"/>
    <mergeCell ref="AQ35:AQ36"/>
    <mergeCell ref="AF19:AF21"/>
    <mergeCell ref="AF22:AF24"/>
    <mergeCell ref="AG34:AG36"/>
    <mergeCell ref="AI25:AI27"/>
    <mergeCell ref="AH26:AH27"/>
    <mergeCell ref="AU19:AU21"/>
    <mergeCell ref="AP43:AP45"/>
    <mergeCell ref="AO40:AO42"/>
    <mergeCell ref="AP40:AP42"/>
    <mergeCell ref="AR28:AR30"/>
    <mergeCell ref="AP28:AP30"/>
    <mergeCell ref="AR31:AR33"/>
    <mergeCell ref="AC3:AD6"/>
    <mergeCell ref="AC8:AC9"/>
    <mergeCell ref="AC11:AC12"/>
    <mergeCell ref="AC14:AC15"/>
    <mergeCell ref="AC17:AC18"/>
    <mergeCell ref="AC20:AC21"/>
    <mergeCell ref="AC23:AC24"/>
    <mergeCell ref="AD28:AD30"/>
    <mergeCell ref="AN16:AN18"/>
    <mergeCell ref="AM13:AM15"/>
    <mergeCell ref="AN19:AN21"/>
    <mergeCell ref="AG28:AG30"/>
    <mergeCell ref="AI28:AI30"/>
    <mergeCell ref="AH29:AH30"/>
    <mergeCell ref="AJ28:AJ30"/>
    <mergeCell ref="AD25:AD27"/>
    <mergeCell ref="AD10:AD12"/>
    <mergeCell ref="AD16:AD18"/>
    <mergeCell ref="AD7:AD9"/>
    <mergeCell ref="AD13:AD15"/>
    <mergeCell ref="AE8:AE9"/>
    <mergeCell ref="AE11:AE12"/>
    <mergeCell ref="AE14:AE15"/>
    <mergeCell ref="AE17:AE18"/>
    <mergeCell ref="AE29:AE30"/>
    <mergeCell ref="AA41:AA42"/>
    <mergeCell ref="AC41:AC42"/>
    <mergeCell ref="AI7:AI9"/>
    <mergeCell ref="AH8:AH9"/>
    <mergeCell ref="AI10:AI12"/>
    <mergeCell ref="AH11:AH12"/>
    <mergeCell ref="AI13:AI15"/>
    <mergeCell ref="AI16:AI18"/>
    <mergeCell ref="AH17:AH18"/>
    <mergeCell ref="AI19:AI21"/>
    <mergeCell ref="AH20:AH21"/>
    <mergeCell ref="AC26:AC27"/>
    <mergeCell ref="AE38:AE39"/>
    <mergeCell ref="AC35:AC36"/>
    <mergeCell ref="AE20:AE21"/>
    <mergeCell ref="AE23:AE24"/>
    <mergeCell ref="AB31:AB33"/>
    <mergeCell ref="AA29:AA30"/>
    <mergeCell ref="AH23:AH24"/>
    <mergeCell ref="AA11:AA12"/>
    <mergeCell ref="AA14:AA15"/>
    <mergeCell ref="AA17:AA18"/>
    <mergeCell ref="AB7:AB9"/>
    <mergeCell ref="AV4:AV6"/>
    <mergeCell ref="AW4:AW6"/>
    <mergeCell ref="AV16:AV18"/>
    <mergeCell ref="AV13:AV15"/>
    <mergeCell ref="AW16:AW18"/>
    <mergeCell ref="AW13:AW15"/>
    <mergeCell ref="AU4:AU6"/>
    <mergeCell ref="AQ8:AQ9"/>
    <mergeCell ref="AP10:AP12"/>
    <mergeCell ref="AQ11:AQ12"/>
    <mergeCell ref="AP13:AP15"/>
    <mergeCell ref="AQ14:AQ15"/>
    <mergeCell ref="AP16:AP18"/>
    <mergeCell ref="AQ17:AQ18"/>
    <mergeCell ref="AU10:AU12"/>
    <mergeCell ref="AS7:AS9"/>
    <mergeCell ref="AS10:AS12"/>
    <mergeCell ref="AS13:AS15"/>
    <mergeCell ref="AS16:AS18"/>
    <mergeCell ref="AR3:AR6"/>
    <mergeCell ref="AS3:AY3"/>
    <mergeCell ref="AX16:AX18"/>
    <mergeCell ref="AX4:AX6"/>
    <mergeCell ref="AS4:AT5"/>
    <mergeCell ref="BC3:BC6"/>
    <mergeCell ref="BC7:BC9"/>
    <mergeCell ref="BC10:BC12"/>
    <mergeCell ref="BC13:BC15"/>
    <mergeCell ref="BC16:BC18"/>
    <mergeCell ref="BC19:BC21"/>
    <mergeCell ref="BC22:BC24"/>
    <mergeCell ref="BC25:BC27"/>
    <mergeCell ref="BC28:BC30"/>
    <mergeCell ref="AZ3:AZ6"/>
    <mergeCell ref="AY7:AY9"/>
    <mergeCell ref="AY10:AY12"/>
    <mergeCell ref="AY13:AY15"/>
    <mergeCell ref="AZ7:AZ9"/>
    <mergeCell ref="AZ10:AZ12"/>
    <mergeCell ref="AZ19:AZ21"/>
    <mergeCell ref="AY43:AY45"/>
    <mergeCell ref="AY5:AY6"/>
    <mergeCell ref="AY37:AY39"/>
    <mergeCell ref="AY40:AY42"/>
    <mergeCell ref="AZ40:AZ42"/>
    <mergeCell ref="AZ28:AZ30"/>
    <mergeCell ref="AT34:AT36"/>
    <mergeCell ref="A55:B55"/>
    <mergeCell ref="A56:B56"/>
    <mergeCell ref="AX37:AX39"/>
    <mergeCell ref="AX28:AX30"/>
    <mergeCell ref="AX31:AX33"/>
    <mergeCell ref="AW22:AW24"/>
    <mergeCell ref="AW19:AW21"/>
    <mergeCell ref="AY16:AY18"/>
    <mergeCell ref="AX22:AX24"/>
    <mergeCell ref="AX25:AX27"/>
    <mergeCell ref="AY19:AY21"/>
    <mergeCell ref="AY22:AY24"/>
    <mergeCell ref="AY25:AY27"/>
    <mergeCell ref="AY28:AY30"/>
    <mergeCell ref="AY31:AY33"/>
    <mergeCell ref="AW25:AW27"/>
    <mergeCell ref="AX34:AX36"/>
    <mergeCell ref="AY34:AY36"/>
    <mergeCell ref="A40:A42"/>
    <mergeCell ref="X40:X42"/>
    <mergeCell ref="Z40:Z42"/>
    <mergeCell ref="AB40:AB42"/>
    <mergeCell ref="AD40:AD42"/>
    <mergeCell ref="BX7:BX9"/>
    <mergeCell ref="BY8:BY9"/>
    <mergeCell ref="BZ8:BZ9"/>
    <mergeCell ref="CA8:CA9"/>
    <mergeCell ref="BX10:BX12"/>
    <mergeCell ref="BY11:BY12"/>
    <mergeCell ref="BZ11:BZ12"/>
    <mergeCell ref="CA11:CA12"/>
    <mergeCell ref="BX13:BX15"/>
    <mergeCell ref="BY14:BY15"/>
    <mergeCell ref="BZ14:BZ15"/>
    <mergeCell ref="CA14:CA15"/>
    <mergeCell ref="BX16:BX18"/>
    <mergeCell ref="BY17:BY18"/>
    <mergeCell ref="BZ17:BZ18"/>
    <mergeCell ref="CA17:CA18"/>
    <mergeCell ref="BX19:BX21"/>
    <mergeCell ref="BY20:BY21"/>
    <mergeCell ref="BZ20:BZ21"/>
    <mergeCell ref="CA20:CA21"/>
    <mergeCell ref="BX22:BX24"/>
    <mergeCell ref="BY23:BY24"/>
    <mergeCell ref="BZ23:BZ24"/>
    <mergeCell ref="CA23:CA24"/>
    <mergeCell ref="BX25:BX27"/>
    <mergeCell ref="BY26:BY27"/>
    <mergeCell ref="BZ26:BZ27"/>
    <mergeCell ref="CA26:CA27"/>
    <mergeCell ref="BX28:BX30"/>
    <mergeCell ref="BY29:BY30"/>
    <mergeCell ref="BZ29:BZ30"/>
    <mergeCell ref="CA29:CA30"/>
    <mergeCell ref="BX31:BX33"/>
    <mergeCell ref="BY32:BY33"/>
    <mergeCell ref="BZ32:BZ33"/>
    <mergeCell ref="CA32:CA33"/>
    <mergeCell ref="BX43:BX45"/>
    <mergeCell ref="BY44:BY45"/>
    <mergeCell ref="BZ44:BZ45"/>
    <mergeCell ref="CA44:CA45"/>
    <mergeCell ref="BX34:BX36"/>
    <mergeCell ref="BY35:BY36"/>
    <mergeCell ref="BZ35:BZ36"/>
    <mergeCell ref="CA35:CA36"/>
    <mergeCell ref="BX37:BX39"/>
    <mergeCell ref="BY38:BY39"/>
    <mergeCell ref="BZ38:BZ39"/>
    <mergeCell ref="CA38:CA39"/>
    <mergeCell ref="BX40:BX42"/>
    <mergeCell ref="BY41:BY42"/>
    <mergeCell ref="BZ41:BZ42"/>
    <mergeCell ref="CA41:CA42"/>
    <mergeCell ref="M50:R50"/>
    <mergeCell ref="M51:R51"/>
    <mergeCell ref="M52:R52"/>
    <mergeCell ref="M53:P53"/>
    <mergeCell ref="M47:R47"/>
    <mergeCell ref="S47:V48"/>
    <mergeCell ref="M48:N48"/>
    <mergeCell ref="O48:P48"/>
    <mergeCell ref="Q48:R48"/>
    <mergeCell ref="M49:N49"/>
    <mergeCell ref="O49:P49"/>
    <mergeCell ref="Q49:R49"/>
    <mergeCell ref="S49:U49"/>
    <mergeCell ref="BO31:BO33"/>
    <mergeCell ref="BO34:BO36"/>
    <mergeCell ref="BO37:BO39"/>
    <mergeCell ref="BO40:BO42"/>
    <mergeCell ref="BO43:BO45"/>
    <mergeCell ref="BO5:BO6"/>
    <mergeCell ref="BO7:BO9"/>
    <mergeCell ref="BO10:BO12"/>
    <mergeCell ref="BO13:BO15"/>
    <mergeCell ref="BO16:BO18"/>
    <mergeCell ref="BO19:BO21"/>
    <mergeCell ref="BO22:BO24"/>
    <mergeCell ref="BO25:BO27"/>
    <mergeCell ref="BO28:BO30"/>
  </mergeCells>
  <phoneticPr fontId="2"/>
  <conditionalFormatting sqref="BK7:BL7 BK10:BL10 BK13:BL13 BK16:BL16 BK19:BL19 BK22:BL22 BK25:BL25 BK28:BL28 BK31:BL31 BK34:BL34 BK37:BL37 BK40:BL40 BK43:BL43">
    <cfRule type="cellIs" dxfId="7" priority="12" stopIfTrue="1" operator="lessThan">
      <formula>0</formula>
    </cfRule>
  </conditionalFormatting>
  <conditionalFormatting sqref="V49">
    <cfRule type="cellIs" dxfId="6" priority="5" stopIfTrue="1" operator="lessThan">
      <formula>0</formula>
    </cfRule>
  </conditionalFormatting>
  <conditionalFormatting sqref="S51:W51">
    <cfRule type="cellIs" dxfId="5" priority="3" operator="equal">
      <formula>"○"</formula>
    </cfRule>
    <cfRule type="cellIs" dxfId="4" priority="4" operator="equal">
      <formula>"-"</formula>
    </cfRule>
  </conditionalFormatting>
  <conditionalFormatting sqref="T52:W53">
    <cfRule type="cellIs" dxfId="3" priority="1" operator="equal">
      <formula>"適用済"</formula>
    </cfRule>
    <cfRule type="cellIs" dxfId="2" priority="2" operator="notEqual">
      <formula>"適用済"</formula>
    </cfRule>
  </conditionalFormatting>
  <dataValidations count="5">
    <dataValidation type="list" allowBlank="1" showInputMessage="1" showErrorMessage="1" sqref="M7:M42 V7:V42" xr:uid="{00000000-0002-0000-0000-000000000000}">
      <formula1>$M$59:$M$60</formula1>
    </dataValidation>
    <dataValidation type="list" allowBlank="1" showInputMessage="1" showErrorMessage="1" sqref="AO7:AO42" xr:uid="{00000000-0002-0000-0000-000001000000}">
      <formula1>$AO$56:$AO$57</formula1>
    </dataValidation>
    <dataValidation type="list" allowBlank="1" showInputMessage="1" showErrorMessage="1" sqref="AN7:AN42" xr:uid="{00000000-0002-0000-0000-000003000000}">
      <formula1>"1"</formula1>
    </dataValidation>
    <dataValidation type="list" allowBlank="1" showInputMessage="1" showErrorMessage="1" sqref="R53" xr:uid="{C9309C45-71B4-445C-A3A2-841F7FBAB63E}">
      <formula1>"4,5,6,7,8,9,10,11,12,1,2,3"</formula1>
    </dataValidation>
    <dataValidation type="custom" allowBlank="1" showInputMessage="1" showErrorMessage="1" sqref="AF7:AF42" xr:uid="{1FF8B48D-7DDA-4515-BCAA-594139CAF204}">
      <formula1>AND(AND(AE7&gt;=1,AE8&gt;=1),AF7=1)</formula1>
    </dataValidation>
  </dataValidations>
  <pageMargins left="0.43307086614173229" right="0.31496062992125984" top="0.82677165354330717" bottom="0.23622047244094491" header="0.55118110236220474" footer="0.27559055118110237"/>
  <pageSetup paperSize="9" scale="28" fitToHeight="0" pageOrder="overThenDown" orientation="landscape" cellComments="asDisplayed" r:id="rId1"/>
  <headerFooter alignWithMargins="0">
    <oddHeader>&amp;L&amp;"ＭＳ Ｐゴシック,太字"&amp;16 令和６年度　保育施設職員配置状況確認書（様式１（幼保連携型認定こども園））&amp;"ＭＳ Ｐゴシック,標準"&amp;11
&amp;R&amp;"ＭＳ Ｐゴシック,太字"※水色の部分は計算式が入っているため，入力できません。</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12632-5524-470F-A172-74B5BEE9C27F}">
  <sheetPr>
    <tabColor rgb="FFFFC000"/>
  </sheetPr>
  <dimension ref="A1:M33"/>
  <sheetViews>
    <sheetView view="pageBreakPreview" zoomScaleNormal="85" zoomScaleSheetLayoutView="100" workbookViewId="0">
      <selection activeCell="J9" sqref="J9"/>
    </sheetView>
  </sheetViews>
  <sheetFormatPr defaultRowHeight="16.5"/>
  <cols>
    <col min="1" max="2" width="5.75" style="369" customWidth="1"/>
    <col min="3" max="3" width="10.25" style="369" customWidth="1"/>
    <col min="4" max="4" width="6.625" style="369" bestFit="1" customWidth="1"/>
    <col min="5" max="5" width="11.75" style="369" bestFit="1" customWidth="1"/>
    <col min="6" max="6" width="10.75" style="369" bestFit="1" customWidth="1"/>
    <col min="7" max="7" width="10.875" style="369" bestFit="1" customWidth="1"/>
    <col min="8" max="8" width="55.375" style="369" bestFit="1" customWidth="1"/>
    <col min="9" max="9" width="10" style="369" bestFit="1" customWidth="1"/>
    <col min="10" max="10" width="13.5" style="369" customWidth="1"/>
    <col min="11" max="16384" width="9" style="369"/>
  </cols>
  <sheetData>
    <row r="1" spans="1:13">
      <c r="A1" s="369" t="s">
        <v>297</v>
      </c>
    </row>
    <row r="2" spans="1:13">
      <c r="A2" s="369" t="s">
        <v>298</v>
      </c>
    </row>
    <row r="3" spans="1:13">
      <c r="A3" s="369" t="s">
        <v>299</v>
      </c>
      <c r="M3" s="369" t="s">
        <v>50</v>
      </c>
    </row>
    <row r="4" spans="1:13">
      <c r="A4" s="369" t="s">
        <v>300</v>
      </c>
    </row>
    <row r="5" spans="1:13">
      <c r="A5" s="369" t="s">
        <v>301</v>
      </c>
    </row>
    <row r="6" spans="1:13">
      <c r="A6" s="369" t="s">
        <v>302</v>
      </c>
    </row>
    <row r="7" spans="1:13">
      <c r="A7" s="369" t="s">
        <v>303</v>
      </c>
    </row>
    <row r="8" spans="1:13">
      <c r="A8" s="369" t="s">
        <v>304</v>
      </c>
    </row>
    <row r="9" spans="1:13">
      <c r="A9" s="369" t="s">
        <v>348</v>
      </c>
    </row>
    <row r="11" spans="1:13" ht="48.75" customHeight="1">
      <c r="C11" s="370" t="s">
        <v>305</v>
      </c>
      <c r="D11" s="370"/>
      <c r="E11" s="370" t="s">
        <v>306</v>
      </c>
      <c r="F11" s="370" t="s">
        <v>306</v>
      </c>
      <c r="G11" s="370" t="s">
        <v>306</v>
      </c>
    </row>
    <row r="12" spans="1:13" s="373" customFormat="1" ht="33">
      <c r="A12" s="791" t="s">
        <v>307</v>
      </c>
      <c r="B12" s="793" t="s">
        <v>308</v>
      </c>
      <c r="C12" s="793"/>
      <c r="D12" s="793"/>
      <c r="E12" s="794" t="s">
        <v>309</v>
      </c>
      <c r="F12" s="794" t="s">
        <v>310</v>
      </c>
      <c r="G12" s="794" t="s">
        <v>311</v>
      </c>
      <c r="H12" s="371" t="s">
        <v>312</v>
      </c>
      <c r="I12" s="372" t="s">
        <v>313</v>
      </c>
    </row>
    <row r="13" spans="1:13" s="373" customFormat="1">
      <c r="A13" s="792"/>
      <c r="B13" s="371" t="s">
        <v>314</v>
      </c>
      <c r="C13" s="374" t="s">
        <v>315</v>
      </c>
      <c r="D13" s="375" t="s">
        <v>316</v>
      </c>
      <c r="E13" s="795"/>
      <c r="F13" s="795"/>
      <c r="G13" s="795"/>
      <c r="H13" s="371"/>
    </row>
    <row r="14" spans="1:13" ht="19.5">
      <c r="A14" s="376" t="s">
        <v>79</v>
      </c>
      <c r="B14" s="377">
        <f>SUM(様式１!C7:D8)</f>
        <v>0</v>
      </c>
      <c r="C14" s="378"/>
      <c r="D14" s="398">
        <f>IF(B14&lt;=45,1,IF(AND(B14&gt;=46,B14&lt;=150),2,IF(AND(B14&gt;=151,B14&lt;=240),3,IF(AND(B14&gt;=241,B14&lt;=270),3.5,IF(AND(B14&gt;=271,B14&lt;=300),5,IF(AND(B14&gt;=301,B14&lt;=450),6,IF(B14&gt;=451,8)))))))</f>
        <v>1</v>
      </c>
      <c r="E14" s="379"/>
      <c r="F14" s="379"/>
      <c r="G14" s="379"/>
      <c r="H14" s="396" t="str">
        <f>IF(C14="","",IF(C14&gt;D14,"チーム保育加配加算職員数が上限を超えています",IF(AND(C14&lt;&gt;"",E14&lt;&gt;""),"チーム保育加配加算と4歳以上児配置改善加算の併給はできません","")))</f>
        <v/>
      </c>
      <c r="I14" s="397" t="str">
        <f>IF(H14&lt;&gt;"","判定不能",IF(AND(E14="○",F14="○",G14="○"),"A",IF(AND(E14="○",F14="○"),"B",IF(AND(E14="○",G14="○"),"C",IF(E14="○","D",IF(AND(F14="○",G14="○"),"E",IF(F14="○","F",IF(G14="○","G",IF(AND(E14="",F14="",G14=""),"H")))))))))</f>
        <v>H</v>
      </c>
    </row>
    <row r="15" spans="1:13" ht="19.5">
      <c r="A15" s="376" t="s">
        <v>317</v>
      </c>
      <c r="B15" s="377">
        <f>SUM(様式１!C10:D11)</f>
        <v>0</v>
      </c>
      <c r="C15" s="378"/>
      <c r="D15" s="398">
        <f t="shared" ref="D15:D25" si="0">IF(B15&lt;=45,1,IF(AND(B15&gt;=46,B15&lt;=150),2,IF(AND(B15&gt;=151,B15&lt;=240),3,IF(AND(B15&gt;=241,B15&lt;=270),3.5,IF(AND(B15&gt;=271,B15&lt;=300),5,IF(AND(B15&gt;=301,B15&lt;=450),6,IF(B15&gt;=451,8)))))))</f>
        <v>1</v>
      </c>
      <c r="E15" s="379"/>
      <c r="F15" s="379"/>
      <c r="G15" s="379"/>
      <c r="H15" s="380" t="str">
        <f t="shared" ref="H15" si="1">IF(C15="","",IF(C15&gt;D15,"チーム保育加配加算職員数が上限を超えています",IF(AND(C15&lt;&gt;"",E15&lt;&gt;""),"チーム保育加配加算と4歳以上児配置改善加算の併給はできません","")))</f>
        <v/>
      </c>
      <c r="I15" s="397" t="str">
        <f t="shared" ref="I15:I25" si="2">IF(H15&lt;&gt;"","判定不能",IF(AND(E15="○",F15="○",G15="○"),"A",IF(AND(E15="○",F15="○"),"B",IF(AND(E15="○",G15="○"),"C",IF(E15="○","D",IF(AND(F15="○",G15="○"),"E",IF(F15="○","F",IF(G15="○","G",IF(AND(E15="",F15="",G15=""),"H")))))))))</f>
        <v>H</v>
      </c>
    </row>
    <row r="16" spans="1:13" ht="19.5">
      <c r="A16" s="376" t="s">
        <v>318</v>
      </c>
      <c r="B16" s="377">
        <f>SUM(様式１!C13:D14)</f>
        <v>0</v>
      </c>
      <c r="C16" s="378"/>
      <c r="D16" s="398">
        <f t="shared" si="0"/>
        <v>1</v>
      </c>
      <c r="E16" s="379"/>
      <c r="F16" s="379"/>
      <c r="G16" s="379"/>
      <c r="H16" s="380" t="str">
        <f>IF(C16="","",IF(C16&gt;D16,"チーム保育加配加算職員数が上限を超えています",IF(AND(C16&lt;&gt;"",E16&lt;&gt;""),"チーム保育加配加算と4歳以上児配置改善加算の併給はできません","")))</f>
        <v/>
      </c>
      <c r="I16" s="397" t="str">
        <f t="shared" si="2"/>
        <v>H</v>
      </c>
    </row>
    <row r="17" spans="1:9" ht="19.5">
      <c r="A17" s="376" t="s">
        <v>319</v>
      </c>
      <c r="B17" s="377">
        <f>SUM(様式１!C16:D17)</f>
        <v>0</v>
      </c>
      <c r="C17" s="378"/>
      <c r="D17" s="398">
        <f t="shared" si="0"/>
        <v>1</v>
      </c>
      <c r="E17" s="379"/>
      <c r="F17" s="379"/>
      <c r="G17" s="379"/>
      <c r="H17" s="380" t="str">
        <f t="shared" ref="H17:H25" si="3">IF(C17="","",IF(C17&gt;D17,"チーム保育加配加算職員数が上限を超えています",IF(AND(C17&lt;&gt;"",E17&lt;&gt;""),"チーム保育加配加算と4歳以上児配置改善加算の併給はできません","")))</f>
        <v/>
      </c>
      <c r="I17" s="397" t="str">
        <f t="shared" si="2"/>
        <v>H</v>
      </c>
    </row>
    <row r="18" spans="1:9" ht="19.5">
      <c r="A18" s="376" t="s">
        <v>320</v>
      </c>
      <c r="B18" s="377">
        <f>SUM(様式１!C19:D20)</f>
        <v>0</v>
      </c>
      <c r="C18" s="378"/>
      <c r="D18" s="398">
        <f t="shared" si="0"/>
        <v>1</v>
      </c>
      <c r="E18" s="379"/>
      <c r="F18" s="379"/>
      <c r="G18" s="379"/>
      <c r="H18" s="380" t="str">
        <f t="shared" si="3"/>
        <v/>
      </c>
      <c r="I18" s="397" t="str">
        <f t="shared" si="2"/>
        <v>H</v>
      </c>
    </row>
    <row r="19" spans="1:9" ht="19.5">
      <c r="A19" s="376" t="s">
        <v>321</v>
      </c>
      <c r="B19" s="377">
        <f>SUM(様式１!C22:D23)</f>
        <v>0</v>
      </c>
      <c r="C19" s="378"/>
      <c r="D19" s="398">
        <f t="shared" si="0"/>
        <v>1</v>
      </c>
      <c r="E19" s="379"/>
      <c r="F19" s="379"/>
      <c r="G19" s="379"/>
      <c r="H19" s="380" t="str">
        <f t="shared" si="3"/>
        <v/>
      </c>
      <c r="I19" s="397" t="str">
        <f t="shared" si="2"/>
        <v>H</v>
      </c>
    </row>
    <row r="20" spans="1:9" ht="19.5">
      <c r="A20" s="376" t="s">
        <v>322</v>
      </c>
      <c r="B20" s="377">
        <f>SUM(様式１!C25:D26)</f>
        <v>0</v>
      </c>
      <c r="C20" s="378"/>
      <c r="D20" s="398">
        <f t="shared" si="0"/>
        <v>1</v>
      </c>
      <c r="E20" s="379"/>
      <c r="F20" s="379"/>
      <c r="G20" s="379"/>
      <c r="H20" s="380" t="str">
        <f t="shared" si="3"/>
        <v/>
      </c>
      <c r="I20" s="397" t="str">
        <f t="shared" si="2"/>
        <v>H</v>
      </c>
    </row>
    <row r="21" spans="1:9" ht="19.5">
      <c r="A21" s="376" t="s">
        <v>323</v>
      </c>
      <c r="B21" s="377">
        <f>SUM(様式１!C28:D29)</f>
        <v>0</v>
      </c>
      <c r="C21" s="378"/>
      <c r="D21" s="398">
        <f t="shared" si="0"/>
        <v>1</v>
      </c>
      <c r="E21" s="379"/>
      <c r="F21" s="379"/>
      <c r="G21" s="379"/>
      <c r="H21" s="380" t="str">
        <f t="shared" si="3"/>
        <v/>
      </c>
      <c r="I21" s="397" t="str">
        <f t="shared" si="2"/>
        <v>H</v>
      </c>
    </row>
    <row r="22" spans="1:9" ht="19.5">
      <c r="A22" s="376" t="s">
        <v>324</v>
      </c>
      <c r="B22" s="377">
        <f>SUM(様式１!C31:D32)</f>
        <v>0</v>
      </c>
      <c r="C22" s="378"/>
      <c r="D22" s="398">
        <f t="shared" si="0"/>
        <v>1</v>
      </c>
      <c r="E22" s="379"/>
      <c r="F22" s="379"/>
      <c r="G22" s="379"/>
      <c r="H22" s="380" t="str">
        <f t="shared" si="3"/>
        <v/>
      </c>
      <c r="I22" s="397" t="str">
        <f t="shared" si="2"/>
        <v>H</v>
      </c>
    </row>
    <row r="23" spans="1:9" ht="19.5">
      <c r="A23" s="376" t="s">
        <v>325</v>
      </c>
      <c r="B23" s="377">
        <f>SUM(様式１!C34:D35)</f>
        <v>0</v>
      </c>
      <c r="C23" s="378"/>
      <c r="D23" s="398">
        <f t="shared" si="0"/>
        <v>1</v>
      </c>
      <c r="E23" s="379"/>
      <c r="F23" s="379"/>
      <c r="G23" s="379"/>
      <c r="H23" s="380" t="str">
        <f t="shared" si="3"/>
        <v/>
      </c>
      <c r="I23" s="397" t="str">
        <f t="shared" si="2"/>
        <v>H</v>
      </c>
    </row>
    <row r="24" spans="1:9" ht="19.5">
      <c r="A24" s="376" t="s">
        <v>326</v>
      </c>
      <c r="B24" s="377">
        <f>SUM(様式１!C37:D38)</f>
        <v>0</v>
      </c>
      <c r="C24" s="378"/>
      <c r="D24" s="398">
        <f t="shared" si="0"/>
        <v>1</v>
      </c>
      <c r="E24" s="379"/>
      <c r="F24" s="379"/>
      <c r="G24" s="379"/>
      <c r="H24" s="380" t="str">
        <f t="shared" si="3"/>
        <v/>
      </c>
      <c r="I24" s="397" t="str">
        <f t="shared" si="2"/>
        <v>H</v>
      </c>
    </row>
    <row r="25" spans="1:9" ht="19.5">
      <c r="A25" s="376" t="s">
        <v>327</v>
      </c>
      <c r="B25" s="377">
        <f>SUM(様式１!C40:D41)</f>
        <v>0</v>
      </c>
      <c r="C25" s="378"/>
      <c r="D25" s="398">
        <f t="shared" si="0"/>
        <v>1</v>
      </c>
      <c r="E25" s="379"/>
      <c r="F25" s="379"/>
      <c r="G25" s="379"/>
      <c r="H25" s="380" t="str">
        <f t="shared" si="3"/>
        <v/>
      </c>
      <c r="I25" s="397" t="str">
        <f t="shared" si="2"/>
        <v>H</v>
      </c>
    </row>
    <row r="26" spans="1:9">
      <c r="C26" s="369" t="s">
        <v>328</v>
      </c>
    </row>
    <row r="27" spans="1:9">
      <c r="C27" s="369" t="s">
        <v>329</v>
      </c>
      <c r="D27" s="369">
        <v>1</v>
      </c>
    </row>
    <row r="28" spans="1:9">
      <c r="C28" s="369" t="s">
        <v>330</v>
      </c>
      <c r="D28" s="369">
        <v>2</v>
      </c>
    </row>
    <row r="29" spans="1:9">
      <c r="C29" s="369" t="s">
        <v>331</v>
      </c>
      <c r="D29" s="369">
        <v>3</v>
      </c>
    </row>
    <row r="30" spans="1:9">
      <c r="C30" s="369" t="s">
        <v>332</v>
      </c>
      <c r="D30" s="369">
        <v>3.5</v>
      </c>
    </row>
    <row r="31" spans="1:9">
      <c r="C31" s="369" t="s">
        <v>333</v>
      </c>
      <c r="D31" s="369">
        <v>5</v>
      </c>
    </row>
    <row r="32" spans="1:9">
      <c r="C32" s="369" t="s">
        <v>334</v>
      </c>
      <c r="D32" s="369">
        <v>6</v>
      </c>
    </row>
    <row r="33" spans="3:4">
      <c r="C33" s="369" t="s">
        <v>335</v>
      </c>
      <c r="D33" s="369">
        <v>8</v>
      </c>
    </row>
  </sheetData>
  <sheetProtection algorithmName="SHA-512" hashValue="P8EED6AdnE5FDf7sYV2qMQOK9icJpVr/2utDze78k47GLCrppZBZGVBJzrsfXI1/ZzLvOCZoB/4ryZXSFx9dkg==" saltValue="fuVq9MFgPWaqMMy5ExuNJA==" spinCount="100000" sheet="1" objects="1" scenarios="1"/>
  <mergeCells count="5">
    <mergeCell ref="A12:A13"/>
    <mergeCell ref="B12:D12"/>
    <mergeCell ref="E12:E13"/>
    <mergeCell ref="F12:F13"/>
    <mergeCell ref="G12:G13"/>
  </mergeCells>
  <phoneticPr fontId="2"/>
  <conditionalFormatting sqref="H14">
    <cfRule type="containsText" dxfId="1" priority="2" operator="containsText" text="チーム">
      <formula>NOT(ISERROR(SEARCH("チーム",H14)))</formula>
    </cfRule>
  </conditionalFormatting>
  <conditionalFormatting sqref="H14:H25">
    <cfRule type="containsText" dxfId="0" priority="1" operator="containsText" text="チーム">
      <formula>NOT(ISERROR(SEARCH("チーム",H14)))</formula>
    </cfRule>
  </conditionalFormatting>
  <dataValidations count="2">
    <dataValidation type="list" allowBlank="1" showInputMessage="1" showErrorMessage="1" sqref="E14:G25" xr:uid="{BD01625D-D9E8-47A1-AD76-30E46C67F4A8}">
      <formula1>$M$3:$N$3</formula1>
    </dataValidation>
    <dataValidation type="list" allowBlank="1" showInputMessage="1" showErrorMessage="1" sqref="C14:C25" xr:uid="{7D66A0ED-3380-46D5-8362-F8C0E3893785}">
      <formula1>"1,2,3,3.5,4,4.5,5,5.5,6,6.5,7,7.5,8"</formula1>
    </dataValidation>
  </dataValidations>
  <pageMargins left="0.7" right="0.7" top="0.75" bottom="0.75" header="0.3" footer="0.3"/>
  <pageSetup paperSize="9" scale="7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C33"/>
  <sheetViews>
    <sheetView view="pageBreakPreview" zoomScale="70" zoomScaleNormal="100" zoomScaleSheetLayoutView="70" workbookViewId="0">
      <pane xSplit="3" ySplit="6" topLeftCell="D7" activePane="bottomRight" state="frozen"/>
      <selection pane="topRight" activeCell="D1" sqref="D1"/>
      <selection pane="bottomLeft" activeCell="A5" sqref="A5"/>
      <selection pane="bottomRight" activeCell="AV11" sqref="AV11"/>
    </sheetView>
  </sheetViews>
  <sheetFormatPr defaultRowHeight="13.5"/>
  <cols>
    <col min="2" max="2" width="6.5" bestFit="1" customWidth="1"/>
    <col min="3" max="3" width="6.5" customWidth="1"/>
    <col min="4" max="4" width="7.625" bestFit="1" customWidth="1"/>
    <col min="5" max="5" width="7.75" customWidth="1"/>
    <col min="6" max="7" width="7.75" bestFit="1" customWidth="1"/>
    <col min="8" max="8" width="8.75" bestFit="1" customWidth="1"/>
    <col min="9" max="9" width="7.375" bestFit="1" customWidth="1"/>
    <col min="10" max="11" width="7.625" customWidth="1"/>
    <col min="12" max="12" width="7.625" bestFit="1" customWidth="1"/>
    <col min="13" max="13" width="7" customWidth="1"/>
    <col min="14" max="14" width="7.625" bestFit="1" customWidth="1"/>
    <col min="15" max="15" width="7.25" bestFit="1" customWidth="1"/>
    <col min="16" max="16" width="8.625" bestFit="1" customWidth="1"/>
    <col min="17" max="17" width="7.25" bestFit="1" customWidth="1"/>
    <col min="18" max="19" width="7.25" customWidth="1"/>
    <col min="20" max="20" width="7.625" bestFit="1" customWidth="1"/>
    <col min="21" max="21" width="6.25" bestFit="1" customWidth="1"/>
    <col min="22" max="22" width="7.625" bestFit="1" customWidth="1"/>
    <col min="23" max="23" width="7.25" bestFit="1" customWidth="1"/>
    <col min="24" max="24" width="8.625" bestFit="1" customWidth="1"/>
    <col min="25" max="25" width="7.25" bestFit="1" customWidth="1"/>
    <col min="26" max="27" width="7.125" customWidth="1"/>
    <col min="28" max="35" width="7.5" customWidth="1"/>
    <col min="36" max="43" width="8" customWidth="1"/>
    <col min="44" max="50" width="7.5" customWidth="1"/>
    <col min="52" max="52" width="1.125" customWidth="1"/>
    <col min="54" max="54" width="11.125" customWidth="1"/>
  </cols>
  <sheetData>
    <row r="1" spans="1:55" ht="14.25">
      <c r="A1" s="811" t="s">
        <v>273</v>
      </c>
      <c r="B1" s="812"/>
      <c r="C1" s="812"/>
      <c r="D1" s="813"/>
      <c r="F1" s="824" t="s">
        <v>274</v>
      </c>
      <c r="G1" s="824"/>
      <c r="H1" s="824"/>
      <c r="I1" s="824"/>
      <c r="J1" s="824"/>
      <c r="K1" s="824"/>
      <c r="L1" s="824"/>
      <c r="M1" s="824"/>
      <c r="N1" s="824"/>
      <c r="O1" s="824"/>
      <c r="P1" s="824"/>
      <c r="Q1" s="824"/>
      <c r="R1" s="824"/>
      <c r="S1" s="824"/>
      <c r="T1" s="824"/>
      <c r="U1" s="824"/>
      <c r="V1" s="824"/>
      <c r="W1" s="824"/>
      <c r="X1" s="824"/>
      <c r="AI1" s="823"/>
      <c r="AJ1" s="823"/>
      <c r="AK1" s="823"/>
      <c r="AL1" s="823"/>
      <c r="AM1" s="823"/>
      <c r="AN1" s="823"/>
      <c r="AO1" s="823"/>
      <c r="AP1" s="823"/>
      <c r="AQ1" s="823"/>
    </row>
    <row r="2" spans="1:55">
      <c r="A2" s="814"/>
      <c r="B2" s="815"/>
      <c r="C2" s="815"/>
      <c r="D2" s="816"/>
      <c r="F2" s="824"/>
      <c r="G2" s="824"/>
      <c r="H2" s="824"/>
      <c r="I2" s="824"/>
      <c r="J2" s="824"/>
      <c r="K2" s="824"/>
      <c r="L2" s="824"/>
      <c r="M2" s="824"/>
      <c r="N2" s="824"/>
      <c r="O2" s="824"/>
      <c r="P2" s="824"/>
      <c r="Q2" s="824"/>
      <c r="R2" s="824"/>
      <c r="S2" s="824"/>
      <c r="T2" s="824"/>
      <c r="U2" s="824"/>
      <c r="V2" s="824"/>
      <c r="W2" s="824"/>
      <c r="X2" s="824"/>
    </row>
    <row r="3" spans="1:55">
      <c r="A3" s="164"/>
      <c r="B3" s="164"/>
      <c r="C3" s="164"/>
      <c r="D3" s="164"/>
    </row>
    <row r="4" spans="1:55">
      <c r="D4" s="165">
        <f>ROUND((8.5-8)/8,3)</f>
        <v>6.3E-2</v>
      </c>
      <c r="E4" s="165">
        <f>ROUND((9-8)/8,3)</f>
        <v>0.125</v>
      </c>
      <c r="F4" s="165">
        <f>ROUND((9.5-8)/8,3)</f>
        <v>0.188</v>
      </c>
      <c r="G4" s="165">
        <f>ROUND((10-8)/8,3)</f>
        <v>0.25</v>
      </c>
      <c r="H4" s="165">
        <f>ROUND((10.5-8)/8,3)</f>
        <v>0.313</v>
      </c>
      <c r="I4" s="165">
        <f>ROUND((11-8)/8,3)</f>
        <v>0.375</v>
      </c>
      <c r="L4" s="165">
        <f>ROUND((8.5-8)/8,3)</f>
        <v>6.3E-2</v>
      </c>
      <c r="M4" s="165">
        <f>ROUND((9-8)/8,3)</f>
        <v>0.125</v>
      </c>
      <c r="N4" s="165">
        <f>ROUND((9.5-8)/8,3)</f>
        <v>0.188</v>
      </c>
      <c r="O4" s="165">
        <f>ROUND((10-8)/8,3)</f>
        <v>0.25</v>
      </c>
      <c r="P4" s="165">
        <f>ROUND((10.5-8)/8,3)</f>
        <v>0.313</v>
      </c>
      <c r="Q4" s="165">
        <f>ROUND((11-8)/8,3)</f>
        <v>0.375</v>
      </c>
      <c r="T4" s="165">
        <f>ROUND((8.5-8)/8,3)</f>
        <v>6.3E-2</v>
      </c>
      <c r="U4" s="165">
        <f>ROUND((9-8)/8,3)</f>
        <v>0.125</v>
      </c>
      <c r="V4" s="165">
        <f>ROUND((9.5-8)/8,3)</f>
        <v>0.188</v>
      </c>
      <c r="W4" s="165">
        <f>ROUND((10-8)/8,3)</f>
        <v>0.25</v>
      </c>
      <c r="X4" s="165">
        <f>ROUND((10.5-8)/8,3)</f>
        <v>0.313</v>
      </c>
      <c r="Y4" s="165">
        <f>ROUND((11-8)/8,3)</f>
        <v>0.375</v>
      </c>
      <c r="AB4" s="165">
        <f>ROUND((8.5-8)/8,3)</f>
        <v>6.3E-2</v>
      </c>
      <c r="AC4" s="165">
        <f>ROUND((9-8)/8,3)</f>
        <v>0.125</v>
      </c>
      <c r="AD4" s="165">
        <f>ROUND((9.5-8)/8,3)</f>
        <v>0.188</v>
      </c>
      <c r="AE4" s="165">
        <f>ROUND((10-8)/8,3)</f>
        <v>0.25</v>
      </c>
      <c r="AF4" s="165">
        <f>ROUND((10.5-8)/8,3)</f>
        <v>0.313</v>
      </c>
      <c r="AG4" s="165">
        <f>ROUND((11-8)/8,3)</f>
        <v>0.375</v>
      </c>
      <c r="AJ4" s="165">
        <f>ROUND((8.5-8)/8,3)</f>
        <v>6.3E-2</v>
      </c>
      <c r="AK4" s="165">
        <f>ROUND((9-8)/8,3)</f>
        <v>0.125</v>
      </c>
      <c r="AL4" s="165">
        <f>ROUND((9.5-8)/8,3)</f>
        <v>0.188</v>
      </c>
      <c r="AM4" s="165">
        <f>ROUND((10-8)/8,3)</f>
        <v>0.25</v>
      </c>
      <c r="AN4" s="165">
        <f>ROUND((10.5-8)/8,3)</f>
        <v>0.313</v>
      </c>
      <c r="AO4" s="165">
        <f>ROUND((11-8)/8,3)</f>
        <v>0.375</v>
      </c>
      <c r="AR4" s="165">
        <f>ROUND((8.5-8)/8,3)</f>
        <v>6.3E-2</v>
      </c>
      <c r="AS4" s="165">
        <f>ROUND((9-8)/8,3)</f>
        <v>0.125</v>
      </c>
      <c r="AT4" s="165">
        <f>ROUND((9.5-8)/8,3)</f>
        <v>0.188</v>
      </c>
      <c r="AU4" s="165">
        <f>ROUND((10-8)/8,3)</f>
        <v>0.25</v>
      </c>
      <c r="AV4" s="165">
        <f>ROUND((10.5-8)/8,3)</f>
        <v>0.313</v>
      </c>
      <c r="AW4" s="165">
        <f>ROUND((11-8)/8,3)</f>
        <v>0.375</v>
      </c>
    </row>
    <row r="5" spans="1:55" ht="20.25" customHeight="1">
      <c r="B5" s="817"/>
      <c r="C5" s="818"/>
      <c r="D5" s="821" t="s">
        <v>158</v>
      </c>
      <c r="E5" s="807"/>
      <c r="F5" s="807"/>
      <c r="G5" s="807"/>
      <c r="H5" s="807"/>
      <c r="I5" s="807"/>
      <c r="J5" s="807"/>
      <c r="K5" s="808"/>
      <c r="L5" s="806" t="s">
        <v>159</v>
      </c>
      <c r="M5" s="807"/>
      <c r="N5" s="807"/>
      <c r="O5" s="807"/>
      <c r="P5" s="807"/>
      <c r="Q5" s="807"/>
      <c r="R5" s="807"/>
      <c r="S5" s="808"/>
      <c r="T5" s="822" t="s">
        <v>160</v>
      </c>
      <c r="U5" s="512"/>
      <c r="V5" s="512"/>
      <c r="W5" s="512"/>
      <c r="X5" s="512"/>
      <c r="Y5" s="512"/>
      <c r="Z5" s="821"/>
      <c r="AA5" s="168"/>
      <c r="AB5" s="806" t="s">
        <v>161</v>
      </c>
      <c r="AC5" s="807"/>
      <c r="AD5" s="807"/>
      <c r="AE5" s="807"/>
      <c r="AF5" s="807"/>
      <c r="AG5" s="807"/>
      <c r="AH5" s="807"/>
      <c r="AI5" s="807"/>
      <c r="AJ5" s="807" t="s">
        <v>162</v>
      </c>
      <c r="AK5" s="807"/>
      <c r="AL5" s="807"/>
      <c r="AM5" s="807"/>
      <c r="AN5" s="807"/>
      <c r="AO5" s="807"/>
      <c r="AP5" s="807"/>
      <c r="AQ5" s="808"/>
      <c r="AR5" s="806" t="s">
        <v>163</v>
      </c>
      <c r="AS5" s="807"/>
      <c r="AT5" s="807"/>
      <c r="AU5" s="807"/>
      <c r="AV5" s="807"/>
      <c r="AW5" s="807"/>
      <c r="AX5" s="807"/>
      <c r="AY5" s="808"/>
      <c r="BA5" s="809" t="s">
        <v>164</v>
      </c>
      <c r="BB5" s="810" t="s">
        <v>165</v>
      </c>
      <c r="BC5" s="810" t="s">
        <v>166</v>
      </c>
    </row>
    <row r="6" spans="1:55" ht="16.5" customHeight="1">
      <c r="B6" s="819"/>
      <c r="C6" s="820"/>
      <c r="D6" s="156" t="s">
        <v>167</v>
      </c>
      <c r="E6" s="156" t="s">
        <v>168</v>
      </c>
      <c r="F6" s="156" t="s">
        <v>169</v>
      </c>
      <c r="G6" s="156" t="s">
        <v>170</v>
      </c>
      <c r="H6" s="156" t="s">
        <v>171</v>
      </c>
      <c r="I6" s="156" t="s">
        <v>172</v>
      </c>
      <c r="J6" s="166" t="s">
        <v>173</v>
      </c>
      <c r="K6" s="169" t="s">
        <v>174</v>
      </c>
      <c r="L6" s="170" t="s">
        <v>167</v>
      </c>
      <c r="M6" s="156" t="s">
        <v>168</v>
      </c>
      <c r="N6" s="156" t="s">
        <v>169</v>
      </c>
      <c r="O6" s="156" t="s">
        <v>170</v>
      </c>
      <c r="P6" s="156" t="s">
        <v>171</v>
      </c>
      <c r="Q6" s="156" t="s">
        <v>172</v>
      </c>
      <c r="R6" s="166" t="s">
        <v>173</v>
      </c>
      <c r="S6" s="169" t="s">
        <v>174</v>
      </c>
      <c r="T6" s="167" t="s">
        <v>167</v>
      </c>
      <c r="U6" s="156" t="s">
        <v>168</v>
      </c>
      <c r="V6" s="156" t="s">
        <v>169</v>
      </c>
      <c r="W6" s="156" t="s">
        <v>170</v>
      </c>
      <c r="X6" s="156" t="s">
        <v>171</v>
      </c>
      <c r="Y6" s="156" t="s">
        <v>172</v>
      </c>
      <c r="Z6" s="166" t="s">
        <v>173</v>
      </c>
      <c r="AA6" s="169" t="s">
        <v>174</v>
      </c>
      <c r="AB6" s="170" t="s">
        <v>167</v>
      </c>
      <c r="AC6" s="156" t="s">
        <v>168</v>
      </c>
      <c r="AD6" s="156" t="s">
        <v>169</v>
      </c>
      <c r="AE6" s="156" t="s">
        <v>170</v>
      </c>
      <c r="AF6" s="156" t="s">
        <v>171</v>
      </c>
      <c r="AG6" s="156" t="s">
        <v>172</v>
      </c>
      <c r="AH6" s="166" t="s">
        <v>173</v>
      </c>
      <c r="AI6" s="169" t="s">
        <v>174</v>
      </c>
      <c r="AJ6" s="167" t="s">
        <v>167</v>
      </c>
      <c r="AK6" s="156" t="s">
        <v>168</v>
      </c>
      <c r="AL6" s="156" t="s">
        <v>169</v>
      </c>
      <c r="AM6" s="156" t="s">
        <v>170</v>
      </c>
      <c r="AN6" s="156" t="s">
        <v>171</v>
      </c>
      <c r="AO6" s="156" t="s">
        <v>172</v>
      </c>
      <c r="AP6" s="166" t="s">
        <v>173</v>
      </c>
      <c r="AQ6" s="169" t="s">
        <v>174</v>
      </c>
      <c r="AR6" s="171" t="s">
        <v>167</v>
      </c>
      <c r="AS6" s="172" t="s">
        <v>168</v>
      </c>
      <c r="AT6" s="172" t="s">
        <v>169</v>
      </c>
      <c r="AU6" s="172" t="s">
        <v>170</v>
      </c>
      <c r="AV6" s="172" t="s">
        <v>171</v>
      </c>
      <c r="AW6" s="172" t="s">
        <v>172</v>
      </c>
      <c r="AX6" s="172" t="s">
        <v>173</v>
      </c>
      <c r="AY6" s="169" t="s">
        <v>174</v>
      </c>
      <c r="BA6" s="809"/>
      <c r="BB6" s="810"/>
      <c r="BC6" s="810"/>
    </row>
    <row r="7" spans="1:55" ht="18.75" customHeight="1">
      <c r="B7" s="800" t="s">
        <v>11</v>
      </c>
      <c r="C7" s="173" t="s">
        <v>175</v>
      </c>
      <c r="D7" s="209"/>
      <c r="E7" s="209"/>
      <c r="F7" s="209"/>
      <c r="G7" s="209"/>
      <c r="H7" s="209"/>
      <c r="I7" s="209"/>
      <c r="J7" s="174">
        <f>SUM(D7:I7)</f>
        <v>0</v>
      </c>
      <c r="K7" s="802">
        <f>ROUND(J8/3*J7,2)</f>
        <v>0</v>
      </c>
      <c r="L7" s="209"/>
      <c r="M7" s="209"/>
      <c r="N7" s="209"/>
      <c r="O7" s="209"/>
      <c r="P7" s="209"/>
      <c r="Q7" s="209"/>
      <c r="R7" s="175">
        <f>SUM(L7:Q7)</f>
        <v>0</v>
      </c>
      <c r="S7" s="802">
        <f>ROUND(R8/5*R7,2)</f>
        <v>0</v>
      </c>
      <c r="T7" s="209"/>
      <c r="U7" s="209"/>
      <c r="V7" s="209"/>
      <c r="W7" s="209"/>
      <c r="X7" s="209"/>
      <c r="Y7" s="209"/>
      <c r="Z7" s="174">
        <f>SUM(T7:Y7)</f>
        <v>0</v>
      </c>
      <c r="AA7" s="802">
        <f>ROUND(Z8/6*Z7,2)</f>
        <v>0</v>
      </c>
      <c r="AB7" s="209"/>
      <c r="AC7" s="209"/>
      <c r="AD7" s="209"/>
      <c r="AE7" s="209"/>
      <c r="AF7" s="209"/>
      <c r="AG7" s="209"/>
      <c r="AH7" s="174">
        <f>SUM(AB7:AG7)</f>
        <v>0</v>
      </c>
      <c r="AI7" s="802">
        <f>ROUND(AH8/15*AH7,2)</f>
        <v>0</v>
      </c>
      <c r="AJ7" s="209"/>
      <c r="AK7" s="209"/>
      <c r="AL7" s="209"/>
      <c r="AM7" s="209"/>
      <c r="AN7" s="209"/>
      <c r="AO7" s="209"/>
      <c r="AP7" s="174">
        <f>SUM(AJ7:AO7)</f>
        <v>0</v>
      </c>
      <c r="AQ7" s="802">
        <f>ROUND(AP8/20*AP7,2)</f>
        <v>0</v>
      </c>
      <c r="AR7" s="209"/>
      <c r="AS7" s="209"/>
      <c r="AT7" s="209"/>
      <c r="AU7" s="209"/>
      <c r="AV7" s="209"/>
      <c r="AW7" s="209"/>
      <c r="AX7" s="176">
        <f>SUM(AR7:AW7)</f>
        <v>0</v>
      </c>
      <c r="AY7" s="802">
        <f>ROUND(AX8/25*AX7,2)</f>
        <v>0</v>
      </c>
      <c r="BA7" s="796">
        <f>ROUND(AY7+AQ7+AI7+AA7+S7+K7,1)</f>
        <v>0</v>
      </c>
      <c r="BB7" s="155" t="str">
        <f>IF(J7+R7=0,"×","○")</f>
        <v>×</v>
      </c>
      <c r="BC7" s="177">
        <f>SUM(J7,R7,Z7,AH7,AP7,AX7)</f>
        <v>0</v>
      </c>
    </row>
    <row r="8" spans="1:55" ht="18.75" customHeight="1">
      <c r="B8" s="805"/>
      <c r="C8" s="178" t="s">
        <v>176</v>
      </c>
      <c r="D8" s="179">
        <f t="shared" ref="D8:I8" si="0">D$4*D7</f>
        <v>0</v>
      </c>
      <c r="E8" s="179">
        <f t="shared" si="0"/>
        <v>0</v>
      </c>
      <c r="F8" s="179">
        <f t="shared" si="0"/>
        <v>0</v>
      </c>
      <c r="G8" s="179">
        <f t="shared" si="0"/>
        <v>0</v>
      </c>
      <c r="H8" s="179">
        <f t="shared" si="0"/>
        <v>0</v>
      </c>
      <c r="I8" s="179">
        <f t="shared" si="0"/>
        <v>0</v>
      </c>
      <c r="J8" s="180">
        <f>IFERROR(ROUND(SUM(D8:I8)/J7,3),0)</f>
        <v>0</v>
      </c>
      <c r="K8" s="803"/>
      <c r="L8" s="181">
        <f t="shared" ref="L8:Q8" si="1">L$4*L7</f>
        <v>0</v>
      </c>
      <c r="M8" s="179">
        <f t="shared" si="1"/>
        <v>0</v>
      </c>
      <c r="N8" s="179">
        <f t="shared" si="1"/>
        <v>0</v>
      </c>
      <c r="O8" s="179">
        <f t="shared" si="1"/>
        <v>0</v>
      </c>
      <c r="P8" s="179">
        <f t="shared" si="1"/>
        <v>0</v>
      </c>
      <c r="Q8" s="179">
        <f t="shared" si="1"/>
        <v>0</v>
      </c>
      <c r="R8" s="180">
        <f>IFERROR(ROUND(SUM(L8:Q8)/R7,3),)</f>
        <v>0</v>
      </c>
      <c r="S8" s="803"/>
      <c r="T8" s="182">
        <f t="shared" ref="T8:Y8" si="2">T$4*T7</f>
        <v>0</v>
      </c>
      <c r="U8" s="179">
        <f t="shared" si="2"/>
        <v>0</v>
      </c>
      <c r="V8" s="179">
        <f t="shared" si="2"/>
        <v>0</v>
      </c>
      <c r="W8" s="179">
        <f t="shared" si="2"/>
        <v>0</v>
      </c>
      <c r="X8" s="179">
        <f t="shared" si="2"/>
        <v>0</v>
      </c>
      <c r="Y8" s="179">
        <f t="shared" si="2"/>
        <v>0</v>
      </c>
      <c r="Z8" s="180">
        <f>IFERROR(ROUND(SUM(T8:Y8)/Z7,3),0)</f>
        <v>0</v>
      </c>
      <c r="AA8" s="803"/>
      <c r="AB8" s="181">
        <f t="shared" ref="AB8:AG8" si="3">AB$4*AB7</f>
        <v>0</v>
      </c>
      <c r="AC8" s="179">
        <f t="shared" si="3"/>
        <v>0</v>
      </c>
      <c r="AD8" s="179">
        <f t="shared" si="3"/>
        <v>0</v>
      </c>
      <c r="AE8" s="179">
        <f t="shared" si="3"/>
        <v>0</v>
      </c>
      <c r="AF8" s="179">
        <f t="shared" si="3"/>
        <v>0</v>
      </c>
      <c r="AG8" s="179">
        <f t="shared" si="3"/>
        <v>0</v>
      </c>
      <c r="AH8" s="180">
        <f>IFERROR(ROUND(SUM(AB8:AG8)/AH7,3),0)</f>
        <v>0</v>
      </c>
      <c r="AI8" s="803"/>
      <c r="AJ8" s="182">
        <f t="shared" ref="AJ8:AO8" si="4">AJ$4*AJ7</f>
        <v>0</v>
      </c>
      <c r="AK8" s="179">
        <f t="shared" si="4"/>
        <v>0</v>
      </c>
      <c r="AL8" s="179">
        <f t="shared" si="4"/>
        <v>0</v>
      </c>
      <c r="AM8" s="179">
        <f t="shared" si="4"/>
        <v>0</v>
      </c>
      <c r="AN8" s="179">
        <f t="shared" si="4"/>
        <v>0</v>
      </c>
      <c r="AO8" s="179">
        <f t="shared" si="4"/>
        <v>0</v>
      </c>
      <c r="AP8" s="180">
        <f>IFERROR(ROUND(SUM(AJ8:AO8)/AP7,3),0)</f>
        <v>0</v>
      </c>
      <c r="AQ8" s="803"/>
      <c r="AR8" s="181">
        <f t="shared" ref="AR8:AW8" si="5">AR$4*AR7</f>
        <v>0</v>
      </c>
      <c r="AS8" s="179">
        <f t="shared" si="5"/>
        <v>0</v>
      </c>
      <c r="AT8" s="179">
        <f t="shared" si="5"/>
        <v>0</v>
      </c>
      <c r="AU8" s="179">
        <f t="shared" si="5"/>
        <v>0</v>
      </c>
      <c r="AV8" s="179">
        <f t="shared" si="5"/>
        <v>0</v>
      </c>
      <c r="AW8" s="179">
        <f t="shared" si="5"/>
        <v>0</v>
      </c>
      <c r="AX8" s="179">
        <f>IFERROR(ROUND(SUM(AR8:AW8)/AX7,3),0)</f>
        <v>0</v>
      </c>
      <c r="AY8" s="803"/>
      <c r="BA8" s="796"/>
      <c r="BB8" s="155"/>
      <c r="BC8" s="183"/>
    </row>
    <row r="9" spans="1:55" ht="18.75" customHeight="1">
      <c r="B9" s="800" t="s">
        <v>177</v>
      </c>
      <c r="C9" s="173" t="s">
        <v>175</v>
      </c>
      <c r="D9" s="209"/>
      <c r="E9" s="209"/>
      <c r="F9" s="209"/>
      <c r="G9" s="209"/>
      <c r="H9" s="209"/>
      <c r="I9" s="209"/>
      <c r="J9" s="175">
        <f>SUM(D9:I9)</f>
        <v>0</v>
      </c>
      <c r="K9" s="802">
        <f>ROUND(J10/3*J9,2)</f>
        <v>0</v>
      </c>
      <c r="L9" s="209"/>
      <c r="M9" s="209"/>
      <c r="N9" s="209"/>
      <c r="O9" s="209"/>
      <c r="P9" s="209"/>
      <c r="Q9" s="209"/>
      <c r="R9" s="175">
        <f>SUM(L9:Q9)</f>
        <v>0</v>
      </c>
      <c r="S9" s="802">
        <f>ROUND(R10/5*R9,2)</f>
        <v>0</v>
      </c>
      <c r="T9" s="209"/>
      <c r="U9" s="209"/>
      <c r="V9" s="209"/>
      <c r="W9" s="209"/>
      <c r="X9" s="209"/>
      <c r="Y9" s="209"/>
      <c r="Z9" s="174">
        <f>SUM(T9:Y9)</f>
        <v>0</v>
      </c>
      <c r="AA9" s="802">
        <f>ROUND(Z10/6*Z9,2)</f>
        <v>0</v>
      </c>
      <c r="AB9" s="209"/>
      <c r="AC9" s="209"/>
      <c r="AD9" s="209"/>
      <c r="AE9" s="209"/>
      <c r="AF9" s="209"/>
      <c r="AG9" s="209"/>
      <c r="AH9" s="174">
        <f>SUM(AB9:AG9)</f>
        <v>0</v>
      </c>
      <c r="AI9" s="802">
        <f>ROUND(AH10/15*AH9,2)</f>
        <v>0</v>
      </c>
      <c r="AJ9" s="209"/>
      <c r="AK9" s="209"/>
      <c r="AL9" s="209"/>
      <c r="AM9" s="209"/>
      <c r="AN9" s="209"/>
      <c r="AO9" s="209"/>
      <c r="AP9" s="174">
        <f>SUM(AJ9:AO9)</f>
        <v>0</v>
      </c>
      <c r="AQ9" s="802">
        <f>ROUND(AP10/20*AP9,2)</f>
        <v>0</v>
      </c>
      <c r="AR9" s="209"/>
      <c r="AS9" s="209"/>
      <c r="AT9" s="209"/>
      <c r="AU9" s="209"/>
      <c r="AV9" s="209"/>
      <c r="AW9" s="209"/>
      <c r="AX9" s="176">
        <f>SUM(AR9:AW9)</f>
        <v>0</v>
      </c>
      <c r="AY9" s="802">
        <f>ROUND(AX10/25*AX9,2)</f>
        <v>0</v>
      </c>
      <c r="BA9" s="796">
        <f>ROUND(AY9+AQ9+AI9+AA9+S9+K9,1)</f>
        <v>0</v>
      </c>
      <c r="BB9" s="155" t="str">
        <f>IF(J9+R9=0,"×","○")</f>
        <v>×</v>
      </c>
      <c r="BC9" s="177">
        <f>SUM(J9,R9,Z9,AH9,AP9,AX9)</f>
        <v>0</v>
      </c>
    </row>
    <row r="10" spans="1:55" ht="18.75" customHeight="1">
      <c r="B10" s="805"/>
      <c r="C10" s="184" t="s">
        <v>176</v>
      </c>
      <c r="D10" s="179">
        <f t="shared" ref="D10:I10" si="6">D$4*D9</f>
        <v>0</v>
      </c>
      <c r="E10" s="179">
        <f t="shared" si="6"/>
        <v>0</v>
      </c>
      <c r="F10" s="179">
        <f t="shared" si="6"/>
        <v>0</v>
      </c>
      <c r="G10" s="179">
        <f t="shared" si="6"/>
        <v>0</v>
      </c>
      <c r="H10" s="179">
        <f t="shared" si="6"/>
        <v>0</v>
      </c>
      <c r="I10" s="179">
        <f t="shared" si="6"/>
        <v>0</v>
      </c>
      <c r="J10" s="180">
        <f>IFERROR(ROUND(SUM(D10:I10)/J9,3),0)</f>
        <v>0</v>
      </c>
      <c r="K10" s="803"/>
      <c r="L10" s="181">
        <f t="shared" ref="L10:Q10" si="7">L$4*L9</f>
        <v>0</v>
      </c>
      <c r="M10" s="179">
        <f t="shared" si="7"/>
        <v>0</v>
      </c>
      <c r="N10" s="179">
        <f t="shared" si="7"/>
        <v>0</v>
      </c>
      <c r="O10" s="179">
        <f t="shared" si="7"/>
        <v>0</v>
      </c>
      <c r="P10" s="179">
        <f t="shared" si="7"/>
        <v>0</v>
      </c>
      <c r="Q10" s="179">
        <f t="shared" si="7"/>
        <v>0</v>
      </c>
      <c r="R10" s="180">
        <f>IFERROR(ROUND(SUM(L10:Q10)/R9,3),0)</f>
        <v>0</v>
      </c>
      <c r="S10" s="803"/>
      <c r="T10" s="182">
        <f t="shared" ref="T10:Y10" si="8">T$4*T9</f>
        <v>0</v>
      </c>
      <c r="U10" s="179">
        <f t="shared" si="8"/>
        <v>0</v>
      </c>
      <c r="V10" s="179">
        <f t="shared" si="8"/>
        <v>0</v>
      </c>
      <c r="W10" s="179">
        <f t="shared" si="8"/>
        <v>0</v>
      </c>
      <c r="X10" s="179">
        <f t="shared" si="8"/>
        <v>0</v>
      </c>
      <c r="Y10" s="179">
        <f t="shared" si="8"/>
        <v>0</v>
      </c>
      <c r="Z10" s="180">
        <f>IFERROR(ROUND(SUM(T10:Y10)/Z9,3),0)</f>
        <v>0</v>
      </c>
      <c r="AA10" s="803"/>
      <c r="AB10" s="181">
        <f t="shared" ref="AB10:AG10" si="9">AB$4*AB9</f>
        <v>0</v>
      </c>
      <c r="AC10" s="179">
        <f t="shared" si="9"/>
        <v>0</v>
      </c>
      <c r="AD10" s="179">
        <f t="shared" si="9"/>
        <v>0</v>
      </c>
      <c r="AE10" s="179">
        <f t="shared" si="9"/>
        <v>0</v>
      </c>
      <c r="AF10" s="179">
        <f t="shared" si="9"/>
        <v>0</v>
      </c>
      <c r="AG10" s="179">
        <f t="shared" si="9"/>
        <v>0</v>
      </c>
      <c r="AH10" s="180">
        <f>IFERROR(ROUND(SUM(AB10:AG10)/AH9,3),0)</f>
        <v>0</v>
      </c>
      <c r="AI10" s="803"/>
      <c r="AJ10" s="182">
        <f t="shared" ref="AJ10:AO10" si="10">AJ$4*AJ9</f>
        <v>0</v>
      </c>
      <c r="AK10" s="179">
        <f t="shared" si="10"/>
        <v>0</v>
      </c>
      <c r="AL10" s="179">
        <f t="shared" si="10"/>
        <v>0</v>
      </c>
      <c r="AM10" s="179">
        <f t="shared" si="10"/>
        <v>0</v>
      </c>
      <c r="AN10" s="179">
        <f t="shared" si="10"/>
        <v>0</v>
      </c>
      <c r="AO10" s="179">
        <f t="shared" si="10"/>
        <v>0</v>
      </c>
      <c r="AP10" s="180">
        <f>IFERROR(ROUND(SUM(AJ10:AO10)/AP9,3),0)</f>
        <v>0</v>
      </c>
      <c r="AQ10" s="803"/>
      <c r="AR10" s="181">
        <f t="shared" ref="AR10:AW10" si="11">AR$4*AR9</f>
        <v>0</v>
      </c>
      <c r="AS10" s="179">
        <f t="shared" si="11"/>
        <v>0</v>
      </c>
      <c r="AT10" s="179">
        <f t="shared" si="11"/>
        <v>0</v>
      </c>
      <c r="AU10" s="179">
        <f t="shared" si="11"/>
        <v>0</v>
      </c>
      <c r="AV10" s="179">
        <f t="shared" si="11"/>
        <v>0</v>
      </c>
      <c r="AW10" s="179">
        <f t="shared" si="11"/>
        <v>0</v>
      </c>
      <c r="AX10" s="179">
        <f>IFERROR(ROUND(SUM(AR10:AW10)/AX9,3),0)</f>
        <v>0</v>
      </c>
      <c r="AY10" s="803"/>
      <c r="BA10" s="796"/>
      <c r="BB10" s="155"/>
      <c r="BC10" s="183"/>
    </row>
    <row r="11" spans="1:55" ht="18.75" customHeight="1">
      <c r="B11" s="800" t="s">
        <v>178</v>
      </c>
      <c r="C11" s="173" t="s">
        <v>175</v>
      </c>
      <c r="D11" s="209"/>
      <c r="E11" s="209"/>
      <c r="F11" s="209"/>
      <c r="G11" s="209"/>
      <c r="H11" s="209"/>
      <c r="I11" s="209"/>
      <c r="J11" s="174">
        <f>SUM(D11:I11)</f>
        <v>0</v>
      </c>
      <c r="K11" s="802">
        <f>ROUND(J12/3*J11,2)</f>
        <v>0</v>
      </c>
      <c r="L11" s="209"/>
      <c r="M11" s="209"/>
      <c r="N11" s="209"/>
      <c r="O11" s="209"/>
      <c r="P11" s="209"/>
      <c r="Q11" s="209"/>
      <c r="R11" s="175">
        <f>SUM(L11:Q11)</f>
        <v>0</v>
      </c>
      <c r="S11" s="802">
        <f>ROUND(R12/5*R11,2)</f>
        <v>0</v>
      </c>
      <c r="T11" s="209"/>
      <c r="U11" s="209"/>
      <c r="V11" s="209"/>
      <c r="W11" s="209"/>
      <c r="X11" s="209"/>
      <c r="Y11" s="209"/>
      <c r="Z11" s="174">
        <f>SUM(T11:Y11)</f>
        <v>0</v>
      </c>
      <c r="AA11" s="802">
        <f>ROUND(Z12/6*Z11,2)</f>
        <v>0</v>
      </c>
      <c r="AB11" s="209"/>
      <c r="AC11" s="209"/>
      <c r="AD11" s="209"/>
      <c r="AE11" s="209"/>
      <c r="AF11" s="209"/>
      <c r="AG11" s="209"/>
      <c r="AH11" s="174">
        <f>SUM(AB11:AG11)</f>
        <v>0</v>
      </c>
      <c r="AI11" s="802">
        <f>ROUND(AH12/15*AH11,2)</f>
        <v>0</v>
      </c>
      <c r="AJ11" s="209"/>
      <c r="AK11" s="209"/>
      <c r="AL11" s="209"/>
      <c r="AM11" s="209"/>
      <c r="AN11" s="209"/>
      <c r="AO11" s="209"/>
      <c r="AP11" s="174">
        <f>SUM(AJ11:AO11)</f>
        <v>0</v>
      </c>
      <c r="AQ11" s="802">
        <f>ROUND(AP12/20*AP11,2)</f>
        <v>0</v>
      </c>
      <c r="AR11" s="209"/>
      <c r="AS11" s="209"/>
      <c r="AT11" s="209"/>
      <c r="AU11" s="209"/>
      <c r="AV11" s="209"/>
      <c r="AW11" s="209"/>
      <c r="AX11" s="176">
        <f>SUM(AR11:AW11)</f>
        <v>0</v>
      </c>
      <c r="AY11" s="802">
        <f>ROUND(AX12/25*AX11,2)</f>
        <v>0</v>
      </c>
      <c r="BA11" s="796">
        <f>ROUND(AY11+AQ11+AI11+AA11+S11+K11,1)</f>
        <v>0</v>
      </c>
      <c r="BB11" s="155" t="str">
        <f>IF(J11+R11=0,"×","○")</f>
        <v>×</v>
      </c>
      <c r="BC11" s="177">
        <f>SUM(J11,R11,Z11,AH11,AP11,AX11)</f>
        <v>0</v>
      </c>
    </row>
    <row r="12" spans="1:55" ht="18.75" customHeight="1">
      <c r="B12" s="805"/>
      <c r="C12" s="178" t="s">
        <v>176</v>
      </c>
      <c r="D12" s="179">
        <f t="shared" ref="D12:I12" si="12">D$4*D11</f>
        <v>0</v>
      </c>
      <c r="E12" s="179">
        <f t="shared" si="12"/>
        <v>0</v>
      </c>
      <c r="F12" s="179">
        <f t="shared" si="12"/>
        <v>0</v>
      </c>
      <c r="G12" s="179">
        <f t="shared" si="12"/>
        <v>0</v>
      </c>
      <c r="H12" s="179">
        <f t="shared" si="12"/>
        <v>0</v>
      </c>
      <c r="I12" s="179">
        <f t="shared" si="12"/>
        <v>0</v>
      </c>
      <c r="J12" s="180">
        <f>IFERROR(ROUND(SUM(D12:I12)/J11,3),0)</f>
        <v>0</v>
      </c>
      <c r="K12" s="803"/>
      <c r="L12" s="181">
        <f t="shared" ref="L12:Q12" si="13">L$4*L11</f>
        <v>0</v>
      </c>
      <c r="M12" s="179">
        <f t="shared" si="13"/>
        <v>0</v>
      </c>
      <c r="N12" s="179">
        <f t="shared" si="13"/>
        <v>0</v>
      </c>
      <c r="O12" s="179">
        <f t="shared" si="13"/>
        <v>0</v>
      </c>
      <c r="P12" s="179">
        <f t="shared" si="13"/>
        <v>0</v>
      </c>
      <c r="Q12" s="179">
        <f t="shared" si="13"/>
        <v>0</v>
      </c>
      <c r="R12" s="180">
        <f>IFERROR(ROUND(SUM(L12:Q12)/R11,3),0)</f>
        <v>0</v>
      </c>
      <c r="S12" s="803"/>
      <c r="T12" s="182">
        <f t="shared" ref="T12:Y12" si="14">T$4*T11</f>
        <v>0</v>
      </c>
      <c r="U12" s="179">
        <f t="shared" si="14"/>
        <v>0</v>
      </c>
      <c r="V12" s="179">
        <f t="shared" si="14"/>
        <v>0</v>
      </c>
      <c r="W12" s="179">
        <f t="shared" si="14"/>
        <v>0</v>
      </c>
      <c r="X12" s="179">
        <f t="shared" si="14"/>
        <v>0</v>
      </c>
      <c r="Y12" s="179">
        <f t="shared" si="14"/>
        <v>0</v>
      </c>
      <c r="Z12" s="180">
        <f>IFERROR(ROUND(SUM(T12:Y12)/Z11,3),0)</f>
        <v>0</v>
      </c>
      <c r="AA12" s="803"/>
      <c r="AB12" s="181">
        <f t="shared" ref="AB12:AG12" si="15">AB$4*AB11</f>
        <v>0</v>
      </c>
      <c r="AC12" s="179">
        <f t="shared" si="15"/>
        <v>0</v>
      </c>
      <c r="AD12" s="179">
        <f t="shared" si="15"/>
        <v>0</v>
      </c>
      <c r="AE12" s="179">
        <f t="shared" si="15"/>
        <v>0</v>
      </c>
      <c r="AF12" s="179">
        <f t="shared" si="15"/>
        <v>0</v>
      </c>
      <c r="AG12" s="179">
        <f t="shared" si="15"/>
        <v>0</v>
      </c>
      <c r="AH12" s="180">
        <f>IFERROR(ROUND(SUM(AB12:AG12)/AH11,3),0)</f>
        <v>0</v>
      </c>
      <c r="AI12" s="803"/>
      <c r="AJ12" s="182">
        <f t="shared" ref="AJ12:AO12" si="16">AJ$4*AJ11</f>
        <v>0</v>
      </c>
      <c r="AK12" s="179">
        <f t="shared" si="16"/>
        <v>0</v>
      </c>
      <c r="AL12" s="179">
        <f t="shared" si="16"/>
        <v>0</v>
      </c>
      <c r="AM12" s="179">
        <f t="shared" si="16"/>
        <v>0</v>
      </c>
      <c r="AN12" s="179">
        <f t="shared" si="16"/>
        <v>0</v>
      </c>
      <c r="AO12" s="179">
        <f t="shared" si="16"/>
        <v>0</v>
      </c>
      <c r="AP12" s="180">
        <f>IFERROR(ROUND(SUM(AJ12:AO12)/AP11,3),0)</f>
        <v>0</v>
      </c>
      <c r="AQ12" s="803"/>
      <c r="AR12" s="181">
        <f t="shared" ref="AR12:AW12" si="17">AR$4*AR11</f>
        <v>0</v>
      </c>
      <c r="AS12" s="179">
        <f t="shared" si="17"/>
        <v>0</v>
      </c>
      <c r="AT12" s="179">
        <f t="shared" si="17"/>
        <v>0</v>
      </c>
      <c r="AU12" s="179">
        <f t="shared" si="17"/>
        <v>0</v>
      </c>
      <c r="AV12" s="179">
        <f t="shared" si="17"/>
        <v>0</v>
      </c>
      <c r="AW12" s="179">
        <f t="shared" si="17"/>
        <v>0</v>
      </c>
      <c r="AX12" s="179">
        <f>IFERROR(ROUND(SUM(AR12:AW12)/AX11,3),0)</f>
        <v>0</v>
      </c>
      <c r="AY12" s="803"/>
      <c r="BA12" s="796"/>
      <c r="BB12" s="155"/>
      <c r="BC12" s="183"/>
    </row>
    <row r="13" spans="1:55" ht="18.75" customHeight="1">
      <c r="B13" s="800" t="s">
        <v>179</v>
      </c>
      <c r="C13" s="173" t="s">
        <v>175</v>
      </c>
      <c r="D13" s="209"/>
      <c r="E13" s="209"/>
      <c r="F13" s="209"/>
      <c r="G13" s="209"/>
      <c r="H13" s="209"/>
      <c r="I13" s="209"/>
      <c r="J13" s="175">
        <f>SUM(D13:I13)</f>
        <v>0</v>
      </c>
      <c r="K13" s="802">
        <f>ROUND(J14/3*J13,2)</f>
        <v>0</v>
      </c>
      <c r="L13" s="209"/>
      <c r="M13" s="209"/>
      <c r="N13" s="209"/>
      <c r="O13" s="209"/>
      <c r="P13" s="209"/>
      <c r="Q13" s="209"/>
      <c r="R13" s="175">
        <f>SUM(L13:Q13)</f>
        <v>0</v>
      </c>
      <c r="S13" s="802">
        <f>ROUND(R14/5*R13,2)</f>
        <v>0</v>
      </c>
      <c r="T13" s="209"/>
      <c r="U13" s="209"/>
      <c r="V13" s="209"/>
      <c r="W13" s="209"/>
      <c r="X13" s="209"/>
      <c r="Y13" s="209"/>
      <c r="Z13" s="174">
        <f>SUM(T13:Y13)</f>
        <v>0</v>
      </c>
      <c r="AA13" s="802">
        <f>ROUND(Z14/6*Z13,2)</f>
        <v>0</v>
      </c>
      <c r="AB13" s="209"/>
      <c r="AC13" s="209"/>
      <c r="AD13" s="209"/>
      <c r="AE13" s="209"/>
      <c r="AF13" s="209"/>
      <c r="AG13" s="209"/>
      <c r="AH13" s="174">
        <f>SUM(AB13:AG13)</f>
        <v>0</v>
      </c>
      <c r="AI13" s="802">
        <f>ROUND(AH14/15*AH13,2)</f>
        <v>0</v>
      </c>
      <c r="AJ13" s="209"/>
      <c r="AK13" s="209"/>
      <c r="AL13" s="209"/>
      <c r="AM13" s="209"/>
      <c r="AN13" s="209"/>
      <c r="AO13" s="209"/>
      <c r="AP13" s="174">
        <f>SUM(AJ13:AO13)</f>
        <v>0</v>
      </c>
      <c r="AQ13" s="802">
        <f>ROUND(AP14/20*AP13,2)</f>
        <v>0</v>
      </c>
      <c r="AR13" s="209"/>
      <c r="AS13" s="209"/>
      <c r="AT13" s="209"/>
      <c r="AU13" s="209"/>
      <c r="AV13" s="209"/>
      <c r="AW13" s="209"/>
      <c r="AX13" s="176">
        <f>SUM(AR13:AW13)</f>
        <v>0</v>
      </c>
      <c r="AY13" s="802">
        <f>ROUND(AX14/25*AX13,2)</f>
        <v>0</v>
      </c>
      <c r="BA13" s="796">
        <f>ROUND(AY13+AQ13+AI13+AA13+S13+K13,1)</f>
        <v>0</v>
      </c>
      <c r="BB13" s="155" t="str">
        <f>IF(J13+R13=0,"×","○")</f>
        <v>×</v>
      </c>
      <c r="BC13" s="177">
        <f>SUM(J13,R13,Z13,AH13,AP13,AX13)</f>
        <v>0</v>
      </c>
    </row>
    <row r="14" spans="1:55" ht="18.75" customHeight="1">
      <c r="B14" s="805"/>
      <c r="C14" s="184" t="s">
        <v>176</v>
      </c>
      <c r="D14" s="179">
        <f t="shared" ref="D14:I14" si="18">D$4*D13</f>
        <v>0</v>
      </c>
      <c r="E14" s="179">
        <f t="shared" si="18"/>
        <v>0</v>
      </c>
      <c r="F14" s="179">
        <f t="shared" si="18"/>
        <v>0</v>
      </c>
      <c r="G14" s="179">
        <f t="shared" si="18"/>
        <v>0</v>
      </c>
      <c r="H14" s="179">
        <f t="shared" si="18"/>
        <v>0</v>
      </c>
      <c r="I14" s="179">
        <f t="shared" si="18"/>
        <v>0</v>
      </c>
      <c r="J14" s="180">
        <f>IFERROR(ROUND(SUM(D14:I14)/J13,3),0)</f>
        <v>0</v>
      </c>
      <c r="K14" s="803"/>
      <c r="L14" s="181">
        <f t="shared" ref="L14:Q14" si="19">L$4*L13</f>
        <v>0</v>
      </c>
      <c r="M14" s="179">
        <f t="shared" si="19"/>
        <v>0</v>
      </c>
      <c r="N14" s="179">
        <f t="shared" si="19"/>
        <v>0</v>
      </c>
      <c r="O14" s="179">
        <f t="shared" si="19"/>
        <v>0</v>
      </c>
      <c r="P14" s="179">
        <f t="shared" si="19"/>
        <v>0</v>
      </c>
      <c r="Q14" s="179">
        <f t="shared" si="19"/>
        <v>0</v>
      </c>
      <c r="R14" s="180">
        <f>IFERROR(ROUND(SUM(L14:Q14)/R13,3),0)</f>
        <v>0</v>
      </c>
      <c r="S14" s="803"/>
      <c r="T14" s="182">
        <f t="shared" ref="T14:Y14" si="20">T$4*T13</f>
        <v>0</v>
      </c>
      <c r="U14" s="179">
        <f t="shared" si="20"/>
        <v>0</v>
      </c>
      <c r="V14" s="179">
        <f t="shared" si="20"/>
        <v>0</v>
      </c>
      <c r="W14" s="179">
        <f t="shared" si="20"/>
        <v>0</v>
      </c>
      <c r="X14" s="179">
        <f t="shared" si="20"/>
        <v>0</v>
      </c>
      <c r="Y14" s="179">
        <f t="shared" si="20"/>
        <v>0</v>
      </c>
      <c r="Z14" s="180">
        <f>IFERROR(ROUND(SUM(T14:Y14)/Z13,3),0)</f>
        <v>0</v>
      </c>
      <c r="AA14" s="803"/>
      <c r="AB14" s="181">
        <f t="shared" ref="AB14:AG14" si="21">AB$4*AB13</f>
        <v>0</v>
      </c>
      <c r="AC14" s="179">
        <f t="shared" si="21"/>
        <v>0</v>
      </c>
      <c r="AD14" s="179">
        <f t="shared" si="21"/>
        <v>0</v>
      </c>
      <c r="AE14" s="179">
        <f t="shared" si="21"/>
        <v>0</v>
      </c>
      <c r="AF14" s="179">
        <f t="shared" si="21"/>
        <v>0</v>
      </c>
      <c r="AG14" s="179">
        <f t="shared" si="21"/>
        <v>0</v>
      </c>
      <c r="AH14" s="180">
        <f>IFERROR(ROUND(SUM(AB14:AG14)/AH13,3),0)</f>
        <v>0</v>
      </c>
      <c r="AI14" s="803"/>
      <c r="AJ14" s="182">
        <f t="shared" ref="AJ14:AO14" si="22">AJ$4*AJ13</f>
        <v>0</v>
      </c>
      <c r="AK14" s="179">
        <f t="shared" si="22"/>
        <v>0</v>
      </c>
      <c r="AL14" s="179">
        <f t="shared" si="22"/>
        <v>0</v>
      </c>
      <c r="AM14" s="179">
        <f t="shared" si="22"/>
        <v>0</v>
      </c>
      <c r="AN14" s="179">
        <f t="shared" si="22"/>
        <v>0</v>
      </c>
      <c r="AO14" s="179">
        <f t="shared" si="22"/>
        <v>0</v>
      </c>
      <c r="AP14" s="180">
        <f>IFERROR(ROUND(SUM(AJ14:AO14)/AP13,3),0)</f>
        <v>0</v>
      </c>
      <c r="AQ14" s="803"/>
      <c r="AR14" s="181">
        <f t="shared" ref="AR14:AW14" si="23">AR$4*AR13</f>
        <v>0</v>
      </c>
      <c r="AS14" s="179">
        <f t="shared" si="23"/>
        <v>0</v>
      </c>
      <c r="AT14" s="179">
        <f t="shared" si="23"/>
        <v>0</v>
      </c>
      <c r="AU14" s="179">
        <f t="shared" si="23"/>
        <v>0</v>
      </c>
      <c r="AV14" s="179">
        <f t="shared" si="23"/>
        <v>0</v>
      </c>
      <c r="AW14" s="179">
        <f t="shared" si="23"/>
        <v>0</v>
      </c>
      <c r="AX14" s="179">
        <f>IFERROR(ROUND(SUM(AR14:AW14)/AX13,3),0)</f>
        <v>0</v>
      </c>
      <c r="AY14" s="803"/>
      <c r="BA14" s="796"/>
      <c r="BB14" s="155"/>
      <c r="BC14" s="183"/>
    </row>
    <row r="15" spans="1:55" ht="18.75" customHeight="1">
      <c r="B15" s="800" t="s">
        <v>180</v>
      </c>
      <c r="C15" s="173" t="s">
        <v>175</v>
      </c>
      <c r="D15" s="209"/>
      <c r="E15" s="209"/>
      <c r="F15" s="209"/>
      <c r="G15" s="209"/>
      <c r="H15" s="209"/>
      <c r="I15" s="209"/>
      <c r="J15" s="174">
        <f>SUM(D15:I15)</f>
        <v>0</v>
      </c>
      <c r="K15" s="802">
        <f>ROUND(J16/3*J15,2)</f>
        <v>0</v>
      </c>
      <c r="L15" s="209"/>
      <c r="M15" s="209"/>
      <c r="N15" s="209"/>
      <c r="O15" s="209"/>
      <c r="P15" s="209"/>
      <c r="Q15" s="209"/>
      <c r="R15" s="175">
        <f>SUM(L15:Q15)</f>
        <v>0</v>
      </c>
      <c r="S15" s="802">
        <f>ROUND(R16/5*R15,2)</f>
        <v>0</v>
      </c>
      <c r="T15" s="209"/>
      <c r="U15" s="209"/>
      <c r="V15" s="209"/>
      <c r="W15" s="209"/>
      <c r="X15" s="209"/>
      <c r="Y15" s="209"/>
      <c r="Z15" s="174">
        <f>SUM(T15:Y15)</f>
        <v>0</v>
      </c>
      <c r="AA15" s="802">
        <f>ROUND(Z16/6*Z15,2)</f>
        <v>0</v>
      </c>
      <c r="AB15" s="209"/>
      <c r="AC15" s="209"/>
      <c r="AD15" s="209"/>
      <c r="AE15" s="209"/>
      <c r="AF15" s="209"/>
      <c r="AG15" s="209"/>
      <c r="AH15" s="174">
        <f>SUM(AB15:AG15)</f>
        <v>0</v>
      </c>
      <c r="AI15" s="802">
        <f>ROUND(AH16/15*AH15,2)</f>
        <v>0</v>
      </c>
      <c r="AJ15" s="209"/>
      <c r="AK15" s="209"/>
      <c r="AL15" s="209"/>
      <c r="AM15" s="209"/>
      <c r="AN15" s="209"/>
      <c r="AO15" s="209"/>
      <c r="AP15" s="174">
        <f>SUM(AJ15:AO15)</f>
        <v>0</v>
      </c>
      <c r="AQ15" s="802">
        <f>ROUND(AP16/20*AP15,2)</f>
        <v>0</v>
      </c>
      <c r="AR15" s="209"/>
      <c r="AS15" s="209"/>
      <c r="AT15" s="209"/>
      <c r="AU15" s="209"/>
      <c r="AV15" s="209"/>
      <c r="AW15" s="209"/>
      <c r="AX15" s="176">
        <f>SUM(AR15:AW15)</f>
        <v>0</v>
      </c>
      <c r="AY15" s="802">
        <f>ROUND(AX16/25*AX15,2)</f>
        <v>0</v>
      </c>
      <c r="BA15" s="796">
        <f>ROUND(AY15+AQ15+AI15+AA15+S15+K15,1)</f>
        <v>0</v>
      </c>
      <c r="BB15" s="155" t="str">
        <f>IF(J15+R15=0,"×","○")</f>
        <v>×</v>
      </c>
      <c r="BC15" s="177">
        <f>SUM(J15,R15,Z15,AH15,AP15,AX15)</f>
        <v>0</v>
      </c>
    </row>
    <row r="16" spans="1:55" ht="18.75" customHeight="1">
      <c r="B16" s="805"/>
      <c r="C16" s="178" t="s">
        <v>176</v>
      </c>
      <c r="D16" s="179">
        <f t="shared" ref="D16:I16" si="24">D$4*D15</f>
        <v>0</v>
      </c>
      <c r="E16" s="179">
        <f t="shared" si="24"/>
        <v>0</v>
      </c>
      <c r="F16" s="179">
        <f t="shared" si="24"/>
        <v>0</v>
      </c>
      <c r="G16" s="179">
        <f t="shared" si="24"/>
        <v>0</v>
      </c>
      <c r="H16" s="179">
        <f t="shared" si="24"/>
        <v>0</v>
      </c>
      <c r="I16" s="179">
        <f t="shared" si="24"/>
        <v>0</v>
      </c>
      <c r="J16" s="180">
        <f>IFERROR(ROUND(SUM(D16:I16)/J15,3),0)</f>
        <v>0</v>
      </c>
      <c r="K16" s="803"/>
      <c r="L16" s="181">
        <f t="shared" ref="L16:Q16" si="25">L$4*L15</f>
        <v>0</v>
      </c>
      <c r="M16" s="179">
        <f t="shared" si="25"/>
        <v>0</v>
      </c>
      <c r="N16" s="179">
        <f t="shared" si="25"/>
        <v>0</v>
      </c>
      <c r="O16" s="179">
        <f t="shared" si="25"/>
        <v>0</v>
      </c>
      <c r="P16" s="179">
        <f t="shared" si="25"/>
        <v>0</v>
      </c>
      <c r="Q16" s="179">
        <f t="shared" si="25"/>
        <v>0</v>
      </c>
      <c r="R16" s="180">
        <f>IFERROR(ROUND(SUM(L16:Q16)/R15,3),0)</f>
        <v>0</v>
      </c>
      <c r="S16" s="803"/>
      <c r="T16" s="182">
        <f t="shared" ref="T16:Y16" si="26">T$4*T15</f>
        <v>0</v>
      </c>
      <c r="U16" s="179">
        <f t="shared" si="26"/>
        <v>0</v>
      </c>
      <c r="V16" s="179">
        <f t="shared" si="26"/>
        <v>0</v>
      </c>
      <c r="W16" s="179">
        <f t="shared" si="26"/>
        <v>0</v>
      </c>
      <c r="X16" s="179">
        <f t="shared" si="26"/>
        <v>0</v>
      </c>
      <c r="Y16" s="179">
        <f t="shared" si="26"/>
        <v>0</v>
      </c>
      <c r="Z16" s="180">
        <f>IFERROR(ROUND(SUM(T16:Y16)/Z15,3),0)</f>
        <v>0</v>
      </c>
      <c r="AA16" s="803"/>
      <c r="AB16" s="181">
        <f t="shared" ref="AB16:AG16" si="27">AB$4*AB15</f>
        <v>0</v>
      </c>
      <c r="AC16" s="179">
        <f t="shared" si="27"/>
        <v>0</v>
      </c>
      <c r="AD16" s="179">
        <f t="shared" si="27"/>
        <v>0</v>
      </c>
      <c r="AE16" s="179">
        <f t="shared" si="27"/>
        <v>0</v>
      </c>
      <c r="AF16" s="179">
        <f t="shared" si="27"/>
        <v>0</v>
      </c>
      <c r="AG16" s="179">
        <f t="shared" si="27"/>
        <v>0</v>
      </c>
      <c r="AH16" s="180">
        <f>IFERROR(ROUND(SUM(AB16:AG16)/AH15,3),0)</f>
        <v>0</v>
      </c>
      <c r="AI16" s="803"/>
      <c r="AJ16" s="182">
        <f t="shared" ref="AJ16:AO16" si="28">AJ$4*AJ15</f>
        <v>0</v>
      </c>
      <c r="AK16" s="179">
        <f t="shared" si="28"/>
        <v>0</v>
      </c>
      <c r="AL16" s="179">
        <f t="shared" si="28"/>
        <v>0</v>
      </c>
      <c r="AM16" s="179">
        <f t="shared" si="28"/>
        <v>0</v>
      </c>
      <c r="AN16" s="179">
        <f t="shared" si="28"/>
        <v>0</v>
      </c>
      <c r="AO16" s="179">
        <f t="shared" si="28"/>
        <v>0</v>
      </c>
      <c r="AP16" s="180">
        <f>IFERROR(ROUND(SUM(AJ16:AO16)/AP15,3),0)</f>
        <v>0</v>
      </c>
      <c r="AQ16" s="803"/>
      <c r="AR16" s="181">
        <f t="shared" ref="AR16:AW16" si="29">AR$4*AR15</f>
        <v>0</v>
      </c>
      <c r="AS16" s="179">
        <f t="shared" si="29"/>
        <v>0</v>
      </c>
      <c r="AT16" s="179">
        <f t="shared" si="29"/>
        <v>0</v>
      </c>
      <c r="AU16" s="179">
        <f t="shared" si="29"/>
        <v>0</v>
      </c>
      <c r="AV16" s="179">
        <f t="shared" si="29"/>
        <v>0</v>
      </c>
      <c r="AW16" s="179">
        <f t="shared" si="29"/>
        <v>0</v>
      </c>
      <c r="AX16" s="179">
        <f>IFERROR(ROUND(SUM(AR16:AW16)/AX15,3),0)</f>
        <v>0</v>
      </c>
      <c r="AY16" s="803"/>
      <c r="BA16" s="796"/>
      <c r="BB16" s="155"/>
      <c r="BC16" s="183"/>
    </row>
    <row r="17" spans="2:55" ht="18.75" customHeight="1">
      <c r="B17" s="800" t="s">
        <v>181</v>
      </c>
      <c r="C17" s="173" t="s">
        <v>175</v>
      </c>
      <c r="D17" s="209"/>
      <c r="E17" s="209"/>
      <c r="F17" s="209"/>
      <c r="G17" s="209"/>
      <c r="H17" s="209"/>
      <c r="I17" s="209"/>
      <c r="J17" s="175">
        <f>SUM(D17:I17)</f>
        <v>0</v>
      </c>
      <c r="K17" s="802">
        <f>ROUND(J18/3*J17,2)</f>
        <v>0</v>
      </c>
      <c r="L17" s="209"/>
      <c r="M17" s="209"/>
      <c r="N17" s="209"/>
      <c r="O17" s="209"/>
      <c r="P17" s="209"/>
      <c r="Q17" s="209"/>
      <c r="R17" s="175">
        <f>SUM(L17:Q17)</f>
        <v>0</v>
      </c>
      <c r="S17" s="802">
        <f>ROUND(R18/5*R17,2)</f>
        <v>0</v>
      </c>
      <c r="T17" s="209"/>
      <c r="U17" s="209"/>
      <c r="V17" s="209"/>
      <c r="W17" s="209"/>
      <c r="X17" s="209"/>
      <c r="Y17" s="209"/>
      <c r="Z17" s="174">
        <f>SUM(T17:Y17)</f>
        <v>0</v>
      </c>
      <c r="AA17" s="802">
        <f>ROUND(Z18/6*Z17,2)</f>
        <v>0</v>
      </c>
      <c r="AB17" s="209"/>
      <c r="AC17" s="209"/>
      <c r="AD17" s="209"/>
      <c r="AE17" s="209"/>
      <c r="AF17" s="209"/>
      <c r="AG17" s="209"/>
      <c r="AH17" s="174">
        <f>SUM(AB17:AG17)</f>
        <v>0</v>
      </c>
      <c r="AI17" s="802">
        <f>ROUND(AH18/15*AH17,2)</f>
        <v>0</v>
      </c>
      <c r="AJ17" s="209"/>
      <c r="AK17" s="209"/>
      <c r="AL17" s="209"/>
      <c r="AM17" s="209"/>
      <c r="AN17" s="209"/>
      <c r="AO17" s="209"/>
      <c r="AP17" s="174">
        <f>SUM(AJ17:AO17)</f>
        <v>0</v>
      </c>
      <c r="AQ17" s="802">
        <f>ROUND(AP18/20*AP17,2)</f>
        <v>0</v>
      </c>
      <c r="AR17" s="209"/>
      <c r="AS17" s="209"/>
      <c r="AT17" s="209"/>
      <c r="AU17" s="209"/>
      <c r="AV17" s="209"/>
      <c r="AW17" s="209"/>
      <c r="AX17" s="176">
        <f>SUM(AR17:AW17)</f>
        <v>0</v>
      </c>
      <c r="AY17" s="802">
        <f>ROUND(AX18/25*AX17,2)</f>
        <v>0</v>
      </c>
      <c r="BA17" s="796">
        <f>ROUND(AY17+AQ17+AI17+AA17+S17+K17,1)</f>
        <v>0</v>
      </c>
      <c r="BB17" s="155" t="str">
        <f>IF(J17+R17=0,"×","○")</f>
        <v>×</v>
      </c>
      <c r="BC17" s="177">
        <f>SUM(J17,R17,Z17,AH17,AP17,AX17)</f>
        <v>0</v>
      </c>
    </row>
    <row r="18" spans="2:55" ht="18.75" customHeight="1">
      <c r="B18" s="805"/>
      <c r="C18" s="184" t="s">
        <v>176</v>
      </c>
      <c r="D18" s="179">
        <f t="shared" ref="D18:I18" si="30">D$4*D17</f>
        <v>0</v>
      </c>
      <c r="E18" s="179">
        <f t="shared" si="30"/>
        <v>0</v>
      </c>
      <c r="F18" s="179">
        <f t="shared" si="30"/>
        <v>0</v>
      </c>
      <c r="G18" s="179">
        <f t="shared" si="30"/>
        <v>0</v>
      </c>
      <c r="H18" s="179">
        <f t="shared" si="30"/>
        <v>0</v>
      </c>
      <c r="I18" s="179">
        <f t="shared" si="30"/>
        <v>0</v>
      </c>
      <c r="J18" s="180">
        <f>IFERROR(ROUND(SUM(D18:I18)/J17,3),0)</f>
        <v>0</v>
      </c>
      <c r="K18" s="803"/>
      <c r="L18" s="181">
        <f t="shared" ref="L18:Q18" si="31">L$4*L17</f>
        <v>0</v>
      </c>
      <c r="M18" s="179">
        <f t="shared" si="31"/>
        <v>0</v>
      </c>
      <c r="N18" s="179">
        <f t="shared" si="31"/>
        <v>0</v>
      </c>
      <c r="O18" s="179">
        <f t="shared" si="31"/>
        <v>0</v>
      </c>
      <c r="P18" s="179">
        <f t="shared" si="31"/>
        <v>0</v>
      </c>
      <c r="Q18" s="179">
        <f t="shared" si="31"/>
        <v>0</v>
      </c>
      <c r="R18" s="180">
        <f>IFERROR(ROUND(SUM(L18:Q18)/R17,3),0)</f>
        <v>0</v>
      </c>
      <c r="S18" s="803"/>
      <c r="T18" s="182">
        <f t="shared" ref="T18:Y18" si="32">T$4*T17</f>
        <v>0</v>
      </c>
      <c r="U18" s="179">
        <f t="shared" si="32"/>
        <v>0</v>
      </c>
      <c r="V18" s="179">
        <f t="shared" si="32"/>
        <v>0</v>
      </c>
      <c r="W18" s="179">
        <f t="shared" si="32"/>
        <v>0</v>
      </c>
      <c r="X18" s="179">
        <f t="shared" si="32"/>
        <v>0</v>
      </c>
      <c r="Y18" s="179">
        <f t="shared" si="32"/>
        <v>0</v>
      </c>
      <c r="Z18" s="180">
        <f>IFERROR(ROUND(SUM(T18:Y18)/Z17,3),0)</f>
        <v>0</v>
      </c>
      <c r="AA18" s="803"/>
      <c r="AB18" s="181">
        <f t="shared" ref="AB18:AG18" si="33">AB$4*AB17</f>
        <v>0</v>
      </c>
      <c r="AC18" s="179">
        <f t="shared" si="33"/>
        <v>0</v>
      </c>
      <c r="AD18" s="179">
        <f t="shared" si="33"/>
        <v>0</v>
      </c>
      <c r="AE18" s="179">
        <f t="shared" si="33"/>
        <v>0</v>
      </c>
      <c r="AF18" s="179">
        <f t="shared" si="33"/>
        <v>0</v>
      </c>
      <c r="AG18" s="179">
        <f t="shared" si="33"/>
        <v>0</v>
      </c>
      <c r="AH18" s="180">
        <f>IFERROR(ROUND(SUM(AB18:AG18)/AH17,3),0)</f>
        <v>0</v>
      </c>
      <c r="AI18" s="803"/>
      <c r="AJ18" s="182">
        <f t="shared" ref="AJ18:AO18" si="34">AJ$4*AJ17</f>
        <v>0</v>
      </c>
      <c r="AK18" s="179">
        <f t="shared" si="34"/>
        <v>0</v>
      </c>
      <c r="AL18" s="179">
        <f t="shared" si="34"/>
        <v>0</v>
      </c>
      <c r="AM18" s="179">
        <f t="shared" si="34"/>
        <v>0</v>
      </c>
      <c r="AN18" s="179">
        <f t="shared" si="34"/>
        <v>0</v>
      </c>
      <c r="AO18" s="179">
        <f t="shared" si="34"/>
        <v>0</v>
      </c>
      <c r="AP18" s="180">
        <f>IFERROR(ROUND(SUM(AJ18:AO18)/AP17,3),0)</f>
        <v>0</v>
      </c>
      <c r="AQ18" s="803"/>
      <c r="AR18" s="181">
        <f t="shared" ref="AR18:AW18" si="35">AR$4*AR17</f>
        <v>0</v>
      </c>
      <c r="AS18" s="179">
        <f t="shared" si="35"/>
        <v>0</v>
      </c>
      <c r="AT18" s="179">
        <f t="shared" si="35"/>
        <v>0</v>
      </c>
      <c r="AU18" s="179">
        <f t="shared" si="35"/>
        <v>0</v>
      </c>
      <c r="AV18" s="179">
        <f t="shared" si="35"/>
        <v>0</v>
      </c>
      <c r="AW18" s="179">
        <f t="shared" si="35"/>
        <v>0</v>
      </c>
      <c r="AX18" s="179">
        <f>IFERROR(ROUND(SUM(AR18:AW18)/AX17,3),0)</f>
        <v>0</v>
      </c>
      <c r="AY18" s="803"/>
      <c r="BA18" s="796"/>
      <c r="BB18" s="155"/>
      <c r="BC18" s="183"/>
    </row>
    <row r="19" spans="2:55" ht="18.75" customHeight="1">
      <c r="B19" s="800" t="s">
        <v>182</v>
      </c>
      <c r="C19" s="173" t="s">
        <v>175</v>
      </c>
      <c r="D19" s="209"/>
      <c r="E19" s="209"/>
      <c r="F19" s="209"/>
      <c r="G19" s="209"/>
      <c r="H19" s="209"/>
      <c r="I19" s="209"/>
      <c r="J19" s="175">
        <f>SUM(D19:I19)</f>
        <v>0</v>
      </c>
      <c r="K19" s="802">
        <f>ROUND(J20/3*J19,2)</f>
        <v>0</v>
      </c>
      <c r="L19" s="209"/>
      <c r="M19" s="209"/>
      <c r="N19" s="209"/>
      <c r="O19" s="209"/>
      <c r="P19" s="209"/>
      <c r="Q19" s="209"/>
      <c r="R19" s="175">
        <f>SUM(L19:Q19)</f>
        <v>0</v>
      </c>
      <c r="S19" s="802">
        <f>ROUND(R20/5*R19,2)</f>
        <v>0</v>
      </c>
      <c r="T19" s="209"/>
      <c r="U19" s="209"/>
      <c r="V19" s="209"/>
      <c r="W19" s="209"/>
      <c r="X19" s="209"/>
      <c r="Y19" s="209"/>
      <c r="Z19" s="174">
        <f>SUM(T19:Y19)</f>
        <v>0</v>
      </c>
      <c r="AA19" s="802">
        <f>ROUND(Z20/6*Z19,2)</f>
        <v>0</v>
      </c>
      <c r="AB19" s="209"/>
      <c r="AC19" s="209"/>
      <c r="AD19" s="209"/>
      <c r="AE19" s="209"/>
      <c r="AF19" s="209"/>
      <c r="AG19" s="209"/>
      <c r="AH19" s="174">
        <f>SUM(AB19:AG19)</f>
        <v>0</v>
      </c>
      <c r="AI19" s="802">
        <f>ROUND(AH20/15*AH19,2)</f>
        <v>0</v>
      </c>
      <c r="AJ19" s="209"/>
      <c r="AK19" s="209"/>
      <c r="AL19" s="209"/>
      <c r="AM19" s="209"/>
      <c r="AN19" s="209"/>
      <c r="AO19" s="209"/>
      <c r="AP19" s="174">
        <f>SUM(AJ19:AO19)</f>
        <v>0</v>
      </c>
      <c r="AQ19" s="802">
        <f>ROUND(AP20/20*AP19,2)</f>
        <v>0</v>
      </c>
      <c r="AR19" s="209"/>
      <c r="AS19" s="209"/>
      <c r="AT19" s="209"/>
      <c r="AU19" s="209"/>
      <c r="AV19" s="209"/>
      <c r="AW19" s="209"/>
      <c r="AX19" s="176">
        <f>SUM(AR19:AW19)</f>
        <v>0</v>
      </c>
      <c r="AY19" s="802">
        <f>ROUND(AX20/25*AX19,2)</f>
        <v>0</v>
      </c>
      <c r="BA19" s="796">
        <f>ROUND(AY19+AQ19+AI19+AA19+S19+K19,1)</f>
        <v>0</v>
      </c>
      <c r="BB19" s="155" t="str">
        <f>IF(J19+R19=0,"×","○")</f>
        <v>×</v>
      </c>
      <c r="BC19" s="177">
        <f>SUM(J19,R19,Z19,AH19,AP19,AX19)</f>
        <v>0</v>
      </c>
    </row>
    <row r="20" spans="2:55" ht="18.75" customHeight="1">
      <c r="B20" s="805"/>
      <c r="C20" s="178" t="s">
        <v>176</v>
      </c>
      <c r="D20" s="179">
        <f t="shared" ref="D20:I20" si="36">D$4*D19</f>
        <v>0</v>
      </c>
      <c r="E20" s="179">
        <f t="shared" si="36"/>
        <v>0</v>
      </c>
      <c r="F20" s="179">
        <f t="shared" si="36"/>
        <v>0</v>
      </c>
      <c r="G20" s="179">
        <f t="shared" si="36"/>
        <v>0</v>
      </c>
      <c r="H20" s="179">
        <f t="shared" si="36"/>
        <v>0</v>
      </c>
      <c r="I20" s="179">
        <f t="shared" si="36"/>
        <v>0</v>
      </c>
      <c r="J20" s="180">
        <f>IFERROR(ROUND(SUM(D20:I20)/J19,3),0)</f>
        <v>0</v>
      </c>
      <c r="K20" s="803"/>
      <c r="L20" s="181">
        <f t="shared" ref="L20:Q20" si="37">L$4*L19</f>
        <v>0</v>
      </c>
      <c r="M20" s="179">
        <f t="shared" si="37"/>
        <v>0</v>
      </c>
      <c r="N20" s="179">
        <f t="shared" si="37"/>
        <v>0</v>
      </c>
      <c r="O20" s="179">
        <f t="shared" si="37"/>
        <v>0</v>
      </c>
      <c r="P20" s="179">
        <f t="shared" si="37"/>
        <v>0</v>
      </c>
      <c r="Q20" s="179">
        <f t="shared" si="37"/>
        <v>0</v>
      </c>
      <c r="R20" s="180">
        <f>IFERROR(ROUND(SUM(L20:Q20)/R19,3),0)</f>
        <v>0</v>
      </c>
      <c r="S20" s="803"/>
      <c r="T20" s="182">
        <f t="shared" ref="T20:Y20" si="38">T$4*T19</f>
        <v>0</v>
      </c>
      <c r="U20" s="179">
        <f t="shared" si="38"/>
        <v>0</v>
      </c>
      <c r="V20" s="179">
        <f t="shared" si="38"/>
        <v>0</v>
      </c>
      <c r="W20" s="179">
        <f t="shared" si="38"/>
        <v>0</v>
      </c>
      <c r="X20" s="179">
        <f t="shared" si="38"/>
        <v>0</v>
      </c>
      <c r="Y20" s="179">
        <f t="shared" si="38"/>
        <v>0</v>
      </c>
      <c r="Z20" s="180">
        <f>IFERROR(ROUND(SUM(T20:Y20)/Z19,3),0)</f>
        <v>0</v>
      </c>
      <c r="AA20" s="803"/>
      <c r="AB20" s="181">
        <f t="shared" ref="AB20:AG20" si="39">AB$4*AB19</f>
        <v>0</v>
      </c>
      <c r="AC20" s="179">
        <f t="shared" si="39"/>
        <v>0</v>
      </c>
      <c r="AD20" s="179">
        <f t="shared" si="39"/>
        <v>0</v>
      </c>
      <c r="AE20" s="179">
        <f t="shared" si="39"/>
        <v>0</v>
      </c>
      <c r="AF20" s="179">
        <f t="shared" si="39"/>
        <v>0</v>
      </c>
      <c r="AG20" s="179">
        <f t="shared" si="39"/>
        <v>0</v>
      </c>
      <c r="AH20" s="180">
        <f>IFERROR(ROUND(SUM(AB20:AG20)/AH19,3),0)</f>
        <v>0</v>
      </c>
      <c r="AI20" s="803"/>
      <c r="AJ20" s="182">
        <f t="shared" ref="AJ20:AO20" si="40">AJ$4*AJ19</f>
        <v>0</v>
      </c>
      <c r="AK20" s="179">
        <f t="shared" si="40"/>
        <v>0</v>
      </c>
      <c r="AL20" s="179">
        <f t="shared" si="40"/>
        <v>0</v>
      </c>
      <c r="AM20" s="179">
        <f t="shared" si="40"/>
        <v>0</v>
      </c>
      <c r="AN20" s="179">
        <f t="shared" si="40"/>
        <v>0</v>
      </c>
      <c r="AO20" s="179">
        <f t="shared" si="40"/>
        <v>0</v>
      </c>
      <c r="AP20" s="180">
        <f>IFERROR(ROUND(SUM(AJ20:AO20)/AP19,3),0)</f>
        <v>0</v>
      </c>
      <c r="AQ20" s="803"/>
      <c r="AR20" s="181">
        <f t="shared" ref="AR20:AW20" si="41">AR$4*AR19</f>
        <v>0</v>
      </c>
      <c r="AS20" s="179">
        <f t="shared" si="41"/>
        <v>0</v>
      </c>
      <c r="AT20" s="179">
        <f t="shared" si="41"/>
        <v>0</v>
      </c>
      <c r="AU20" s="179">
        <f t="shared" si="41"/>
        <v>0</v>
      </c>
      <c r="AV20" s="179">
        <f t="shared" si="41"/>
        <v>0</v>
      </c>
      <c r="AW20" s="179">
        <f t="shared" si="41"/>
        <v>0</v>
      </c>
      <c r="AX20" s="179">
        <f>IFERROR(ROUND(SUM(AR20:AW20)/AX19,3),0)</f>
        <v>0</v>
      </c>
      <c r="AY20" s="803"/>
      <c r="BA20" s="796"/>
      <c r="BB20" s="155"/>
      <c r="BC20" s="183"/>
    </row>
    <row r="21" spans="2:55" ht="18.75" customHeight="1">
      <c r="B21" s="800" t="s">
        <v>183</v>
      </c>
      <c r="C21" s="173" t="s">
        <v>175</v>
      </c>
      <c r="D21" s="209"/>
      <c r="E21" s="209"/>
      <c r="F21" s="209"/>
      <c r="G21" s="209"/>
      <c r="H21" s="209"/>
      <c r="I21" s="209"/>
      <c r="J21" s="175">
        <f>SUM(D21:I21)</f>
        <v>0</v>
      </c>
      <c r="K21" s="802">
        <f>ROUND(J22/3*J21,2)</f>
        <v>0</v>
      </c>
      <c r="L21" s="209"/>
      <c r="M21" s="209"/>
      <c r="N21" s="209"/>
      <c r="O21" s="209"/>
      <c r="P21" s="209"/>
      <c r="Q21" s="209"/>
      <c r="R21" s="175">
        <f>SUM(L21:Q21)</f>
        <v>0</v>
      </c>
      <c r="S21" s="802">
        <f>ROUND(R22/5*R21,2)</f>
        <v>0</v>
      </c>
      <c r="T21" s="209"/>
      <c r="U21" s="209"/>
      <c r="V21" s="209"/>
      <c r="W21" s="209"/>
      <c r="X21" s="209"/>
      <c r="Y21" s="209"/>
      <c r="Z21" s="174">
        <f>SUM(T21:Y21)</f>
        <v>0</v>
      </c>
      <c r="AA21" s="802">
        <f>ROUND(Z22/6*Z21,2)</f>
        <v>0</v>
      </c>
      <c r="AB21" s="209"/>
      <c r="AC21" s="209"/>
      <c r="AD21" s="209"/>
      <c r="AE21" s="209"/>
      <c r="AF21" s="209"/>
      <c r="AG21" s="209"/>
      <c r="AH21" s="174">
        <f>SUM(AB21:AG21)</f>
        <v>0</v>
      </c>
      <c r="AI21" s="802">
        <f>ROUND(AH22/15*AH21,2)</f>
        <v>0</v>
      </c>
      <c r="AJ21" s="209"/>
      <c r="AK21" s="209"/>
      <c r="AL21" s="209"/>
      <c r="AM21" s="209"/>
      <c r="AN21" s="209"/>
      <c r="AO21" s="209"/>
      <c r="AP21" s="174">
        <f>SUM(AJ21:AO21)</f>
        <v>0</v>
      </c>
      <c r="AQ21" s="802">
        <f>ROUND(AP22/20*AP21,2)</f>
        <v>0</v>
      </c>
      <c r="AR21" s="209"/>
      <c r="AS21" s="209"/>
      <c r="AT21" s="209"/>
      <c r="AU21" s="209"/>
      <c r="AV21" s="209"/>
      <c r="AW21" s="209"/>
      <c r="AX21" s="176">
        <f>SUM(AR21:AW21)</f>
        <v>0</v>
      </c>
      <c r="AY21" s="802">
        <f>ROUND(AX22/25*AX21,2)</f>
        <v>0</v>
      </c>
      <c r="BA21" s="796">
        <f>ROUND(AY21+AQ21+AI21+AA21+S21+K21,1)</f>
        <v>0</v>
      </c>
      <c r="BB21" s="155" t="str">
        <f>IF(J21+R21=0,"×","○")</f>
        <v>×</v>
      </c>
      <c r="BC21" s="177">
        <f>SUM(J21,R21,Z21,AH21,AP21,AX21)</f>
        <v>0</v>
      </c>
    </row>
    <row r="22" spans="2:55" ht="18.75" customHeight="1">
      <c r="B22" s="805"/>
      <c r="C22" s="184" t="s">
        <v>176</v>
      </c>
      <c r="D22" s="179">
        <f t="shared" ref="D22:I22" si="42">D$4*D21</f>
        <v>0</v>
      </c>
      <c r="E22" s="179">
        <f t="shared" si="42"/>
        <v>0</v>
      </c>
      <c r="F22" s="179">
        <f t="shared" si="42"/>
        <v>0</v>
      </c>
      <c r="G22" s="179">
        <f t="shared" si="42"/>
        <v>0</v>
      </c>
      <c r="H22" s="179">
        <f t="shared" si="42"/>
        <v>0</v>
      </c>
      <c r="I22" s="179">
        <f t="shared" si="42"/>
        <v>0</v>
      </c>
      <c r="J22" s="180">
        <f>IFERROR(ROUND(SUM(D22:I22)/J21,3),0)</f>
        <v>0</v>
      </c>
      <c r="K22" s="803"/>
      <c r="L22" s="181">
        <f t="shared" ref="L22:Q22" si="43">L$4*L21</f>
        <v>0</v>
      </c>
      <c r="M22" s="179">
        <f t="shared" si="43"/>
        <v>0</v>
      </c>
      <c r="N22" s="179">
        <f t="shared" si="43"/>
        <v>0</v>
      </c>
      <c r="O22" s="179">
        <f t="shared" si="43"/>
        <v>0</v>
      </c>
      <c r="P22" s="179">
        <f t="shared" si="43"/>
        <v>0</v>
      </c>
      <c r="Q22" s="179">
        <f t="shared" si="43"/>
        <v>0</v>
      </c>
      <c r="R22" s="180">
        <f>IFERROR(ROUND(SUM(L22:Q22)/R21,3),0)</f>
        <v>0</v>
      </c>
      <c r="S22" s="803"/>
      <c r="T22" s="182">
        <f t="shared" ref="T22:Y22" si="44">T$4*T21</f>
        <v>0</v>
      </c>
      <c r="U22" s="179">
        <f t="shared" si="44"/>
        <v>0</v>
      </c>
      <c r="V22" s="179">
        <f t="shared" si="44"/>
        <v>0</v>
      </c>
      <c r="W22" s="179">
        <f t="shared" si="44"/>
        <v>0</v>
      </c>
      <c r="X22" s="179">
        <f t="shared" si="44"/>
        <v>0</v>
      </c>
      <c r="Y22" s="179">
        <f t="shared" si="44"/>
        <v>0</v>
      </c>
      <c r="Z22" s="180">
        <f>IFERROR(ROUND(SUM(T22:Y22)/Z21,3),0)</f>
        <v>0</v>
      </c>
      <c r="AA22" s="803"/>
      <c r="AB22" s="181">
        <f t="shared" ref="AB22:AG22" si="45">AB$4*AB21</f>
        <v>0</v>
      </c>
      <c r="AC22" s="179">
        <f t="shared" si="45"/>
        <v>0</v>
      </c>
      <c r="AD22" s="179">
        <f t="shared" si="45"/>
        <v>0</v>
      </c>
      <c r="AE22" s="179">
        <f t="shared" si="45"/>
        <v>0</v>
      </c>
      <c r="AF22" s="179">
        <f t="shared" si="45"/>
        <v>0</v>
      </c>
      <c r="AG22" s="179">
        <f t="shared" si="45"/>
        <v>0</v>
      </c>
      <c r="AH22" s="180">
        <f>IFERROR(ROUND(SUM(AB22:AG22)/AH21,3),0)</f>
        <v>0</v>
      </c>
      <c r="AI22" s="803"/>
      <c r="AJ22" s="182">
        <f t="shared" ref="AJ22:AO22" si="46">AJ$4*AJ21</f>
        <v>0</v>
      </c>
      <c r="AK22" s="179">
        <f t="shared" si="46"/>
        <v>0</v>
      </c>
      <c r="AL22" s="179">
        <f t="shared" si="46"/>
        <v>0</v>
      </c>
      <c r="AM22" s="179">
        <f t="shared" si="46"/>
        <v>0</v>
      </c>
      <c r="AN22" s="179">
        <f t="shared" si="46"/>
        <v>0</v>
      </c>
      <c r="AO22" s="179">
        <f t="shared" si="46"/>
        <v>0</v>
      </c>
      <c r="AP22" s="180">
        <f>IFERROR(ROUND(SUM(AJ22:AO22)/AP21,3),0)</f>
        <v>0</v>
      </c>
      <c r="AQ22" s="803"/>
      <c r="AR22" s="181">
        <f t="shared" ref="AR22:AW22" si="47">AR$4*AR21</f>
        <v>0</v>
      </c>
      <c r="AS22" s="179">
        <f t="shared" si="47"/>
        <v>0</v>
      </c>
      <c r="AT22" s="179">
        <f t="shared" si="47"/>
        <v>0</v>
      </c>
      <c r="AU22" s="179">
        <f t="shared" si="47"/>
        <v>0</v>
      </c>
      <c r="AV22" s="179">
        <f t="shared" si="47"/>
        <v>0</v>
      </c>
      <c r="AW22" s="179">
        <f t="shared" si="47"/>
        <v>0</v>
      </c>
      <c r="AX22" s="179">
        <f>IFERROR(ROUND(SUM(AR22:AW22)/AX21,3),0)</f>
        <v>0</v>
      </c>
      <c r="AY22" s="803"/>
      <c r="BA22" s="796"/>
      <c r="BB22" s="155"/>
      <c r="BC22" s="183"/>
    </row>
    <row r="23" spans="2:55" ht="18.75" customHeight="1">
      <c r="B23" s="800" t="s">
        <v>184</v>
      </c>
      <c r="C23" s="173" t="s">
        <v>175</v>
      </c>
      <c r="D23" s="209"/>
      <c r="E23" s="209"/>
      <c r="F23" s="209"/>
      <c r="G23" s="209"/>
      <c r="H23" s="209"/>
      <c r="I23" s="209"/>
      <c r="J23" s="175">
        <f>SUM(D23:I23)</f>
        <v>0</v>
      </c>
      <c r="K23" s="802">
        <f>ROUND(J24/3*J23,2)</f>
        <v>0</v>
      </c>
      <c r="L23" s="209"/>
      <c r="M23" s="209"/>
      <c r="N23" s="209"/>
      <c r="O23" s="209"/>
      <c r="P23" s="209"/>
      <c r="Q23" s="209"/>
      <c r="R23" s="175">
        <f>SUM(L23:Q23)</f>
        <v>0</v>
      </c>
      <c r="S23" s="802">
        <f>ROUND(R24/5*R23,2)</f>
        <v>0</v>
      </c>
      <c r="T23" s="209"/>
      <c r="U23" s="209"/>
      <c r="V23" s="209"/>
      <c r="W23" s="209"/>
      <c r="X23" s="209"/>
      <c r="Y23" s="209"/>
      <c r="Z23" s="174">
        <f>SUM(T23:Y23)</f>
        <v>0</v>
      </c>
      <c r="AA23" s="802">
        <f>ROUND(Z24/6*Z23,2)</f>
        <v>0</v>
      </c>
      <c r="AB23" s="209"/>
      <c r="AC23" s="209"/>
      <c r="AD23" s="209"/>
      <c r="AE23" s="209"/>
      <c r="AF23" s="209"/>
      <c r="AG23" s="209"/>
      <c r="AH23" s="174">
        <f>SUM(AB23:AG23)</f>
        <v>0</v>
      </c>
      <c r="AI23" s="802">
        <f>ROUND(AH24/15*AH23,2)</f>
        <v>0</v>
      </c>
      <c r="AJ23" s="209"/>
      <c r="AK23" s="209"/>
      <c r="AL23" s="209"/>
      <c r="AM23" s="209"/>
      <c r="AN23" s="209"/>
      <c r="AO23" s="209"/>
      <c r="AP23" s="174">
        <f>SUM(AJ23:AO23)</f>
        <v>0</v>
      </c>
      <c r="AQ23" s="802">
        <f>ROUND(AP24/20*AP23,2)</f>
        <v>0</v>
      </c>
      <c r="AR23" s="209"/>
      <c r="AS23" s="209"/>
      <c r="AT23" s="209"/>
      <c r="AU23" s="209"/>
      <c r="AV23" s="209"/>
      <c r="AW23" s="209"/>
      <c r="AX23" s="176">
        <f>SUM(AR23:AW23)</f>
        <v>0</v>
      </c>
      <c r="AY23" s="802">
        <f>ROUND(AX24/25*AX23,2)</f>
        <v>0</v>
      </c>
      <c r="BA23" s="796">
        <f>ROUND(AY23+AQ23+AI23+AA23+S23+K23,1)</f>
        <v>0</v>
      </c>
      <c r="BB23" s="155" t="str">
        <f>IF(J23+R23=0,"×","○")</f>
        <v>×</v>
      </c>
      <c r="BC23" s="177">
        <f>SUM(J23,R23,Z23,AH23,AP23,AX23)</f>
        <v>0</v>
      </c>
    </row>
    <row r="24" spans="2:55" ht="18.75" customHeight="1">
      <c r="B24" s="805"/>
      <c r="C24" s="184" t="s">
        <v>176</v>
      </c>
      <c r="D24" s="179">
        <f t="shared" ref="D24:I24" si="48">D$4*D23</f>
        <v>0</v>
      </c>
      <c r="E24" s="179">
        <f t="shared" si="48"/>
        <v>0</v>
      </c>
      <c r="F24" s="179">
        <f t="shared" si="48"/>
        <v>0</v>
      </c>
      <c r="G24" s="179">
        <f t="shared" si="48"/>
        <v>0</v>
      </c>
      <c r="H24" s="179">
        <f t="shared" si="48"/>
        <v>0</v>
      </c>
      <c r="I24" s="179">
        <f t="shared" si="48"/>
        <v>0</v>
      </c>
      <c r="J24" s="180">
        <f>IFERROR(ROUND(SUM(D24:I24)/J23,3),0)</f>
        <v>0</v>
      </c>
      <c r="K24" s="803"/>
      <c r="L24" s="181">
        <f t="shared" ref="L24:Q24" si="49">L$4*L23</f>
        <v>0</v>
      </c>
      <c r="M24" s="179">
        <f t="shared" si="49"/>
        <v>0</v>
      </c>
      <c r="N24" s="179">
        <f t="shared" si="49"/>
        <v>0</v>
      </c>
      <c r="O24" s="179">
        <f t="shared" si="49"/>
        <v>0</v>
      </c>
      <c r="P24" s="179">
        <f t="shared" si="49"/>
        <v>0</v>
      </c>
      <c r="Q24" s="179">
        <f t="shared" si="49"/>
        <v>0</v>
      </c>
      <c r="R24" s="180">
        <f>IFERROR(ROUND(SUM(L24:Q24)/R23,3),0)</f>
        <v>0</v>
      </c>
      <c r="S24" s="803"/>
      <c r="T24" s="182">
        <f t="shared" ref="T24:Y24" si="50">T$4*T23</f>
        <v>0</v>
      </c>
      <c r="U24" s="179">
        <f t="shared" si="50"/>
        <v>0</v>
      </c>
      <c r="V24" s="179">
        <f t="shared" si="50"/>
        <v>0</v>
      </c>
      <c r="W24" s="179">
        <f t="shared" si="50"/>
        <v>0</v>
      </c>
      <c r="X24" s="179">
        <f t="shared" si="50"/>
        <v>0</v>
      </c>
      <c r="Y24" s="179">
        <f t="shared" si="50"/>
        <v>0</v>
      </c>
      <c r="Z24" s="180">
        <f>IFERROR(ROUND(SUM(T24:Y24)/Z23,3),0)</f>
        <v>0</v>
      </c>
      <c r="AA24" s="803"/>
      <c r="AB24" s="181">
        <f t="shared" ref="AB24:AG24" si="51">AB$4*AB23</f>
        <v>0</v>
      </c>
      <c r="AC24" s="179">
        <f t="shared" si="51"/>
        <v>0</v>
      </c>
      <c r="AD24" s="179">
        <f t="shared" si="51"/>
        <v>0</v>
      </c>
      <c r="AE24" s="179">
        <f t="shared" si="51"/>
        <v>0</v>
      </c>
      <c r="AF24" s="179">
        <f t="shared" si="51"/>
        <v>0</v>
      </c>
      <c r="AG24" s="179">
        <f t="shared" si="51"/>
        <v>0</v>
      </c>
      <c r="AH24" s="180">
        <f>IFERROR(ROUND(SUM(AB24:AG24)/AH23,3),0)</f>
        <v>0</v>
      </c>
      <c r="AI24" s="803"/>
      <c r="AJ24" s="182">
        <f t="shared" ref="AJ24:AO24" si="52">AJ$4*AJ23</f>
        <v>0</v>
      </c>
      <c r="AK24" s="179">
        <f t="shared" si="52"/>
        <v>0</v>
      </c>
      <c r="AL24" s="179">
        <f t="shared" si="52"/>
        <v>0</v>
      </c>
      <c r="AM24" s="179">
        <f t="shared" si="52"/>
        <v>0</v>
      </c>
      <c r="AN24" s="179">
        <f t="shared" si="52"/>
        <v>0</v>
      </c>
      <c r="AO24" s="179">
        <f t="shared" si="52"/>
        <v>0</v>
      </c>
      <c r="AP24" s="180">
        <f>IFERROR(ROUND(SUM(AJ24:AO24)/AP23,3),0)</f>
        <v>0</v>
      </c>
      <c r="AQ24" s="803"/>
      <c r="AR24" s="181">
        <f t="shared" ref="AR24:AW24" si="53">AR$4*AR23</f>
        <v>0</v>
      </c>
      <c r="AS24" s="179">
        <f t="shared" si="53"/>
        <v>0</v>
      </c>
      <c r="AT24" s="179">
        <f t="shared" si="53"/>
        <v>0</v>
      </c>
      <c r="AU24" s="179">
        <f t="shared" si="53"/>
        <v>0</v>
      </c>
      <c r="AV24" s="179">
        <f t="shared" si="53"/>
        <v>0</v>
      </c>
      <c r="AW24" s="179">
        <f t="shared" si="53"/>
        <v>0</v>
      </c>
      <c r="AX24" s="179">
        <f>IFERROR(ROUND(SUM(AR24:AW24)/AX23,3),0)</f>
        <v>0</v>
      </c>
      <c r="AY24" s="803"/>
      <c r="BA24" s="796"/>
      <c r="BB24" s="155"/>
      <c r="BC24" s="183"/>
    </row>
    <row r="25" spans="2:55" ht="18.75" customHeight="1">
      <c r="B25" s="800" t="s">
        <v>185</v>
      </c>
      <c r="C25" s="173" t="s">
        <v>175</v>
      </c>
      <c r="D25" s="209"/>
      <c r="E25" s="209"/>
      <c r="F25" s="209"/>
      <c r="G25" s="209"/>
      <c r="H25" s="209"/>
      <c r="I25" s="209"/>
      <c r="J25" s="175">
        <f>SUM(D25:I25)</f>
        <v>0</v>
      </c>
      <c r="K25" s="802">
        <f>ROUND(J26/3*J25,2)</f>
        <v>0</v>
      </c>
      <c r="L25" s="209"/>
      <c r="M25" s="209"/>
      <c r="N25" s="209"/>
      <c r="O25" s="209"/>
      <c r="P25" s="209"/>
      <c r="Q25" s="209"/>
      <c r="R25" s="175">
        <f>SUM(L25:Q25)</f>
        <v>0</v>
      </c>
      <c r="S25" s="802">
        <f>ROUND(R26/5*R25,2)</f>
        <v>0</v>
      </c>
      <c r="T25" s="209"/>
      <c r="U25" s="209"/>
      <c r="V25" s="209"/>
      <c r="W25" s="209"/>
      <c r="X25" s="209"/>
      <c r="Y25" s="209"/>
      <c r="Z25" s="174">
        <f>SUM(T25:Y25)</f>
        <v>0</v>
      </c>
      <c r="AA25" s="802">
        <f>ROUND(Z26/6*Z25,2)</f>
        <v>0</v>
      </c>
      <c r="AB25" s="209"/>
      <c r="AC25" s="209"/>
      <c r="AD25" s="209"/>
      <c r="AE25" s="209"/>
      <c r="AF25" s="209"/>
      <c r="AG25" s="209"/>
      <c r="AH25" s="174">
        <f>SUM(AB25:AG25)</f>
        <v>0</v>
      </c>
      <c r="AI25" s="802">
        <f>ROUND(AH26/15*AH25,2)</f>
        <v>0</v>
      </c>
      <c r="AJ25" s="209"/>
      <c r="AK25" s="209"/>
      <c r="AL25" s="209"/>
      <c r="AM25" s="209"/>
      <c r="AN25" s="209"/>
      <c r="AO25" s="209"/>
      <c r="AP25" s="174">
        <f>SUM(AJ25:AO25)</f>
        <v>0</v>
      </c>
      <c r="AQ25" s="802">
        <f>ROUND(AP26/20*AP25,2)</f>
        <v>0</v>
      </c>
      <c r="AR25" s="209"/>
      <c r="AS25" s="209"/>
      <c r="AT25" s="209"/>
      <c r="AU25" s="209"/>
      <c r="AV25" s="209"/>
      <c r="AW25" s="209"/>
      <c r="AX25" s="176">
        <f>SUM(AR25:AW25)</f>
        <v>0</v>
      </c>
      <c r="AY25" s="802">
        <f>ROUND(AX26/25*AX25,2)</f>
        <v>0</v>
      </c>
      <c r="BA25" s="796">
        <f>ROUND(AY25+AQ25+AI25+AA25+S25+K25,1)</f>
        <v>0</v>
      </c>
      <c r="BB25" s="155" t="str">
        <f>IF(J25+R25=0,"×","○")</f>
        <v>×</v>
      </c>
      <c r="BC25" s="177">
        <f>SUM(J25,R25,Z25,AH25,AP25,AX25)</f>
        <v>0</v>
      </c>
    </row>
    <row r="26" spans="2:55" ht="18.75" customHeight="1">
      <c r="B26" s="805"/>
      <c r="C26" s="184" t="s">
        <v>176</v>
      </c>
      <c r="D26" s="179">
        <f t="shared" ref="D26:I26" si="54">D$4*D25</f>
        <v>0</v>
      </c>
      <c r="E26" s="179">
        <f t="shared" si="54"/>
        <v>0</v>
      </c>
      <c r="F26" s="179">
        <f t="shared" si="54"/>
        <v>0</v>
      </c>
      <c r="G26" s="179">
        <f t="shared" si="54"/>
        <v>0</v>
      </c>
      <c r="H26" s="179">
        <f t="shared" si="54"/>
        <v>0</v>
      </c>
      <c r="I26" s="179">
        <f t="shared" si="54"/>
        <v>0</v>
      </c>
      <c r="J26" s="180">
        <f>IFERROR(ROUND(SUM(D26:I26)/J25,3),0)</f>
        <v>0</v>
      </c>
      <c r="K26" s="803"/>
      <c r="L26" s="181">
        <f t="shared" ref="L26:Q26" si="55">L$4*L25</f>
        <v>0</v>
      </c>
      <c r="M26" s="179">
        <f t="shared" si="55"/>
        <v>0</v>
      </c>
      <c r="N26" s="179">
        <f t="shared" si="55"/>
        <v>0</v>
      </c>
      <c r="O26" s="179">
        <f t="shared" si="55"/>
        <v>0</v>
      </c>
      <c r="P26" s="179">
        <f t="shared" si="55"/>
        <v>0</v>
      </c>
      <c r="Q26" s="179">
        <f t="shared" si="55"/>
        <v>0</v>
      </c>
      <c r="R26" s="180">
        <f>IFERROR(ROUND(SUM(L26:Q26)/R25,3),0)</f>
        <v>0</v>
      </c>
      <c r="S26" s="803"/>
      <c r="T26" s="182">
        <f t="shared" ref="T26:Y26" si="56">T$4*T25</f>
        <v>0</v>
      </c>
      <c r="U26" s="179">
        <f t="shared" si="56"/>
        <v>0</v>
      </c>
      <c r="V26" s="179">
        <f t="shared" si="56"/>
        <v>0</v>
      </c>
      <c r="W26" s="179">
        <f t="shared" si="56"/>
        <v>0</v>
      </c>
      <c r="X26" s="179">
        <f t="shared" si="56"/>
        <v>0</v>
      </c>
      <c r="Y26" s="179">
        <f t="shared" si="56"/>
        <v>0</v>
      </c>
      <c r="Z26" s="180">
        <f>IFERROR(ROUND(SUM(T26:Y26)/Z25,3),0)</f>
        <v>0</v>
      </c>
      <c r="AA26" s="803"/>
      <c r="AB26" s="181">
        <f t="shared" ref="AB26:AG26" si="57">AB$4*AB25</f>
        <v>0</v>
      </c>
      <c r="AC26" s="179">
        <f t="shared" si="57"/>
        <v>0</v>
      </c>
      <c r="AD26" s="179">
        <f t="shared" si="57"/>
        <v>0</v>
      </c>
      <c r="AE26" s="179">
        <f t="shared" si="57"/>
        <v>0</v>
      </c>
      <c r="AF26" s="179">
        <f t="shared" si="57"/>
        <v>0</v>
      </c>
      <c r="AG26" s="179">
        <f t="shared" si="57"/>
        <v>0</v>
      </c>
      <c r="AH26" s="180">
        <f>IFERROR(ROUND(SUM(AB26:AG26)/AH25,3),0)</f>
        <v>0</v>
      </c>
      <c r="AI26" s="803"/>
      <c r="AJ26" s="182">
        <f t="shared" ref="AJ26:AO26" si="58">AJ$4*AJ25</f>
        <v>0</v>
      </c>
      <c r="AK26" s="179">
        <f t="shared" si="58"/>
        <v>0</v>
      </c>
      <c r="AL26" s="179">
        <f t="shared" si="58"/>
        <v>0</v>
      </c>
      <c r="AM26" s="179">
        <f t="shared" si="58"/>
        <v>0</v>
      </c>
      <c r="AN26" s="179">
        <f t="shared" si="58"/>
        <v>0</v>
      </c>
      <c r="AO26" s="179">
        <f t="shared" si="58"/>
        <v>0</v>
      </c>
      <c r="AP26" s="180">
        <f>IFERROR(ROUND(SUM(AJ26:AO26)/AP25,3),0)</f>
        <v>0</v>
      </c>
      <c r="AQ26" s="803"/>
      <c r="AR26" s="181">
        <f t="shared" ref="AR26:AW26" si="59">AR$4*AR25</f>
        <v>0</v>
      </c>
      <c r="AS26" s="179">
        <f t="shared" si="59"/>
        <v>0</v>
      </c>
      <c r="AT26" s="179">
        <f t="shared" si="59"/>
        <v>0</v>
      </c>
      <c r="AU26" s="179">
        <f t="shared" si="59"/>
        <v>0</v>
      </c>
      <c r="AV26" s="179">
        <f t="shared" si="59"/>
        <v>0</v>
      </c>
      <c r="AW26" s="179">
        <f t="shared" si="59"/>
        <v>0</v>
      </c>
      <c r="AX26" s="179">
        <f>IFERROR(ROUND(SUM(AR26:AW26)/AX25,3),0)</f>
        <v>0</v>
      </c>
      <c r="AY26" s="803"/>
      <c r="BA26" s="796"/>
      <c r="BB26" s="155"/>
      <c r="BC26" s="183"/>
    </row>
    <row r="27" spans="2:55" ht="18.75" customHeight="1">
      <c r="B27" s="800" t="s">
        <v>15</v>
      </c>
      <c r="C27" s="173" t="s">
        <v>175</v>
      </c>
      <c r="D27" s="209"/>
      <c r="E27" s="209"/>
      <c r="F27" s="209"/>
      <c r="G27" s="209"/>
      <c r="H27" s="209"/>
      <c r="I27" s="209"/>
      <c r="J27" s="175">
        <f>SUM(D27:I27)</f>
        <v>0</v>
      </c>
      <c r="K27" s="802">
        <f>ROUND(J28/3*J27,2)</f>
        <v>0</v>
      </c>
      <c r="L27" s="209"/>
      <c r="M27" s="209"/>
      <c r="N27" s="209"/>
      <c r="O27" s="209"/>
      <c r="P27" s="209"/>
      <c r="Q27" s="209"/>
      <c r="R27" s="175">
        <f>SUM(L27:Q27)</f>
        <v>0</v>
      </c>
      <c r="S27" s="802">
        <f>ROUND(R28/5*R27,2)</f>
        <v>0</v>
      </c>
      <c r="T27" s="209"/>
      <c r="U27" s="209"/>
      <c r="V27" s="209"/>
      <c r="W27" s="209"/>
      <c r="X27" s="209"/>
      <c r="Y27" s="209"/>
      <c r="Z27" s="174">
        <f>SUM(T27:Y27)</f>
        <v>0</v>
      </c>
      <c r="AA27" s="802">
        <f>ROUND(Z28/6*Z27,2)</f>
        <v>0</v>
      </c>
      <c r="AB27" s="209"/>
      <c r="AC27" s="209"/>
      <c r="AD27" s="209"/>
      <c r="AE27" s="209"/>
      <c r="AF27" s="209"/>
      <c r="AG27" s="209"/>
      <c r="AH27" s="174">
        <f>SUM(AB27:AG27)</f>
        <v>0</v>
      </c>
      <c r="AI27" s="802">
        <f>ROUND(AH28/15*AH27,2)</f>
        <v>0</v>
      </c>
      <c r="AJ27" s="209"/>
      <c r="AK27" s="209"/>
      <c r="AL27" s="209"/>
      <c r="AM27" s="209"/>
      <c r="AN27" s="209"/>
      <c r="AO27" s="209"/>
      <c r="AP27" s="174">
        <f>SUM(AJ27:AO27)</f>
        <v>0</v>
      </c>
      <c r="AQ27" s="802">
        <f>ROUND(AP28/20*AP27,2)</f>
        <v>0</v>
      </c>
      <c r="AR27" s="209"/>
      <c r="AS27" s="209"/>
      <c r="AT27" s="209"/>
      <c r="AU27" s="209"/>
      <c r="AV27" s="209"/>
      <c r="AW27" s="209"/>
      <c r="AX27" s="176">
        <f>SUM(AR27:AW27)</f>
        <v>0</v>
      </c>
      <c r="AY27" s="802">
        <f>ROUND(AX28/25*AX27,2)</f>
        <v>0</v>
      </c>
      <c r="BA27" s="796">
        <f>ROUND(AY27+AQ27+AI27+AA27+S27+K27,1)</f>
        <v>0</v>
      </c>
      <c r="BB27" s="155" t="str">
        <f>IF(J27+R27=0,"×","○")</f>
        <v>×</v>
      </c>
      <c r="BC27" s="177">
        <f>SUM(J27,R27,Z27,AH27,AP27,AX27)</f>
        <v>0</v>
      </c>
    </row>
    <row r="28" spans="2:55" ht="18.75" customHeight="1">
      <c r="B28" s="805"/>
      <c r="C28" s="184" t="s">
        <v>176</v>
      </c>
      <c r="D28" s="179">
        <f t="shared" ref="D28:I28" si="60">D$4*D27</f>
        <v>0</v>
      </c>
      <c r="E28" s="179">
        <f t="shared" si="60"/>
        <v>0</v>
      </c>
      <c r="F28" s="179">
        <f t="shared" si="60"/>
        <v>0</v>
      </c>
      <c r="G28" s="179">
        <f t="shared" si="60"/>
        <v>0</v>
      </c>
      <c r="H28" s="179">
        <f t="shared" si="60"/>
        <v>0</v>
      </c>
      <c r="I28" s="179">
        <f t="shared" si="60"/>
        <v>0</v>
      </c>
      <c r="J28" s="180">
        <f>IFERROR(ROUND(SUM(D28:I28)/J27,3),0)</f>
        <v>0</v>
      </c>
      <c r="K28" s="803"/>
      <c r="L28" s="181">
        <f t="shared" ref="L28:Q28" si="61">L$4*L27</f>
        <v>0</v>
      </c>
      <c r="M28" s="179">
        <f t="shared" si="61"/>
        <v>0</v>
      </c>
      <c r="N28" s="179">
        <f t="shared" si="61"/>
        <v>0</v>
      </c>
      <c r="O28" s="179">
        <f t="shared" si="61"/>
        <v>0</v>
      </c>
      <c r="P28" s="179">
        <f t="shared" si="61"/>
        <v>0</v>
      </c>
      <c r="Q28" s="179">
        <f t="shared" si="61"/>
        <v>0</v>
      </c>
      <c r="R28" s="180">
        <f>IFERROR(ROUND(SUM(L28:Q28)/R27,3),0)</f>
        <v>0</v>
      </c>
      <c r="S28" s="803"/>
      <c r="T28" s="182">
        <f t="shared" ref="T28:Y28" si="62">T$4*T27</f>
        <v>0</v>
      </c>
      <c r="U28" s="179">
        <f t="shared" si="62"/>
        <v>0</v>
      </c>
      <c r="V28" s="179">
        <f t="shared" si="62"/>
        <v>0</v>
      </c>
      <c r="W28" s="179">
        <f t="shared" si="62"/>
        <v>0</v>
      </c>
      <c r="X28" s="179">
        <f t="shared" si="62"/>
        <v>0</v>
      </c>
      <c r="Y28" s="179">
        <f t="shared" si="62"/>
        <v>0</v>
      </c>
      <c r="Z28" s="180">
        <f>IFERROR(ROUND(SUM(T28:Y28)/Z27,3),0)</f>
        <v>0</v>
      </c>
      <c r="AA28" s="803"/>
      <c r="AB28" s="181">
        <f t="shared" ref="AB28:AG28" si="63">AB$4*AB27</f>
        <v>0</v>
      </c>
      <c r="AC28" s="179">
        <f t="shared" si="63"/>
        <v>0</v>
      </c>
      <c r="AD28" s="179">
        <f t="shared" si="63"/>
        <v>0</v>
      </c>
      <c r="AE28" s="179">
        <f t="shared" si="63"/>
        <v>0</v>
      </c>
      <c r="AF28" s="179">
        <f t="shared" si="63"/>
        <v>0</v>
      </c>
      <c r="AG28" s="179">
        <f t="shared" si="63"/>
        <v>0</v>
      </c>
      <c r="AH28" s="180">
        <f>IFERROR(ROUND(SUM(AB28:AG28)/AH27,3),0)</f>
        <v>0</v>
      </c>
      <c r="AI28" s="803"/>
      <c r="AJ28" s="182">
        <f t="shared" ref="AJ28:AO28" si="64">AJ$4*AJ27</f>
        <v>0</v>
      </c>
      <c r="AK28" s="179">
        <f t="shared" si="64"/>
        <v>0</v>
      </c>
      <c r="AL28" s="179">
        <f t="shared" si="64"/>
        <v>0</v>
      </c>
      <c r="AM28" s="179">
        <f t="shared" si="64"/>
        <v>0</v>
      </c>
      <c r="AN28" s="179">
        <f t="shared" si="64"/>
        <v>0</v>
      </c>
      <c r="AO28" s="179">
        <f t="shared" si="64"/>
        <v>0</v>
      </c>
      <c r="AP28" s="180">
        <f>IFERROR(ROUND(SUM(AJ28:AO28)/AP27,3),0)</f>
        <v>0</v>
      </c>
      <c r="AQ28" s="803"/>
      <c r="AR28" s="181">
        <f t="shared" ref="AR28:AW28" si="65">AR$4*AR27</f>
        <v>0</v>
      </c>
      <c r="AS28" s="179">
        <f t="shared" si="65"/>
        <v>0</v>
      </c>
      <c r="AT28" s="179">
        <f t="shared" si="65"/>
        <v>0</v>
      </c>
      <c r="AU28" s="179">
        <f t="shared" si="65"/>
        <v>0</v>
      </c>
      <c r="AV28" s="179">
        <f t="shared" si="65"/>
        <v>0</v>
      </c>
      <c r="AW28" s="179">
        <f t="shared" si="65"/>
        <v>0</v>
      </c>
      <c r="AX28" s="179">
        <f>IFERROR(ROUND(SUM(AR28:AW28)/AX27,3),0)</f>
        <v>0</v>
      </c>
      <c r="AY28" s="803"/>
      <c r="BA28" s="796"/>
      <c r="BB28" s="155"/>
      <c r="BC28" s="183"/>
    </row>
    <row r="29" spans="2:55" ht="18.75" customHeight="1">
      <c r="B29" s="800" t="s">
        <v>186</v>
      </c>
      <c r="C29" s="211" t="s">
        <v>175</v>
      </c>
      <c r="D29" s="209"/>
      <c r="E29" s="209"/>
      <c r="F29" s="209"/>
      <c r="G29" s="209"/>
      <c r="H29" s="209"/>
      <c r="I29" s="209"/>
      <c r="J29" s="175">
        <f>SUM(D29:I29)</f>
        <v>0</v>
      </c>
      <c r="K29" s="802">
        <f>ROUND(J30/3*J29,2)</f>
        <v>0</v>
      </c>
      <c r="L29" s="209"/>
      <c r="M29" s="209"/>
      <c r="N29" s="209"/>
      <c r="O29" s="209"/>
      <c r="P29" s="209"/>
      <c r="Q29" s="209"/>
      <c r="R29" s="175">
        <f>SUM(L29:Q29)</f>
        <v>0</v>
      </c>
      <c r="S29" s="802">
        <f>ROUND(R30/5*R29,2)</f>
        <v>0</v>
      </c>
      <c r="T29" s="209"/>
      <c r="U29" s="209"/>
      <c r="V29" s="209"/>
      <c r="W29" s="209"/>
      <c r="X29" s="209"/>
      <c r="Y29" s="209"/>
      <c r="Z29" s="174">
        <f>SUM(T29:Y29)</f>
        <v>0</v>
      </c>
      <c r="AA29" s="802">
        <f>ROUND(Z30/6*Z29,2)</f>
        <v>0</v>
      </c>
      <c r="AB29" s="209"/>
      <c r="AC29" s="209"/>
      <c r="AD29" s="209"/>
      <c r="AE29" s="209"/>
      <c r="AF29" s="209"/>
      <c r="AG29" s="209"/>
      <c r="AH29" s="174">
        <f>SUM(AB29:AG29)</f>
        <v>0</v>
      </c>
      <c r="AI29" s="802">
        <f>ROUND(AH30/15*AH29,2)</f>
        <v>0</v>
      </c>
      <c r="AJ29" s="209"/>
      <c r="AK29" s="209"/>
      <c r="AL29" s="209"/>
      <c r="AM29" s="209"/>
      <c r="AN29" s="209"/>
      <c r="AO29" s="209"/>
      <c r="AP29" s="174">
        <f>SUM(AJ29:AO29)</f>
        <v>0</v>
      </c>
      <c r="AQ29" s="802">
        <f>ROUND(AP30/20*AP29,2)</f>
        <v>0</v>
      </c>
      <c r="AR29" s="209"/>
      <c r="AS29" s="209"/>
      <c r="AT29" s="209"/>
      <c r="AU29" s="209"/>
      <c r="AV29" s="209"/>
      <c r="AW29" s="209"/>
      <c r="AX29" s="176">
        <f>SUM(AR29:AW29)</f>
        <v>0</v>
      </c>
      <c r="AY29" s="802">
        <f>ROUND(AX30/25*AX29,2)</f>
        <v>0</v>
      </c>
      <c r="BA29" s="796">
        <f>ROUND(AY29+AQ29+AI29+AA29+S29+K29,1)</f>
        <v>0</v>
      </c>
      <c r="BB29" s="155" t="str">
        <f>IF(J29+R29=0,"×","○")</f>
        <v>×</v>
      </c>
      <c r="BC29" s="177">
        <f>SUM(J29,R29,Z29,AH29,AP29,AX29)</f>
        <v>0</v>
      </c>
    </row>
    <row r="30" spans="2:55" ht="18.75" customHeight="1" thickBot="1">
      <c r="B30" s="801"/>
      <c r="C30" s="185" t="s">
        <v>176</v>
      </c>
      <c r="D30" s="186">
        <f t="shared" ref="D30:I30" si="66">D$4*D29</f>
        <v>0</v>
      </c>
      <c r="E30" s="186">
        <f t="shared" si="66"/>
        <v>0</v>
      </c>
      <c r="F30" s="186">
        <f t="shared" si="66"/>
        <v>0</v>
      </c>
      <c r="G30" s="186">
        <f t="shared" si="66"/>
        <v>0</v>
      </c>
      <c r="H30" s="186">
        <f t="shared" si="66"/>
        <v>0</v>
      </c>
      <c r="I30" s="186">
        <f t="shared" si="66"/>
        <v>0</v>
      </c>
      <c r="J30" s="187">
        <f>IFERROR(ROUND(SUM(D30:I30)/J29,3),0)</f>
        <v>0</v>
      </c>
      <c r="K30" s="803"/>
      <c r="L30" s="188">
        <f t="shared" ref="L30:Q30" si="67">L$4*L29</f>
        <v>0</v>
      </c>
      <c r="M30" s="186">
        <f t="shared" si="67"/>
        <v>0</v>
      </c>
      <c r="N30" s="186">
        <f t="shared" si="67"/>
        <v>0</v>
      </c>
      <c r="O30" s="186">
        <f t="shared" si="67"/>
        <v>0</v>
      </c>
      <c r="P30" s="186">
        <f t="shared" si="67"/>
        <v>0</v>
      </c>
      <c r="Q30" s="186">
        <f t="shared" si="67"/>
        <v>0</v>
      </c>
      <c r="R30" s="187">
        <f>IFERROR(ROUND(SUM(L30:Q30)/R29,3),0)</f>
        <v>0</v>
      </c>
      <c r="S30" s="803"/>
      <c r="T30" s="189">
        <f t="shared" ref="T30:Y30" si="68">T$4*T29</f>
        <v>0</v>
      </c>
      <c r="U30" s="186">
        <f t="shared" si="68"/>
        <v>0</v>
      </c>
      <c r="V30" s="186">
        <f t="shared" si="68"/>
        <v>0</v>
      </c>
      <c r="W30" s="186">
        <f t="shared" si="68"/>
        <v>0</v>
      </c>
      <c r="X30" s="186">
        <f t="shared" si="68"/>
        <v>0</v>
      </c>
      <c r="Y30" s="186">
        <f t="shared" si="68"/>
        <v>0</v>
      </c>
      <c r="Z30" s="187">
        <f>IFERROR(ROUND(SUM(T30:Y30)/Z29,3),0)</f>
        <v>0</v>
      </c>
      <c r="AA30" s="803"/>
      <c r="AB30" s="188">
        <f t="shared" ref="AB30:AG30" si="69">AB$4*AB29</f>
        <v>0</v>
      </c>
      <c r="AC30" s="186">
        <f t="shared" si="69"/>
        <v>0</v>
      </c>
      <c r="AD30" s="186">
        <f t="shared" si="69"/>
        <v>0</v>
      </c>
      <c r="AE30" s="186">
        <f t="shared" si="69"/>
        <v>0</v>
      </c>
      <c r="AF30" s="186">
        <f t="shared" si="69"/>
        <v>0</v>
      </c>
      <c r="AG30" s="186">
        <f t="shared" si="69"/>
        <v>0</v>
      </c>
      <c r="AH30" s="187">
        <f>IFERROR(ROUND(SUM(AB30:AG30)/AH29,3),0)</f>
        <v>0</v>
      </c>
      <c r="AI30" s="803"/>
      <c r="AJ30" s="189">
        <f t="shared" ref="AJ30:AO30" si="70">AJ$4*AJ29</f>
        <v>0</v>
      </c>
      <c r="AK30" s="186">
        <f t="shared" si="70"/>
        <v>0</v>
      </c>
      <c r="AL30" s="186">
        <f t="shared" si="70"/>
        <v>0</v>
      </c>
      <c r="AM30" s="186">
        <f t="shared" si="70"/>
        <v>0</v>
      </c>
      <c r="AN30" s="186">
        <f t="shared" si="70"/>
        <v>0</v>
      </c>
      <c r="AO30" s="186">
        <f t="shared" si="70"/>
        <v>0</v>
      </c>
      <c r="AP30" s="187">
        <f>IFERROR(ROUND(SUM(AJ30:AO30)/AP29,3),)</f>
        <v>0</v>
      </c>
      <c r="AQ30" s="803"/>
      <c r="AR30" s="188">
        <f t="shared" ref="AR30:AW30" si="71">AR$4*AR29</f>
        <v>0</v>
      </c>
      <c r="AS30" s="186">
        <f t="shared" si="71"/>
        <v>0</v>
      </c>
      <c r="AT30" s="186">
        <f t="shared" si="71"/>
        <v>0</v>
      </c>
      <c r="AU30" s="186">
        <f t="shared" si="71"/>
        <v>0</v>
      </c>
      <c r="AV30" s="186">
        <f t="shared" si="71"/>
        <v>0</v>
      </c>
      <c r="AW30" s="186">
        <f t="shared" si="71"/>
        <v>0</v>
      </c>
      <c r="AX30" s="190">
        <f>IFERROR(ROUND(SUM(AR30:AW30)/AX29,3),0)</f>
        <v>0</v>
      </c>
      <c r="AY30" s="803"/>
      <c r="BA30" s="796"/>
    </row>
    <row r="31" spans="2:55" ht="20.25" customHeight="1">
      <c r="B31" s="797" t="s">
        <v>187</v>
      </c>
      <c r="C31" s="173" t="s">
        <v>175</v>
      </c>
      <c r="D31" s="244">
        <f>ROUND(SUM(D7,D9,D11,D13,D15,D17,D19,D21,D23,D25,D27,D29)/12,0)</f>
        <v>0</v>
      </c>
      <c r="E31" s="245">
        <f>ROUND(SUM(E7,E9,E11,E13,E15,E17,E19,E21,E23,E25,E27,E29)/12,0)</f>
        <v>0</v>
      </c>
      <c r="F31" s="245">
        <f t="shared" ref="F31:I31" si="72">ROUND(SUM(F7,F9,F11,F13,F15,F17,F19,F21,F23,F25,F27,F29)/12,0)</f>
        <v>0</v>
      </c>
      <c r="G31" s="245">
        <f t="shared" si="72"/>
        <v>0</v>
      </c>
      <c r="H31" s="245">
        <f t="shared" si="72"/>
        <v>0</v>
      </c>
      <c r="I31" s="245">
        <f t="shared" si="72"/>
        <v>0</v>
      </c>
      <c r="J31" s="245">
        <f>SUM(D31:I31)</f>
        <v>0</v>
      </c>
      <c r="K31" s="802">
        <f>ROUND(J32/3*J31,2)</f>
        <v>0</v>
      </c>
      <c r="L31" s="244">
        <f t="shared" ref="L31:Q31" si="73">ROUND(SUM(L7,L9,L11,L13,L15,L17,L19,L21,L23,L25,L27,L29)/12,0)</f>
        <v>0</v>
      </c>
      <c r="M31" s="245">
        <f t="shared" si="73"/>
        <v>0</v>
      </c>
      <c r="N31" s="245">
        <f t="shared" si="73"/>
        <v>0</v>
      </c>
      <c r="O31" s="245">
        <f t="shared" si="73"/>
        <v>0</v>
      </c>
      <c r="P31" s="245">
        <f t="shared" si="73"/>
        <v>0</v>
      </c>
      <c r="Q31" s="245">
        <f t="shared" si="73"/>
        <v>0</v>
      </c>
      <c r="R31" s="245">
        <f>SUM(L31:Q31)</f>
        <v>0</v>
      </c>
      <c r="S31" s="802">
        <f>ROUND(R32/5*R31,2)</f>
        <v>0</v>
      </c>
      <c r="T31" s="244">
        <f>ROUND(SUM(T7,T9,T11,T13,T15,T17,T19,T21,T23,T25,T27,T29)/12,0)</f>
        <v>0</v>
      </c>
      <c r="U31" s="245">
        <f>ROUND(SUM(U7,U9,U11,U13,U15,U17,U19,U21,U23,U25,U27,U29)/12,0)</f>
        <v>0</v>
      </c>
      <c r="V31" s="245">
        <f t="shared" ref="V31:Y31" si="74">ROUND(SUM(V7,V9,V11,V13,V15,V17,V19,V21,V23,V25,V27,V29)/12,0)</f>
        <v>0</v>
      </c>
      <c r="W31" s="245">
        <f t="shared" si="74"/>
        <v>0</v>
      </c>
      <c r="X31" s="245">
        <f t="shared" si="74"/>
        <v>0</v>
      </c>
      <c r="Y31" s="245">
        <f t="shared" si="74"/>
        <v>0</v>
      </c>
      <c r="Z31" s="245">
        <f>SUM(T31:Y31)</f>
        <v>0</v>
      </c>
      <c r="AA31" s="802">
        <f>ROUND(Z32/6*Z31,2)</f>
        <v>0</v>
      </c>
      <c r="AB31" s="244">
        <f>ROUND(SUM(AB7,AB9,AB11,AB13,AB15,AB17,AB19,AB21,AB23,AB25,AB27,AB29)/12,0)</f>
        <v>0</v>
      </c>
      <c r="AC31" s="245">
        <f>ROUND(SUM(AC7,AC9,AC11,AC13,AC15,AC17,AC19,AC21,AC23,AC25,AC27,AC29)/12,0)</f>
        <v>0</v>
      </c>
      <c r="AD31" s="245">
        <f t="shared" ref="AD31:AG31" si="75">ROUND(SUM(AD7,AD9,AD11,AD13,AD15,AD17,AD19,AD21,AD23,AD25,AD27,AD29)/12,0)</f>
        <v>0</v>
      </c>
      <c r="AE31" s="245">
        <f t="shared" si="75"/>
        <v>0</v>
      </c>
      <c r="AF31" s="245">
        <f t="shared" si="75"/>
        <v>0</v>
      </c>
      <c r="AG31" s="245">
        <f t="shared" si="75"/>
        <v>0</v>
      </c>
      <c r="AH31" s="245">
        <f>SUM(AB31:AG31)</f>
        <v>0</v>
      </c>
      <c r="AI31" s="802">
        <f>ROUND(AH32/15*AH31,2)</f>
        <v>0</v>
      </c>
      <c r="AJ31" s="244">
        <f>ROUND(SUM(AJ7,AJ9,AJ11,AJ13,AJ15,AJ17,AJ19,AJ21,AJ23,AJ25,AJ27,AJ29)/12,0)</f>
        <v>0</v>
      </c>
      <c r="AK31" s="245">
        <f>ROUND(SUM(AK7,AK9,AK11,AK13,AK15,AK17,AK19,AK21,AK23,AK25,AK27,AK29)/12,0)</f>
        <v>0</v>
      </c>
      <c r="AL31" s="245">
        <f t="shared" ref="AL31:AO31" si="76">ROUND(SUM(AL7,AL9,AL11,AL13,AL15,AL17,AL19,AL21,AL23,AL25,AL27,AL29)/12,0)</f>
        <v>0</v>
      </c>
      <c r="AM31" s="245">
        <f t="shared" si="76"/>
        <v>0</v>
      </c>
      <c r="AN31" s="245">
        <f t="shared" si="76"/>
        <v>0</v>
      </c>
      <c r="AO31" s="245">
        <f t="shared" si="76"/>
        <v>0</v>
      </c>
      <c r="AP31" s="245">
        <f>SUM(AJ31:AO31)</f>
        <v>0</v>
      </c>
      <c r="AQ31" s="802">
        <f>ROUND(AP32/20*AP31,2)</f>
        <v>0</v>
      </c>
      <c r="AR31" s="244">
        <f>ROUND(SUM(AR7,AR9,AR11,AR13,AR15,AR17,AR19,AR21,AR23,AR25,AR27,AR29)/12,0)</f>
        <v>0</v>
      </c>
      <c r="AS31" s="245">
        <f>ROUND(SUM(AS7,AS9,AS11,AS13,AS15,AS17,AS19,AS21,AS23,AS25,AS27,AS29)/12,0)</f>
        <v>0</v>
      </c>
      <c r="AT31" s="245">
        <f t="shared" ref="AT31:AW31" si="77">ROUND(SUM(AT7,AT9,AT11,AT13,AT15,AT17,AT19,AT21,AT23,AT25,AT27,AT29)/12,0)</f>
        <v>0</v>
      </c>
      <c r="AU31" s="245">
        <f t="shared" si="77"/>
        <v>0</v>
      </c>
      <c r="AV31" s="245">
        <f t="shared" si="77"/>
        <v>0</v>
      </c>
      <c r="AW31" s="245">
        <f t="shared" si="77"/>
        <v>0</v>
      </c>
      <c r="AX31" s="245">
        <f>SUM(AR31:AW31)</f>
        <v>0</v>
      </c>
      <c r="AY31" s="802">
        <f>ROUND(AX32/25*AX31,2)</f>
        <v>0</v>
      </c>
      <c r="BA31" s="796">
        <f>ROUND(AY31+AQ31+AI31+AA31+S31+K31,1)</f>
        <v>0</v>
      </c>
      <c r="BB31" s="218" t="str">
        <f>IF(J31+R31=0,"×","○")</f>
        <v>×</v>
      </c>
      <c r="BC31" s="177">
        <f>SUM(J31,R31,Z31,AH31,AP31,AX31)</f>
        <v>0</v>
      </c>
    </row>
    <row r="32" spans="2:55" ht="20.25" customHeight="1" thickBot="1">
      <c r="B32" s="798"/>
      <c r="C32" s="191" t="s">
        <v>176</v>
      </c>
      <c r="D32" s="193">
        <f>D$4*D31</f>
        <v>0</v>
      </c>
      <c r="E32" s="190">
        <f t="shared" ref="E32:H32" si="78">E$4*E31</f>
        <v>0</v>
      </c>
      <c r="F32" s="190">
        <f t="shared" si="78"/>
        <v>0</v>
      </c>
      <c r="G32" s="190">
        <f t="shared" si="78"/>
        <v>0</v>
      </c>
      <c r="H32" s="190">
        <f t="shared" si="78"/>
        <v>0</v>
      </c>
      <c r="I32" s="190">
        <f>I$4*I31</f>
        <v>0</v>
      </c>
      <c r="J32" s="192">
        <f>IFERROR(ROUND(SUM(D32:I32)/J31,3),0)</f>
        <v>0</v>
      </c>
      <c r="K32" s="804"/>
      <c r="L32" s="193">
        <f>L$4*L31</f>
        <v>0</v>
      </c>
      <c r="M32" s="190">
        <f>M$4*M31</f>
        <v>0</v>
      </c>
      <c r="N32" s="190">
        <f t="shared" ref="N32:Q32" si="79">N$4*N31</f>
        <v>0</v>
      </c>
      <c r="O32" s="190">
        <f t="shared" si="79"/>
        <v>0</v>
      </c>
      <c r="P32" s="190">
        <f t="shared" si="79"/>
        <v>0</v>
      </c>
      <c r="Q32" s="190">
        <f t="shared" si="79"/>
        <v>0</v>
      </c>
      <c r="R32" s="192">
        <f>IFERROR(ROUND(SUM(L32:Q32)/R31,3),0)</f>
        <v>0</v>
      </c>
      <c r="S32" s="804"/>
      <c r="T32" s="193">
        <f>T$4*T31</f>
        <v>0</v>
      </c>
      <c r="U32" s="190">
        <f>U$4*U31</f>
        <v>0</v>
      </c>
      <c r="V32" s="190">
        <f t="shared" ref="V32:Y32" si="80">V$4*V31</f>
        <v>0</v>
      </c>
      <c r="W32" s="190">
        <f t="shared" si="80"/>
        <v>0</v>
      </c>
      <c r="X32" s="190">
        <f t="shared" si="80"/>
        <v>0</v>
      </c>
      <c r="Y32" s="190">
        <f t="shared" si="80"/>
        <v>0</v>
      </c>
      <c r="Z32" s="192">
        <f>IFERROR(ROUND(SUM(T32:Y32)/Z31,3),0)</f>
        <v>0</v>
      </c>
      <c r="AA32" s="804"/>
      <c r="AB32" s="193">
        <f>AB$4*AB31</f>
        <v>0</v>
      </c>
      <c r="AC32" s="190">
        <f>AC$4*AC31</f>
        <v>0</v>
      </c>
      <c r="AD32" s="190">
        <f t="shared" ref="AD32:AG32" si="81">AD$4*AD31</f>
        <v>0</v>
      </c>
      <c r="AE32" s="190">
        <f t="shared" si="81"/>
        <v>0</v>
      </c>
      <c r="AF32" s="190">
        <f t="shared" si="81"/>
        <v>0</v>
      </c>
      <c r="AG32" s="190">
        <f t="shared" si="81"/>
        <v>0</v>
      </c>
      <c r="AH32" s="192">
        <f>IFERROR(ROUND(SUM(AB32:AG32)/AH31,3),0)</f>
        <v>0</v>
      </c>
      <c r="AI32" s="804"/>
      <c r="AJ32" s="193">
        <f>AJ$4*AJ31</f>
        <v>0</v>
      </c>
      <c r="AK32" s="190">
        <f>AK$4*AK31</f>
        <v>0</v>
      </c>
      <c r="AL32" s="190">
        <f t="shared" ref="AL32:AO32" si="82">AL$4*AL31</f>
        <v>0</v>
      </c>
      <c r="AM32" s="190">
        <f t="shared" si="82"/>
        <v>0</v>
      </c>
      <c r="AN32" s="190">
        <f t="shared" si="82"/>
        <v>0</v>
      </c>
      <c r="AO32" s="190">
        <f t="shared" si="82"/>
        <v>0</v>
      </c>
      <c r="AP32" s="192">
        <f>IFERROR(ROUND(SUM(AJ32:AO32)/AP31,3),0)</f>
        <v>0</v>
      </c>
      <c r="AQ32" s="804"/>
      <c r="AR32" s="193">
        <f>AR$4*AR31</f>
        <v>0</v>
      </c>
      <c r="AS32" s="190">
        <f>AS$4*AS31</f>
        <v>0</v>
      </c>
      <c r="AT32" s="190">
        <f t="shared" ref="AT32:AW32" si="83">AT$4*AT31</f>
        <v>0</v>
      </c>
      <c r="AU32" s="190">
        <f t="shared" si="83"/>
        <v>0</v>
      </c>
      <c r="AV32" s="190">
        <f t="shared" si="83"/>
        <v>0</v>
      </c>
      <c r="AW32" s="190">
        <f t="shared" si="83"/>
        <v>0</v>
      </c>
      <c r="AX32" s="192">
        <f>IFERROR(ROUND(SUM(AR32:AW32)/AX31,3),0)</f>
        <v>0</v>
      </c>
      <c r="AY32" s="804"/>
      <c r="BA32" s="796"/>
    </row>
    <row r="33" spans="2:50" ht="20.25" customHeight="1">
      <c r="B33" s="799"/>
      <c r="C33" s="799"/>
      <c r="J33" s="194"/>
      <c r="K33" s="194"/>
      <c r="R33" s="212"/>
      <c r="S33" s="194"/>
      <c r="Z33" s="212"/>
      <c r="AA33" s="194"/>
      <c r="AH33" s="212"/>
      <c r="AI33" s="194"/>
      <c r="AP33" s="212"/>
      <c r="AQ33" s="212"/>
      <c r="AR33" s="213"/>
      <c r="AS33" s="213"/>
      <c r="AT33" s="213"/>
      <c r="AU33" s="213"/>
      <c r="AV33" s="213"/>
      <c r="AW33" s="213"/>
      <c r="AX33" s="212"/>
    </row>
  </sheetData>
  <sheetProtection algorithmName="SHA-512" hashValue="m+KAlwOFgPEXxsAuQILcN7W20vqNmwt6YGrjNpmsQBYFPhh4QTv7gEOXoOh4RzRN+6hnlyo2YF12n7hkfLlKyg==" saltValue="bwedJ4BI9IG7ZhF8I54ygw==" spinCount="100000" sheet="1" objects="1" scenarios="1"/>
  <mergeCells count="118">
    <mergeCell ref="A1:D2"/>
    <mergeCell ref="B5:C6"/>
    <mergeCell ref="D5:K5"/>
    <mergeCell ref="L5:S5"/>
    <mergeCell ref="T5:Z5"/>
    <mergeCell ref="AB5:AI5"/>
    <mergeCell ref="AI1:AQ1"/>
    <mergeCell ref="F1:X2"/>
    <mergeCell ref="AJ5:AQ5"/>
    <mergeCell ref="AR5:AY5"/>
    <mergeCell ref="BA5:BA6"/>
    <mergeCell ref="BB5:BB6"/>
    <mergeCell ref="BC5:BC6"/>
    <mergeCell ref="B7:B8"/>
    <mergeCell ref="K7:K8"/>
    <mergeCell ref="S7:S8"/>
    <mergeCell ref="AA7:AA8"/>
    <mergeCell ref="AI7:AI8"/>
    <mergeCell ref="AQ7:AQ8"/>
    <mergeCell ref="AY7:AY8"/>
    <mergeCell ref="BA7:BA8"/>
    <mergeCell ref="B9:B10"/>
    <mergeCell ref="K9:K10"/>
    <mergeCell ref="S9:S10"/>
    <mergeCell ref="AA9:AA10"/>
    <mergeCell ref="AI9:AI10"/>
    <mergeCell ref="AQ9:AQ10"/>
    <mergeCell ref="AY9:AY10"/>
    <mergeCell ref="BA9:BA10"/>
    <mergeCell ref="B11:B12"/>
    <mergeCell ref="K11:K12"/>
    <mergeCell ref="S11:S12"/>
    <mergeCell ref="AA11:AA12"/>
    <mergeCell ref="AI11:AI12"/>
    <mergeCell ref="AQ11:AQ12"/>
    <mergeCell ref="AY11:AY12"/>
    <mergeCell ref="BA11:BA12"/>
    <mergeCell ref="B13:B14"/>
    <mergeCell ref="K13:K14"/>
    <mergeCell ref="S13:S14"/>
    <mergeCell ref="AA13:AA14"/>
    <mergeCell ref="AI13:AI14"/>
    <mergeCell ref="AQ13:AQ14"/>
    <mergeCell ref="AY13:AY14"/>
    <mergeCell ref="BA13:BA14"/>
    <mergeCell ref="B15:B16"/>
    <mergeCell ref="K15:K16"/>
    <mergeCell ref="S15:S16"/>
    <mergeCell ref="AA15:AA16"/>
    <mergeCell ref="AI15:AI16"/>
    <mergeCell ref="AQ15:AQ16"/>
    <mergeCell ref="AY15:AY16"/>
    <mergeCell ref="BA15:BA16"/>
    <mergeCell ref="B17:B18"/>
    <mergeCell ref="K17:K18"/>
    <mergeCell ref="S17:S18"/>
    <mergeCell ref="AA17:AA18"/>
    <mergeCell ref="AI17:AI18"/>
    <mergeCell ref="AQ17:AQ18"/>
    <mergeCell ref="AY17:AY18"/>
    <mergeCell ref="BA17:BA18"/>
    <mergeCell ref="B19:B20"/>
    <mergeCell ref="K19:K20"/>
    <mergeCell ref="S19:S20"/>
    <mergeCell ref="AA19:AA20"/>
    <mergeCell ref="AI19:AI20"/>
    <mergeCell ref="AQ19:AQ20"/>
    <mergeCell ref="AY19:AY20"/>
    <mergeCell ref="BA19:BA20"/>
    <mergeCell ref="BA25:BA26"/>
    <mergeCell ref="B27:B28"/>
    <mergeCell ref="K27:K28"/>
    <mergeCell ref="S27:S28"/>
    <mergeCell ref="AA27:AA28"/>
    <mergeCell ref="AI27:AI28"/>
    <mergeCell ref="AQ27:AQ28"/>
    <mergeCell ref="BA27:BA28"/>
    <mergeCell ref="B21:B22"/>
    <mergeCell ref="K21:K22"/>
    <mergeCell ref="S21:S22"/>
    <mergeCell ref="AA21:AA22"/>
    <mergeCell ref="AI21:AI22"/>
    <mergeCell ref="AQ21:AQ22"/>
    <mergeCell ref="AY21:AY22"/>
    <mergeCell ref="BA21:BA22"/>
    <mergeCell ref="B23:B24"/>
    <mergeCell ref="K23:K24"/>
    <mergeCell ref="S23:S24"/>
    <mergeCell ref="AA23:AA24"/>
    <mergeCell ref="AI23:AI24"/>
    <mergeCell ref="AQ23:AQ24"/>
    <mergeCell ref="AY23:AY24"/>
    <mergeCell ref="BA23:BA24"/>
    <mergeCell ref="AY27:AY28"/>
    <mergeCell ref="AY29:AY30"/>
    <mergeCell ref="B25:B26"/>
    <mergeCell ref="K25:K26"/>
    <mergeCell ref="S25:S26"/>
    <mergeCell ref="AA25:AA26"/>
    <mergeCell ref="AI25:AI26"/>
    <mergeCell ref="AQ25:AQ26"/>
    <mergeCell ref="AY25:AY26"/>
    <mergeCell ref="BA29:BA30"/>
    <mergeCell ref="B31:B32"/>
    <mergeCell ref="B33:C33"/>
    <mergeCell ref="B29:B30"/>
    <mergeCell ref="K29:K30"/>
    <mergeCell ref="S29:S30"/>
    <mergeCell ref="AA29:AA30"/>
    <mergeCell ref="AI29:AI30"/>
    <mergeCell ref="AQ29:AQ30"/>
    <mergeCell ref="K31:K32"/>
    <mergeCell ref="S31:S32"/>
    <mergeCell ref="AA31:AA32"/>
    <mergeCell ref="AI31:AI32"/>
    <mergeCell ref="AQ31:AQ32"/>
    <mergeCell ref="AY31:AY32"/>
    <mergeCell ref="BA31:BA32"/>
  </mergeCells>
  <phoneticPr fontId="2"/>
  <pageMargins left="0.7" right="0.7" top="0.75" bottom="0.75" header="0.3" footer="0.3"/>
  <pageSetup paperSize="9" scale="22"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BC33"/>
  <sheetViews>
    <sheetView view="pageBreakPreview" zoomScale="70" zoomScaleNormal="100" zoomScaleSheetLayoutView="70" workbookViewId="0">
      <pane xSplit="3" ySplit="6" topLeftCell="D7" activePane="bottomRight" state="frozen"/>
      <selection pane="topRight" activeCell="D1" sqref="D1"/>
      <selection pane="bottomLeft" activeCell="A5" sqref="A5"/>
      <selection pane="bottomRight" activeCell="X44" sqref="X44"/>
    </sheetView>
  </sheetViews>
  <sheetFormatPr defaultRowHeight="13.5"/>
  <cols>
    <col min="2" max="2" width="6.5" bestFit="1" customWidth="1"/>
    <col min="3" max="3" width="6.5" customWidth="1"/>
    <col min="4" max="4" width="7.625" bestFit="1" customWidth="1"/>
    <col min="5" max="5" width="7.75" customWidth="1"/>
    <col min="6" max="7" width="7.75" bestFit="1" customWidth="1"/>
    <col min="8" max="8" width="8.75" bestFit="1" customWidth="1"/>
    <col min="9" max="9" width="7.375" bestFit="1" customWidth="1"/>
    <col min="10" max="11" width="7.625" customWidth="1"/>
    <col min="12" max="12" width="7.625" bestFit="1" customWidth="1"/>
    <col min="13" max="13" width="7" customWidth="1"/>
    <col min="14" max="14" width="7.625" bestFit="1" customWidth="1"/>
    <col min="15" max="15" width="7.25" bestFit="1" customWidth="1"/>
    <col min="16" max="16" width="8.625" bestFit="1" customWidth="1"/>
    <col min="17" max="17" width="7.25" bestFit="1" customWidth="1"/>
    <col min="18" max="19" width="7.25" customWidth="1"/>
    <col min="20" max="20" width="7.625" bestFit="1" customWidth="1"/>
    <col min="21" max="21" width="6.25" bestFit="1" customWidth="1"/>
    <col min="22" max="22" width="7.625" bestFit="1" customWidth="1"/>
    <col min="23" max="23" width="7.25" bestFit="1" customWidth="1"/>
    <col min="24" max="24" width="8.625" bestFit="1" customWidth="1"/>
    <col min="25" max="25" width="7.25" bestFit="1" customWidth="1"/>
    <col min="26" max="27" width="7.125" customWidth="1"/>
    <col min="28" max="35" width="7.5" customWidth="1"/>
    <col min="36" max="43" width="8" customWidth="1"/>
    <col min="44" max="50" width="7.5" customWidth="1"/>
    <col min="52" max="52" width="1.125" customWidth="1"/>
  </cols>
  <sheetData>
    <row r="1" spans="1:55">
      <c r="A1" s="811" t="s">
        <v>273</v>
      </c>
      <c r="B1" s="812"/>
      <c r="C1" s="812"/>
      <c r="D1" s="813"/>
      <c r="F1" s="824" t="s">
        <v>272</v>
      </c>
      <c r="G1" s="824"/>
      <c r="H1" s="824"/>
      <c r="I1" s="824"/>
      <c r="J1" s="824"/>
      <c r="K1" s="824"/>
      <c r="L1" s="824"/>
      <c r="M1" s="824"/>
      <c r="N1" s="824"/>
      <c r="O1" s="824"/>
      <c r="P1" s="824"/>
      <c r="Q1" s="824"/>
      <c r="R1" s="824"/>
      <c r="S1" s="824"/>
      <c r="T1" s="824"/>
      <c r="U1" s="824"/>
      <c r="V1" s="824"/>
      <c r="W1" s="824"/>
      <c r="X1" s="824"/>
    </row>
    <row r="2" spans="1:55">
      <c r="A2" s="814"/>
      <c r="B2" s="815"/>
      <c r="C2" s="815"/>
      <c r="D2" s="816"/>
      <c r="F2" s="824"/>
      <c r="G2" s="824"/>
      <c r="H2" s="824"/>
      <c r="I2" s="824"/>
      <c r="J2" s="824"/>
      <c r="K2" s="824"/>
      <c r="L2" s="824"/>
      <c r="M2" s="824"/>
      <c r="N2" s="824"/>
      <c r="O2" s="824"/>
      <c r="P2" s="824"/>
      <c r="Q2" s="824"/>
      <c r="R2" s="824"/>
      <c r="S2" s="824"/>
      <c r="T2" s="824"/>
      <c r="U2" s="824"/>
      <c r="V2" s="824"/>
      <c r="W2" s="824"/>
      <c r="X2" s="824"/>
    </row>
    <row r="3" spans="1:55">
      <c r="A3" s="164"/>
      <c r="B3" s="164"/>
      <c r="C3" s="164"/>
      <c r="D3" s="164"/>
      <c r="BB3" t="e">
        <v>#DIV/0!</v>
      </c>
    </row>
    <row r="4" spans="1:55">
      <c r="D4" s="165">
        <f>ROUND((8.5-8)/8,3)</f>
        <v>6.3E-2</v>
      </c>
      <c r="E4" s="165">
        <f>ROUND((9-8)/8,3)</f>
        <v>0.125</v>
      </c>
      <c r="F4" s="165">
        <f>ROUND((9.5-8)/8,3)</f>
        <v>0.188</v>
      </c>
      <c r="G4" s="165">
        <f>ROUND((10-8)/8,3)</f>
        <v>0.25</v>
      </c>
      <c r="H4" s="165">
        <f>ROUND((10.5-8)/8,3)</f>
        <v>0.313</v>
      </c>
      <c r="I4" s="165">
        <f>ROUND((11-8)/8,3)</f>
        <v>0.375</v>
      </c>
      <c r="L4" s="165">
        <f>ROUND((8.5-8)/8,3)</f>
        <v>6.3E-2</v>
      </c>
      <c r="M4" s="165">
        <f>ROUND((9-8)/8,3)</f>
        <v>0.125</v>
      </c>
      <c r="N4" s="165">
        <f>ROUND((9.5-8)/8,3)</f>
        <v>0.188</v>
      </c>
      <c r="O4" s="165">
        <f>ROUND((10-8)/8,3)</f>
        <v>0.25</v>
      </c>
      <c r="P4" s="165">
        <f>ROUND((10.5-8)/8,3)</f>
        <v>0.313</v>
      </c>
      <c r="Q4" s="165">
        <f>ROUND((11-8)/8,3)</f>
        <v>0.375</v>
      </c>
      <c r="T4" s="165">
        <f>ROUND((8.5-8)/8,3)</f>
        <v>6.3E-2</v>
      </c>
      <c r="U4" s="165">
        <f>ROUND((9-8)/8,3)</f>
        <v>0.125</v>
      </c>
      <c r="V4" s="165">
        <f>ROUND((9.5-8)/8,3)</f>
        <v>0.188</v>
      </c>
      <c r="W4" s="165">
        <f>ROUND((10-8)/8,3)</f>
        <v>0.25</v>
      </c>
      <c r="X4" s="165">
        <f>ROUND((10.5-8)/8,3)</f>
        <v>0.313</v>
      </c>
      <c r="Y4" s="165">
        <f>ROUND((11-8)/8,3)</f>
        <v>0.375</v>
      </c>
      <c r="AB4" s="165">
        <f>ROUND((8.5-8)/8,3)</f>
        <v>6.3E-2</v>
      </c>
      <c r="AC4" s="165">
        <f>ROUND((9-8)/8,3)</f>
        <v>0.125</v>
      </c>
      <c r="AD4" s="165">
        <f>ROUND((9.5-8)/8,3)</f>
        <v>0.188</v>
      </c>
      <c r="AE4" s="165">
        <f>ROUND((10-8)/8,3)</f>
        <v>0.25</v>
      </c>
      <c r="AF4" s="165">
        <f>ROUND((10.5-8)/8,3)</f>
        <v>0.313</v>
      </c>
      <c r="AG4" s="165">
        <f>ROUND((11-8)/8,3)</f>
        <v>0.375</v>
      </c>
      <c r="AJ4" s="165">
        <f>ROUND((8.5-8)/8,3)</f>
        <v>6.3E-2</v>
      </c>
      <c r="AK4" s="165">
        <f>ROUND((9-8)/8,3)</f>
        <v>0.125</v>
      </c>
      <c r="AL4" s="165">
        <f>ROUND((9.5-8)/8,3)</f>
        <v>0.188</v>
      </c>
      <c r="AM4" s="165">
        <f>ROUND((10-8)/8,3)</f>
        <v>0.25</v>
      </c>
      <c r="AN4" s="165">
        <f>ROUND((10.5-8)/8,3)</f>
        <v>0.313</v>
      </c>
      <c r="AO4" s="165">
        <f>ROUND((11-8)/8,3)</f>
        <v>0.375</v>
      </c>
      <c r="AR4" s="165">
        <f>ROUND((8.5-8)/8,3)</f>
        <v>6.3E-2</v>
      </c>
      <c r="AS4" s="165">
        <f>ROUND((9-8)/8,3)</f>
        <v>0.125</v>
      </c>
      <c r="AT4" s="165">
        <f>ROUND((9.5-8)/8,3)</f>
        <v>0.188</v>
      </c>
      <c r="AU4" s="165">
        <f>ROUND((10-8)/8,3)</f>
        <v>0.25</v>
      </c>
      <c r="AV4" s="165">
        <f>ROUND((10.5-8)/8,3)</f>
        <v>0.313</v>
      </c>
      <c r="AW4" s="165">
        <f>ROUND((11-8)/8,3)</f>
        <v>0.375</v>
      </c>
    </row>
    <row r="5" spans="1:55" ht="20.25" customHeight="1">
      <c r="B5" s="817"/>
      <c r="C5" s="818"/>
      <c r="D5" s="821" t="s">
        <v>158</v>
      </c>
      <c r="E5" s="807"/>
      <c r="F5" s="807"/>
      <c r="G5" s="807"/>
      <c r="H5" s="807"/>
      <c r="I5" s="807"/>
      <c r="J5" s="807"/>
      <c r="K5" s="808"/>
      <c r="L5" s="806" t="s">
        <v>159</v>
      </c>
      <c r="M5" s="807"/>
      <c r="N5" s="807"/>
      <c r="O5" s="807"/>
      <c r="P5" s="807"/>
      <c r="Q5" s="807"/>
      <c r="R5" s="807"/>
      <c r="S5" s="808"/>
      <c r="T5" s="822" t="s">
        <v>160</v>
      </c>
      <c r="U5" s="512"/>
      <c r="V5" s="512"/>
      <c r="W5" s="512"/>
      <c r="X5" s="512"/>
      <c r="Y5" s="512"/>
      <c r="Z5" s="821"/>
      <c r="AA5" s="168"/>
      <c r="AB5" s="806" t="s">
        <v>161</v>
      </c>
      <c r="AC5" s="807"/>
      <c r="AD5" s="807"/>
      <c r="AE5" s="807"/>
      <c r="AF5" s="807"/>
      <c r="AG5" s="807"/>
      <c r="AH5" s="807"/>
      <c r="AI5" s="807"/>
      <c r="AJ5" s="807" t="s">
        <v>162</v>
      </c>
      <c r="AK5" s="807"/>
      <c r="AL5" s="807"/>
      <c r="AM5" s="807"/>
      <c r="AN5" s="807"/>
      <c r="AO5" s="807"/>
      <c r="AP5" s="807"/>
      <c r="AQ5" s="808"/>
      <c r="AR5" s="806" t="s">
        <v>163</v>
      </c>
      <c r="AS5" s="807"/>
      <c r="AT5" s="807"/>
      <c r="AU5" s="807"/>
      <c r="AV5" s="807"/>
      <c r="AW5" s="807"/>
      <c r="AX5" s="807"/>
      <c r="AY5" s="808"/>
      <c r="BB5" s="810" t="s">
        <v>165</v>
      </c>
      <c r="BC5" s="810" t="s">
        <v>166</v>
      </c>
    </row>
    <row r="6" spans="1:55" ht="16.5" customHeight="1">
      <c r="B6" s="819"/>
      <c r="C6" s="820"/>
      <c r="D6" s="156" t="s">
        <v>167</v>
      </c>
      <c r="E6" s="156" t="s">
        <v>168</v>
      </c>
      <c r="F6" s="156" t="s">
        <v>169</v>
      </c>
      <c r="G6" s="156" t="s">
        <v>170</v>
      </c>
      <c r="H6" s="156" t="s">
        <v>171</v>
      </c>
      <c r="I6" s="156" t="s">
        <v>172</v>
      </c>
      <c r="J6" s="166" t="s">
        <v>173</v>
      </c>
      <c r="K6" s="169" t="s">
        <v>174</v>
      </c>
      <c r="L6" s="170" t="s">
        <v>167</v>
      </c>
      <c r="M6" s="156" t="s">
        <v>168</v>
      </c>
      <c r="N6" s="156" t="s">
        <v>169</v>
      </c>
      <c r="O6" s="156" t="s">
        <v>170</v>
      </c>
      <c r="P6" s="156" t="s">
        <v>171</v>
      </c>
      <c r="Q6" s="156" t="s">
        <v>172</v>
      </c>
      <c r="R6" s="166" t="s">
        <v>173</v>
      </c>
      <c r="S6" s="169" t="s">
        <v>174</v>
      </c>
      <c r="T6" s="167" t="s">
        <v>167</v>
      </c>
      <c r="U6" s="156" t="s">
        <v>168</v>
      </c>
      <c r="V6" s="156" t="s">
        <v>169</v>
      </c>
      <c r="W6" s="156" t="s">
        <v>170</v>
      </c>
      <c r="X6" s="156" t="s">
        <v>171</v>
      </c>
      <c r="Y6" s="156" t="s">
        <v>172</v>
      </c>
      <c r="Z6" s="166" t="s">
        <v>173</v>
      </c>
      <c r="AA6" s="169" t="s">
        <v>174</v>
      </c>
      <c r="AB6" s="170" t="s">
        <v>167</v>
      </c>
      <c r="AC6" s="156" t="s">
        <v>168</v>
      </c>
      <c r="AD6" s="156" t="s">
        <v>169</v>
      </c>
      <c r="AE6" s="156" t="s">
        <v>170</v>
      </c>
      <c r="AF6" s="156" t="s">
        <v>171</v>
      </c>
      <c r="AG6" s="156" t="s">
        <v>172</v>
      </c>
      <c r="AH6" s="166" t="s">
        <v>173</v>
      </c>
      <c r="AI6" s="169" t="s">
        <v>174</v>
      </c>
      <c r="AJ6" s="167" t="s">
        <v>167</v>
      </c>
      <c r="AK6" s="156" t="s">
        <v>168</v>
      </c>
      <c r="AL6" s="156" t="s">
        <v>169</v>
      </c>
      <c r="AM6" s="156" t="s">
        <v>170</v>
      </c>
      <c r="AN6" s="156" t="s">
        <v>171</v>
      </c>
      <c r="AO6" s="156" t="s">
        <v>172</v>
      </c>
      <c r="AP6" s="166" t="s">
        <v>173</v>
      </c>
      <c r="AQ6" s="169" t="s">
        <v>174</v>
      </c>
      <c r="AR6" s="171" t="s">
        <v>167</v>
      </c>
      <c r="AS6" s="172" t="s">
        <v>168</v>
      </c>
      <c r="AT6" s="172" t="s">
        <v>169</v>
      </c>
      <c r="AU6" s="172" t="s">
        <v>170</v>
      </c>
      <c r="AV6" s="172" t="s">
        <v>171</v>
      </c>
      <c r="AW6" s="172" t="s">
        <v>172</v>
      </c>
      <c r="AX6" s="172" t="s">
        <v>173</v>
      </c>
      <c r="AY6" s="169" t="s">
        <v>174</v>
      </c>
      <c r="BB6" s="810"/>
      <c r="BC6" s="810"/>
    </row>
    <row r="7" spans="1:55" ht="18.75" customHeight="1">
      <c r="B7" s="800" t="s">
        <v>11</v>
      </c>
      <c r="C7" s="173" t="s">
        <v>175</v>
      </c>
      <c r="D7" s="208"/>
      <c r="E7" s="208"/>
      <c r="F7" s="208"/>
      <c r="G7" s="208"/>
      <c r="H7" s="208"/>
      <c r="I7" s="208"/>
      <c r="J7" s="174">
        <f>SUM(D7:I7)</f>
        <v>0</v>
      </c>
      <c r="K7" s="802">
        <f>IFERROR(ROUND(J8/3*J7,2),0)</f>
        <v>0</v>
      </c>
      <c r="L7" s="208"/>
      <c r="M7" s="208"/>
      <c r="N7" s="208"/>
      <c r="O7" s="208"/>
      <c r="P7" s="208"/>
      <c r="Q7" s="208"/>
      <c r="R7" s="175">
        <f>SUM(L7:Q7)</f>
        <v>0</v>
      </c>
      <c r="S7" s="802">
        <f>IFERROR(ROUND(R8/5*R7,2),0)</f>
        <v>0</v>
      </c>
      <c r="T7" s="208"/>
      <c r="U7" s="208"/>
      <c r="V7" s="208"/>
      <c r="W7" s="208"/>
      <c r="X7" s="208"/>
      <c r="Y7" s="208"/>
      <c r="Z7" s="174">
        <f>SUM(T7:Y7)</f>
        <v>0</v>
      </c>
      <c r="AA7" s="802">
        <f>IFERROR(ROUND(Z8/6*Z7,2),0)</f>
        <v>0</v>
      </c>
      <c r="AB7" s="208"/>
      <c r="AC7" s="208"/>
      <c r="AD7" s="208"/>
      <c r="AE7" s="208"/>
      <c r="AF7" s="208"/>
      <c r="AG7" s="208"/>
      <c r="AH7" s="174">
        <f>SUM(AB7:AG7)</f>
        <v>0</v>
      </c>
      <c r="AI7" s="802">
        <f>IFERROR(ROUND(AH8/15*AH7,2),0)</f>
        <v>0</v>
      </c>
      <c r="AJ7" s="208"/>
      <c r="AK7" s="208"/>
      <c r="AL7" s="208"/>
      <c r="AM7" s="208"/>
      <c r="AN7" s="208"/>
      <c r="AO7" s="208"/>
      <c r="AP7" s="174">
        <f>SUM(AJ7:AO7)</f>
        <v>0</v>
      </c>
      <c r="AQ7" s="802">
        <f>IFERROR(ROUND(AP8/20*AP7,2),0)</f>
        <v>0</v>
      </c>
      <c r="AR7" s="208"/>
      <c r="AS7" s="208"/>
      <c r="AT7" s="208"/>
      <c r="AU7" s="208"/>
      <c r="AV7" s="208"/>
      <c r="AW7" s="208"/>
      <c r="AX7" s="176">
        <f>SUM(AR7:AW7)</f>
        <v>0</v>
      </c>
      <c r="AY7" s="802">
        <f>IFERROR(ROUND(AX8/25*AX7,2),0)</f>
        <v>0</v>
      </c>
      <c r="BA7" s="796">
        <f>ROUND(AY7+AQ7+AI7+AA7+S7+K7,1)</f>
        <v>0</v>
      </c>
      <c r="BB7" s="155" t="str">
        <f>IF(J7+R7=0,"×","○")</f>
        <v>×</v>
      </c>
      <c r="BC7" s="177">
        <f>SUM(J7,R7,Z7,AH7,AP7,AX7)</f>
        <v>0</v>
      </c>
    </row>
    <row r="8" spans="1:55" ht="18.75" customHeight="1">
      <c r="B8" s="805"/>
      <c r="C8" s="178" t="s">
        <v>176</v>
      </c>
      <c r="D8" s="179">
        <f t="shared" ref="D8:I8" si="0">D$4*D7</f>
        <v>0</v>
      </c>
      <c r="E8" s="179">
        <f t="shared" si="0"/>
        <v>0</v>
      </c>
      <c r="F8" s="179">
        <f t="shared" si="0"/>
        <v>0</v>
      </c>
      <c r="G8" s="179">
        <f>G$4*G7</f>
        <v>0</v>
      </c>
      <c r="H8" s="179">
        <f t="shared" si="0"/>
        <v>0</v>
      </c>
      <c r="I8" s="179">
        <f t="shared" si="0"/>
        <v>0</v>
      </c>
      <c r="J8" s="180">
        <f>IFERROR(ROUND(SUM(D8:I8)/J7,3),0)</f>
        <v>0</v>
      </c>
      <c r="K8" s="803"/>
      <c r="L8" s="181">
        <f t="shared" ref="L8:Q8" si="1">L$4*L7</f>
        <v>0</v>
      </c>
      <c r="M8" s="179">
        <f t="shared" si="1"/>
        <v>0</v>
      </c>
      <c r="N8" s="179">
        <f t="shared" si="1"/>
        <v>0</v>
      </c>
      <c r="O8" s="179">
        <f t="shared" si="1"/>
        <v>0</v>
      </c>
      <c r="P8" s="179">
        <f t="shared" si="1"/>
        <v>0</v>
      </c>
      <c r="Q8" s="179">
        <f t="shared" si="1"/>
        <v>0</v>
      </c>
      <c r="R8" s="180">
        <f>IFERROR(ROUND(SUM(L8:Q8)/R7,3),0)</f>
        <v>0</v>
      </c>
      <c r="S8" s="803"/>
      <c r="T8" s="182">
        <f t="shared" ref="T8:Y8" si="2">T$4*T7</f>
        <v>0</v>
      </c>
      <c r="U8" s="179">
        <f t="shared" si="2"/>
        <v>0</v>
      </c>
      <c r="V8" s="179">
        <f t="shared" si="2"/>
        <v>0</v>
      </c>
      <c r="W8" s="179">
        <f t="shared" si="2"/>
        <v>0</v>
      </c>
      <c r="X8" s="179">
        <f t="shared" si="2"/>
        <v>0</v>
      </c>
      <c r="Y8" s="179">
        <f t="shared" si="2"/>
        <v>0</v>
      </c>
      <c r="Z8" s="180">
        <f>IFERROR(ROUND(SUM(T8:Y8)/Z7,3),0)</f>
        <v>0</v>
      </c>
      <c r="AA8" s="803"/>
      <c r="AB8" s="181">
        <f t="shared" ref="AB8:AG8" si="3">AB$4*AB7</f>
        <v>0</v>
      </c>
      <c r="AC8" s="179">
        <f t="shared" si="3"/>
        <v>0</v>
      </c>
      <c r="AD8" s="179">
        <f t="shared" si="3"/>
        <v>0</v>
      </c>
      <c r="AE8" s="179">
        <f t="shared" si="3"/>
        <v>0</v>
      </c>
      <c r="AF8" s="179">
        <f t="shared" si="3"/>
        <v>0</v>
      </c>
      <c r="AG8" s="179">
        <f t="shared" si="3"/>
        <v>0</v>
      </c>
      <c r="AH8" s="180">
        <f>IFERROR(ROUND(SUM(AB8:AG8)/AH7,3),0)</f>
        <v>0</v>
      </c>
      <c r="AI8" s="803"/>
      <c r="AJ8" s="182">
        <f t="shared" ref="AJ8:AO8" si="4">AJ$4*AJ7</f>
        <v>0</v>
      </c>
      <c r="AK8" s="179">
        <f t="shared" si="4"/>
        <v>0</v>
      </c>
      <c r="AL8" s="179">
        <f t="shared" si="4"/>
        <v>0</v>
      </c>
      <c r="AM8" s="179">
        <f t="shared" si="4"/>
        <v>0</v>
      </c>
      <c r="AN8" s="179">
        <f t="shared" si="4"/>
        <v>0</v>
      </c>
      <c r="AO8" s="179">
        <f t="shared" si="4"/>
        <v>0</v>
      </c>
      <c r="AP8" s="180">
        <f>IFERROR(ROUND(SUM(AJ8:AO8)/AP7,3),0)</f>
        <v>0</v>
      </c>
      <c r="AQ8" s="803"/>
      <c r="AR8" s="181">
        <f t="shared" ref="AR8:AW8" si="5">AR$4*AR7</f>
        <v>0</v>
      </c>
      <c r="AS8" s="179">
        <f t="shared" si="5"/>
        <v>0</v>
      </c>
      <c r="AT8" s="179">
        <f t="shared" si="5"/>
        <v>0</v>
      </c>
      <c r="AU8" s="179">
        <f t="shared" si="5"/>
        <v>0</v>
      </c>
      <c r="AV8" s="179">
        <f t="shared" si="5"/>
        <v>0</v>
      </c>
      <c r="AW8" s="179">
        <f t="shared" si="5"/>
        <v>0</v>
      </c>
      <c r="AX8" s="179">
        <f>IFERROR(ROUND(SUM(AR8:AW8)/AX7,3),0)</f>
        <v>0</v>
      </c>
      <c r="AY8" s="803"/>
      <c r="BA8" s="796"/>
      <c r="BB8" s="155"/>
      <c r="BC8" s="183"/>
    </row>
    <row r="9" spans="1:55" ht="18.75" customHeight="1">
      <c r="B9" s="800" t="s">
        <v>177</v>
      </c>
      <c r="C9" s="173" t="s">
        <v>175</v>
      </c>
      <c r="D9" s="208"/>
      <c r="E9" s="208"/>
      <c r="F9" s="208"/>
      <c r="G9" s="208"/>
      <c r="H9" s="208"/>
      <c r="I9" s="208"/>
      <c r="J9" s="175">
        <f>SUM(D9:I9)</f>
        <v>0</v>
      </c>
      <c r="K9" s="802">
        <f>ROUND(J10/3*J9,2)</f>
        <v>0</v>
      </c>
      <c r="L9" s="208"/>
      <c r="M9" s="208"/>
      <c r="N9" s="208"/>
      <c r="O9" s="208"/>
      <c r="P9" s="208"/>
      <c r="Q9" s="208"/>
      <c r="R9" s="175">
        <f>SUM(L9:Q9)</f>
        <v>0</v>
      </c>
      <c r="S9" s="802">
        <f>ROUND(R10/5*R9,2)</f>
        <v>0</v>
      </c>
      <c r="T9" s="208"/>
      <c r="U9" s="208"/>
      <c r="V9" s="208"/>
      <c r="W9" s="208"/>
      <c r="X9" s="208"/>
      <c r="Y9" s="208"/>
      <c r="Z9" s="175">
        <f>SUM(T9:Y9)</f>
        <v>0</v>
      </c>
      <c r="AA9" s="802">
        <f>ROUND(Z10/6*Z9,2)</f>
        <v>0</v>
      </c>
      <c r="AB9" s="208"/>
      <c r="AC9" s="208"/>
      <c r="AD9" s="208"/>
      <c r="AE9" s="208"/>
      <c r="AF9" s="208"/>
      <c r="AG9" s="208"/>
      <c r="AH9" s="175">
        <f>SUM(AB9:AG9)</f>
        <v>0</v>
      </c>
      <c r="AI9" s="802">
        <f>ROUND(AH10/15*AH9,2)</f>
        <v>0</v>
      </c>
      <c r="AJ9" s="208"/>
      <c r="AK9" s="208"/>
      <c r="AL9" s="208"/>
      <c r="AM9" s="208"/>
      <c r="AN9" s="208"/>
      <c r="AO9" s="208"/>
      <c r="AP9" s="175">
        <f>SUM(AJ9:AO9)</f>
        <v>0</v>
      </c>
      <c r="AQ9" s="802">
        <f>ROUND(AP10/20*AP9,2)</f>
        <v>0</v>
      </c>
      <c r="AR9" s="208"/>
      <c r="AS9" s="208"/>
      <c r="AT9" s="208"/>
      <c r="AU9" s="208"/>
      <c r="AV9" s="208"/>
      <c r="AW9" s="208"/>
      <c r="AX9" s="195">
        <f>SUM(AR9:AW9)</f>
        <v>0</v>
      </c>
      <c r="AY9" s="802">
        <f>ROUND(AX10/25*AX9,2)</f>
        <v>0</v>
      </c>
      <c r="BA9" s="796">
        <f>ROUND(AY9+AQ9+AI9+AA9+S9+K9,1)</f>
        <v>0</v>
      </c>
      <c r="BB9" s="155" t="str">
        <f>IF(J9+R9=0,"×","○")</f>
        <v>×</v>
      </c>
      <c r="BC9" s="177">
        <f>SUM(J9,R9,Z9,AH9,AP9,AX9)</f>
        <v>0</v>
      </c>
    </row>
    <row r="10" spans="1:55" ht="18.75" customHeight="1">
      <c r="B10" s="805"/>
      <c r="C10" s="184" t="s">
        <v>176</v>
      </c>
      <c r="D10" s="179">
        <f t="shared" ref="D10:I10" si="6">D$4*D9</f>
        <v>0</v>
      </c>
      <c r="E10" s="179">
        <f t="shared" si="6"/>
        <v>0</v>
      </c>
      <c r="F10" s="179">
        <f t="shared" si="6"/>
        <v>0</v>
      </c>
      <c r="G10" s="179">
        <f t="shared" si="6"/>
        <v>0</v>
      </c>
      <c r="H10" s="179">
        <f t="shared" si="6"/>
        <v>0</v>
      </c>
      <c r="I10" s="179">
        <f t="shared" si="6"/>
        <v>0</v>
      </c>
      <c r="J10" s="180">
        <f>IFERROR(ROUND(SUM(D10:I10)/J9,3),0)</f>
        <v>0</v>
      </c>
      <c r="K10" s="803"/>
      <c r="L10" s="181">
        <f t="shared" ref="L10:Q10" si="7">L$4*L9</f>
        <v>0</v>
      </c>
      <c r="M10" s="179">
        <f t="shared" si="7"/>
        <v>0</v>
      </c>
      <c r="N10" s="179">
        <f t="shared" si="7"/>
        <v>0</v>
      </c>
      <c r="O10" s="179">
        <f t="shared" si="7"/>
        <v>0</v>
      </c>
      <c r="P10" s="179">
        <f t="shared" si="7"/>
        <v>0</v>
      </c>
      <c r="Q10" s="179">
        <f t="shared" si="7"/>
        <v>0</v>
      </c>
      <c r="R10" s="180">
        <f>IFERROR(ROUND(SUM(L10:Q10)/R9,3),0)</f>
        <v>0</v>
      </c>
      <c r="S10" s="803"/>
      <c r="T10" s="182">
        <f t="shared" ref="T10:Y10" si="8">T$4*T9</f>
        <v>0</v>
      </c>
      <c r="U10" s="179">
        <f t="shared" si="8"/>
        <v>0</v>
      </c>
      <c r="V10" s="179">
        <f t="shared" si="8"/>
        <v>0</v>
      </c>
      <c r="W10" s="179">
        <f t="shared" si="8"/>
        <v>0</v>
      </c>
      <c r="X10" s="179">
        <f t="shared" si="8"/>
        <v>0</v>
      </c>
      <c r="Y10" s="179">
        <f t="shared" si="8"/>
        <v>0</v>
      </c>
      <c r="Z10" s="180">
        <f>IFERROR(ROUND(SUM(T10:Y10)/Z9,3),0)</f>
        <v>0</v>
      </c>
      <c r="AA10" s="803"/>
      <c r="AB10" s="181">
        <f t="shared" ref="AB10:AG10" si="9">AB$4*AB9</f>
        <v>0</v>
      </c>
      <c r="AC10" s="179">
        <f t="shared" si="9"/>
        <v>0</v>
      </c>
      <c r="AD10" s="179">
        <f t="shared" si="9"/>
        <v>0</v>
      </c>
      <c r="AE10" s="179">
        <f t="shared" si="9"/>
        <v>0</v>
      </c>
      <c r="AF10" s="179">
        <f t="shared" si="9"/>
        <v>0</v>
      </c>
      <c r="AG10" s="179">
        <f t="shared" si="9"/>
        <v>0</v>
      </c>
      <c r="AH10" s="180">
        <f>IFERROR(ROUND(SUM(AB10:AG10)/AH9,3),0)</f>
        <v>0</v>
      </c>
      <c r="AI10" s="803"/>
      <c r="AJ10" s="182">
        <f t="shared" ref="AJ10:AO10" si="10">AJ$4*AJ9</f>
        <v>0</v>
      </c>
      <c r="AK10" s="179">
        <f t="shared" si="10"/>
        <v>0</v>
      </c>
      <c r="AL10" s="179">
        <f t="shared" si="10"/>
        <v>0</v>
      </c>
      <c r="AM10" s="179">
        <f t="shared" si="10"/>
        <v>0</v>
      </c>
      <c r="AN10" s="179">
        <f t="shared" si="10"/>
        <v>0</v>
      </c>
      <c r="AO10" s="179">
        <f t="shared" si="10"/>
        <v>0</v>
      </c>
      <c r="AP10" s="180">
        <f>IFERROR(ROUND(SUM(AJ10:AO10)/AP9,3),0)</f>
        <v>0</v>
      </c>
      <c r="AQ10" s="803"/>
      <c r="AR10" s="181">
        <f t="shared" ref="AR10:AW10" si="11">AR$4*AR9</f>
        <v>0</v>
      </c>
      <c r="AS10" s="179">
        <f t="shared" si="11"/>
        <v>0</v>
      </c>
      <c r="AT10" s="179">
        <f t="shared" si="11"/>
        <v>0</v>
      </c>
      <c r="AU10" s="179">
        <f t="shared" si="11"/>
        <v>0</v>
      </c>
      <c r="AV10" s="179">
        <f t="shared" si="11"/>
        <v>0</v>
      </c>
      <c r="AW10" s="179">
        <f t="shared" si="11"/>
        <v>0</v>
      </c>
      <c r="AX10" s="179">
        <f>IFERROR(ROUND(SUM(AR10:AW10)/AX9,3),0)</f>
        <v>0</v>
      </c>
      <c r="AY10" s="803"/>
      <c r="BA10" s="796"/>
      <c r="BB10" s="155"/>
      <c r="BC10" s="183"/>
    </row>
    <row r="11" spans="1:55" ht="18.75" customHeight="1">
      <c r="B11" s="800" t="s">
        <v>178</v>
      </c>
      <c r="C11" s="173" t="s">
        <v>175</v>
      </c>
      <c r="D11" s="208"/>
      <c r="E11" s="208"/>
      <c r="F11" s="208"/>
      <c r="G11" s="208"/>
      <c r="H11" s="208"/>
      <c r="I11" s="208"/>
      <c r="J11" s="174">
        <f>SUM(D11:I11)</f>
        <v>0</v>
      </c>
      <c r="K11" s="802">
        <f>ROUND(J12/3*J11,2)</f>
        <v>0</v>
      </c>
      <c r="L11" s="208"/>
      <c r="M11" s="208"/>
      <c r="N11" s="208"/>
      <c r="O11" s="208"/>
      <c r="P11" s="208"/>
      <c r="Q11" s="208"/>
      <c r="R11" s="174">
        <f>SUM(L11:Q11)</f>
        <v>0</v>
      </c>
      <c r="S11" s="802">
        <f>ROUND(R12/5*R11,2)</f>
        <v>0</v>
      </c>
      <c r="T11" s="208"/>
      <c r="U11" s="208"/>
      <c r="V11" s="208"/>
      <c r="W11" s="208"/>
      <c r="X11" s="208"/>
      <c r="Y11" s="208"/>
      <c r="Z11" s="174">
        <f>SUM(T11:Y11)</f>
        <v>0</v>
      </c>
      <c r="AA11" s="802">
        <f>ROUND(Z12/6*Z11,2)</f>
        <v>0</v>
      </c>
      <c r="AB11" s="208"/>
      <c r="AC11" s="208"/>
      <c r="AD11" s="208"/>
      <c r="AE11" s="208"/>
      <c r="AF11" s="208"/>
      <c r="AG11" s="208"/>
      <c r="AH11" s="174">
        <f>SUM(AB11:AG11)</f>
        <v>0</v>
      </c>
      <c r="AI11" s="802">
        <f>ROUND(AH12/15*AH11,2)</f>
        <v>0</v>
      </c>
      <c r="AJ11" s="208"/>
      <c r="AK11" s="208"/>
      <c r="AL11" s="208"/>
      <c r="AM11" s="208"/>
      <c r="AN11" s="208"/>
      <c r="AO11" s="208"/>
      <c r="AP11" s="174">
        <f>SUM(AJ11:AO11)</f>
        <v>0</v>
      </c>
      <c r="AQ11" s="802">
        <f>ROUND(AP12/20*AP11,2)</f>
        <v>0</v>
      </c>
      <c r="AR11" s="208"/>
      <c r="AS11" s="208"/>
      <c r="AT11" s="208"/>
      <c r="AU11" s="208"/>
      <c r="AV11" s="208"/>
      <c r="AW11" s="208"/>
      <c r="AX11" s="176">
        <f>SUM(AR11:AW11)</f>
        <v>0</v>
      </c>
      <c r="AY11" s="802">
        <f>ROUND(AX12/25*AX11,2)</f>
        <v>0</v>
      </c>
      <c r="BA11" s="796">
        <f>ROUND(AY11+AQ11+AI11+AA11+S11+K11,1)</f>
        <v>0</v>
      </c>
      <c r="BB11" s="155" t="str">
        <f>IF(J11+R11=0,"×","○")</f>
        <v>×</v>
      </c>
      <c r="BC11" s="177">
        <f>SUM(J11,R11,Z11,AH11,AP11,AX11)</f>
        <v>0</v>
      </c>
    </row>
    <row r="12" spans="1:55" ht="18.75" customHeight="1">
      <c r="B12" s="805"/>
      <c r="C12" s="178" t="s">
        <v>176</v>
      </c>
      <c r="D12" s="179">
        <f t="shared" ref="D12:I12" si="12">D$4*D11</f>
        <v>0</v>
      </c>
      <c r="E12" s="179">
        <f t="shared" si="12"/>
        <v>0</v>
      </c>
      <c r="F12" s="179">
        <f t="shared" si="12"/>
        <v>0</v>
      </c>
      <c r="G12" s="179">
        <f t="shared" si="12"/>
        <v>0</v>
      </c>
      <c r="H12" s="179">
        <f t="shared" si="12"/>
        <v>0</v>
      </c>
      <c r="I12" s="179">
        <f t="shared" si="12"/>
        <v>0</v>
      </c>
      <c r="J12" s="180">
        <f>IFERROR(ROUND(SUM(D12:I12)/J11,3),0)</f>
        <v>0</v>
      </c>
      <c r="K12" s="803"/>
      <c r="L12" s="181">
        <f t="shared" ref="L12:Q12" si="13">L$4*L11</f>
        <v>0</v>
      </c>
      <c r="M12" s="179">
        <f t="shared" si="13"/>
        <v>0</v>
      </c>
      <c r="N12" s="179">
        <f t="shared" si="13"/>
        <v>0</v>
      </c>
      <c r="O12" s="179">
        <f t="shared" si="13"/>
        <v>0</v>
      </c>
      <c r="P12" s="179">
        <f t="shared" si="13"/>
        <v>0</v>
      </c>
      <c r="Q12" s="179">
        <f t="shared" si="13"/>
        <v>0</v>
      </c>
      <c r="R12" s="180">
        <f>IFERROR(ROUND(SUM(L12:Q12)/R11,3),0)</f>
        <v>0</v>
      </c>
      <c r="S12" s="803"/>
      <c r="T12" s="182">
        <f t="shared" ref="T12:Y12" si="14">T$4*T11</f>
        <v>0</v>
      </c>
      <c r="U12" s="179">
        <f t="shared" si="14"/>
        <v>0</v>
      </c>
      <c r="V12" s="179">
        <f t="shared" si="14"/>
        <v>0</v>
      </c>
      <c r="W12" s="179">
        <f t="shared" si="14"/>
        <v>0</v>
      </c>
      <c r="X12" s="179">
        <f t="shared" si="14"/>
        <v>0</v>
      </c>
      <c r="Y12" s="179">
        <f t="shared" si="14"/>
        <v>0</v>
      </c>
      <c r="Z12" s="180">
        <f>IFERROR(ROUND(SUM(T12:Y12)/Z11,3),0)</f>
        <v>0</v>
      </c>
      <c r="AA12" s="803"/>
      <c r="AB12" s="181">
        <f t="shared" ref="AB12:AG12" si="15">AB$4*AB11</f>
        <v>0</v>
      </c>
      <c r="AC12" s="179">
        <f t="shared" si="15"/>
        <v>0</v>
      </c>
      <c r="AD12" s="179">
        <f t="shared" si="15"/>
        <v>0</v>
      </c>
      <c r="AE12" s="179">
        <f t="shared" si="15"/>
        <v>0</v>
      </c>
      <c r="AF12" s="179">
        <f t="shared" si="15"/>
        <v>0</v>
      </c>
      <c r="AG12" s="179">
        <f t="shared" si="15"/>
        <v>0</v>
      </c>
      <c r="AH12" s="180">
        <f>IFERROR(ROUND(SUM(AB12:AG12)/AH11,3),0)</f>
        <v>0</v>
      </c>
      <c r="AI12" s="803"/>
      <c r="AJ12" s="182">
        <f t="shared" ref="AJ12:AO12" si="16">AJ$4*AJ11</f>
        <v>0</v>
      </c>
      <c r="AK12" s="179">
        <f t="shared" si="16"/>
        <v>0</v>
      </c>
      <c r="AL12" s="179">
        <f t="shared" si="16"/>
        <v>0</v>
      </c>
      <c r="AM12" s="179">
        <f t="shared" si="16"/>
        <v>0</v>
      </c>
      <c r="AN12" s="179">
        <f t="shared" si="16"/>
        <v>0</v>
      </c>
      <c r="AO12" s="179">
        <f t="shared" si="16"/>
        <v>0</v>
      </c>
      <c r="AP12" s="180">
        <f>IFERROR(ROUND(SUM(AJ12:AO12)/AP11,3),0)</f>
        <v>0</v>
      </c>
      <c r="AQ12" s="803"/>
      <c r="AR12" s="181">
        <f t="shared" ref="AR12:AW12" si="17">AR$4*AR11</f>
        <v>0</v>
      </c>
      <c r="AS12" s="179">
        <f t="shared" si="17"/>
        <v>0</v>
      </c>
      <c r="AT12" s="179">
        <f t="shared" si="17"/>
        <v>0</v>
      </c>
      <c r="AU12" s="179">
        <f t="shared" si="17"/>
        <v>0</v>
      </c>
      <c r="AV12" s="179">
        <f t="shared" si="17"/>
        <v>0</v>
      </c>
      <c r="AW12" s="179">
        <f t="shared" si="17"/>
        <v>0</v>
      </c>
      <c r="AX12" s="179">
        <f>IFERROR(ROUND(SUM(AR12:AW12)/AX11,3),0)</f>
        <v>0</v>
      </c>
      <c r="AY12" s="803"/>
      <c r="BA12" s="796"/>
      <c r="BB12" s="155"/>
      <c r="BC12" s="183"/>
    </row>
    <row r="13" spans="1:55" ht="18.75" customHeight="1">
      <c r="B13" s="800" t="s">
        <v>179</v>
      </c>
      <c r="C13" s="173" t="s">
        <v>175</v>
      </c>
      <c r="D13" s="208"/>
      <c r="E13" s="208"/>
      <c r="F13" s="208"/>
      <c r="G13" s="208"/>
      <c r="H13" s="208"/>
      <c r="I13" s="208"/>
      <c r="J13" s="175">
        <f>SUM(D13:I13)</f>
        <v>0</v>
      </c>
      <c r="K13" s="802">
        <f>ROUND(J14/3*J13,2)</f>
        <v>0</v>
      </c>
      <c r="L13" s="208"/>
      <c r="M13" s="208"/>
      <c r="N13" s="208"/>
      <c r="O13" s="208"/>
      <c r="P13" s="208"/>
      <c r="Q13" s="208"/>
      <c r="R13" s="175">
        <f>SUM(L13:Q13)</f>
        <v>0</v>
      </c>
      <c r="S13" s="802">
        <f>ROUND(R14/5*R13,2)</f>
        <v>0</v>
      </c>
      <c r="T13" s="208"/>
      <c r="U13" s="208"/>
      <c r="V13" s="208"/>
      <c r="W13" s="208"/>
      <c r="X13" s="208"/>
      <c r="Y13" s="208"/>
      <c r="Z13" s="175">
        <f>SUM(T13:Y13)</f>
        <v>0</v>
      </c>
      <c r="AA13" s="802">
        <f>ROUND(Z14/6*Z13,2)</f>
        <v>0</v>
      </c>
      <c r="AB13" s="208"/>
      <c r="AC13" s="208"/>
      <c r="AD13" s="208"/>
      <c r="AE13" s="208"/>
      <c r="AF13" s="208"/>
      <c r="AG13" s="208"/>
      <c r="AH13" s="175">
        <f>SUM(AB13:AG13)</f>
        <v>0</v>
      </c>
      <c r="AI13" s="802">
        <f>ROUND(AH14/15*AH13,2)</f>
        <v>0</v>
      </c>
      <c r="AJ13" s="208"/>
      <c r="AK13" s="208"/>
      <c r="AL13" s="208"/>
      <c r="AM13" s="208"/>
      <c r="AN13" s="208"/>
      <c r="AO13" s="208"/>
      <c r="AP13" s="175">
        <f>SUM(AJ13:AO13)</f>
        <v>0</v>
      </c>
      <c r="AQ13" s="802">
        <f>ROUND(AP14/20*AP13,2)</f>
        <v>0</v>
      </c>
      <c r="AR13" s="208"/>
      <c r="AS13" s="208"/>
      <c r="AT13" s="208"/>
      <c r="AU13" s="208"/>
      <c r="AV13" s="208"/>
      <c r="AW13" s="208"/>
      <c r="AX13" s="195">
        <f>SUM(AR13:AW13)</f>
        <v>0</v>
      </c>
      <c r="AY13" s="802">
        <f>ROUND(AX14/25*AX13,2)</f>
        <v>0</v>
      </c>
      <c r="BA13" s="796">
        <f>ROUND(AY13+AQ13+AI13+AA13+S13+K13,1)</f>
        <v>0</v>
      </c>
      <c r="BB13" s="155" t="str">
        <f>IF(J13+R13=0,"×","○")</f>
        <v>×</v>
      </c>
      <c r="BC13" s="177">
        <f>SUM(J13,R13,Z13,AH13,AP13,AX13)</f>
        <v>0</v>
      </c>
    </row>
    <row r="14" spans="1:55" ht="18.75" customHeight="1">
      <c r="B14" s="805"/>
      <c r="C14" s="184" t="s">
        <v>176</v>
      </c>
      <c r="D14" s="179">
        <f t="shared" ref="D14:I14" si="18">D$4*D13</f>
        <v>0</v>
      </c>
      <c r="E14" s="179">
        <f t="shared" si="18"/>
        <v>0</v>
      </c>
      <c r="F14" s="179">
        <f t="shared" si="18"/>
        <v>0</v>
      </c>
      <c r="G14" s="179">
        <f t="shared" si="18"/>
        <v>0</v>
      </c>
      <c r="H14" s="179">
        <f t="shared" si="18"/>
        <v>0</v>
      </c>
      <c r="I14" s="179">
        <f t="shared" si="18"/>
        <v>0</v>
      </c>
      <c r="J14" s="180">
        <f>IFERROR(ROUND(SUM(D14:I14)/J13,3),0)</f>
        <v>0</v>
      </c>
      <c r="K14" s="803"/>
      <c r="L14" s="181">
        <f t="shared" ref="L14:Q14" si="19">L$4*L13</f>
        <v>0</v>
      </c>
      <c r="M14" s="179">
        <f t="shared" si="19"/>
        <v>0</v>
      </c>
      <c r="N14" s="179">
        <f t="shared" si="19"/>
        <v>0</v>
      </c>
      <c r="O14" s="179">
        <f t="shared" si="19"/>
        <v>0</v>
      </c>
      <c r="P14" s="179">
        <f t="shared" si="19"/>
        <v>0</v>
      </c>
      <c r="Q14" s="179">
        <f t="shared" si="19"/>
        <v>0</v>
      </c>
      <c r="R14" s="180">
        <f>IFERROR(ROUND(SUM(L14:Q14)/R13,3),0)</f>
        <v>0</v>
      </c>
      <c r="S14" s="803"/>
      <c r="T14" s="182">
        <f t="shared" ref="T14:Y14" si="20">T$4*T13</f>
        <v>0</v>
      </c>
      <c r="U14" s="179">
        <f t="shared" si="20"/>
        <v>0</v>
      </c>
      <c r="V14" s="179">
        <f t="shared" si="20"/>
        <v>0</v>
      </c>
      <c r="W14" s="179">
        <f t="shared" si="20"/>
        <v>0</v>
      </c>
      <c r="X14" s="179">
        <f t="shared" si="20"/>
        <v>0</v>
      </c>
      <c r="Y14" s="179">
        <f t="shared" si="20"/>
        <v>0</v>
      </c>
      <c r="Z14" s="180">
        <f>IFERROR(ROUND(SUM(T14:Y14)/Z13,3),0)</f>
        <v>0</v>
      </c>
      <c r="AA14" s="803"/>
      <c r="AB14" s="181">
        <f t="shared" ref="AB14:AG14" si="21">AB$4*AB13</f>
        <v>0</v>
      </c>
      <c r="AC14" s="179">
        <f t="shared" si="21"/>
        <v>0</v>
      </c>
      <c r="AD14" s="179">
        <f t="shared" si="21"/>
        <v>0</v>
      </c>
      <c r="AE14" s="179">
        <f t="shared" si="21"/>
        <v>0</v>
      </c>
      <c r="AF14" s="179">
        <f t="shared" si="21"/>
        <v>0</v>
      </c>
      <c r="AG14" s="179">
        <f t="shared" si="21"/>
        <v>0</v>
      </c>
      <c r="AH14" s="180">
        <f>IFERROR(ROUND(SUM(AB14:AG14)/AH13,3),0)</f>
        <v>0</v>
      </c>
      <c r="AI14" s="803"/>
      <c r="AJ14" s="182">
        <f t="shared" ref="AJ14:AO14" si="22">AJ$4*AJ13</f>
        <v>0</v>
      </c>
      <c r="AK14" s="179">
        <f t="shared" si="22"/>
        <v>0</v>
      </c>
      <c r="AL14" s="179">
        <f t="shared" si="22"/>
        <v>0</v>
      </c>
      <c r="AM14" s="179">
        <f t="shared" si="22"/>
        <v>0</v>
      </c>
      <c r="AN14" s="179">
        <f t="shared" si="22"/>
        <v>0</v>
      </c>
      <c r="AO14" s="179">
        <f t="shared" si="22"/>
        <v>0</v>
      </c>
      <c r="AP14" s="180">
        <f>IFERROR(ROUND(SUM(AJ14:AO14)/AP13,3),0)</f>
        <v>0</v>
      </c>
      <c r="AQ14" s="803"/>
      <c r="AR14" s="181">
        <f t="shared" ref="AR14:AW14" si="23">AR$4*AR13</f>
        <v>0</v>
      </c>
      <c r="AS14" s="179">
        <f t="shared" si="23"/>
        <v>0</v>
      </c>
      <c r="AT14" s="179">
        <f t="shared" si="23"/>
        <v>0</v>
      </c>
      <c r="AU14" s="179">
        <f t="shared" si="23"/>
        <v>0</v>
      </c>
      <c r="AV14" s="179">
        <f t="shared" si="23"/>
        <v>0</v>
      </c>
      <c r="AW14" s="179">
        <f t="shared" si="23"/>
        <v>0</v>
      </c>
      <c r="AX14" s="179">
        <f>IFERROR(ROUND(SUM(AR14:AW14)/AX13,3),0)</f>
        <v>0</v>
      </c>
      <c r="AY14" s="803"/>
      <c r="BA14" s="796"/>
      <c r="BB14" s="155"/>
      <c r="BC14" s="183"/>
    </row>
    <row r="15" spans="1:55" ht="18.75" customHeight="1">
      <c r="B15" s="800" t="s">
        <v>180</v>
      </c>
      <c r="C15" s="173" t="s">
        <v>175</v>
      </c>
      <c r="D15" s="208"/>
      <c r="E15" s="208"/>
      <c r="F15" s="208"/>
      <c r="G15" s="208"/>
      <c r="H15" s="208"/>
      <c r="I15" s="208"/>
      <c r="J15" s="174">
        <f>SUM(D15:I15)</f>
        <v>0</v>
      </c>
      <c r="K15" s="802">
        <f>ROUND(J16/3*J15,2)</f>
        <v>0</v>
      </c>
      <c r="L15" s="208"/>
      <c r="M15" s="208"/>
      <c r="N15" s="208"/>
      <c r="O15" s="208"/>
      <c r="P15" s="208"/>
      <c r="Q15" s="208"/>
      <c r="R15" s="174">
        <f>SUM(L15:Q15)</f>
        <v>0</v>
      </c>
      <c r="S15" s="802">
        <f>ROUND(R16/5*R15,2)</f>
        <v>0</v>
      </c>
      <c r="T15" s="208"/>
      <c r="U15" s="208"/>
      <c r="V15" s="208"/>
      <c r="W15" s="208"/>
      <c r="X15" s="208"/>
      <c r="Y15" s="208"/>
      <c r="Z15" s="174">
        <f>SUM(T15:Y15)</f>
        <v>0</v>
      </c>
      <c r="AA15" s="802">
        <f>ROUND(Z16/6*Z15,2)</f>
        <v>0</v>
      </c>
      <c r="AB15" s="208"/>
      <c r="AC15" s="208"/>
      <c r="AD15" s="208"/>
      <c r="AE15" s="208"/>
      <c r="AF15" s="208"/>
      <c r="AG15" s="208"/>
      <c r="AH15" s="174">
        <f>SUM(AB15:AG15)</f>
        <v>0</v>
      </c>
      <c r="AI15" s="802">
        <f>ROUND(AH16/15*AH15,2)</f>
        <v>0</v>
      </c>
      <c r="AJ15" s="208"/>
      <c r="AK15" s="208"/>
      <c r="AL15" s="208"/>
      <c r="AM15" s="208"/>
      <c r="AN15" s="208"/>
      <c r="AO15" s="208"/>
      <c r="AP15" s="174">
        <f>SUM(AJ15:AO15)</f>
        <v>0</v>
      </c>
      <c r="AQ15" s="802">
        <f>ROUND(AP16/20*AP15,2)</f>
        <v>0</v>
      </c>
      <c r="AR15" s="208"/>
      <c r="AS15" s="208"/>
      <c r="AT15" s="208"/>
      <c r="AU15" s="208"/>
      <c r="AV15" s="208"/>
      <c r="AW15" s="208"/>
      <c r="AX15" s="176">
        <f>SUM(AR15:AW15)</f>
        <v>0</v>
      </c>
      <c r="AY15" s="802">
        <f>ROUND(AX16/25*AX15,2)</f>
        <v>0</v>
      </c>
      <c r="BA15" s="796">
        <f>ROUND(AY15+AQ15+AI15+AA15+S15+K15,1)</f>
        <v>0</v>
      </c>
      <c r="BB15" s="155" t="str">
        <f>IF(J15+R15=0,"×","○")</f>
        <v>×</v>
      </c>
      <c r="BC15" s="177">
        <f>SUM(J15,R15,Z15,AH15,AP15,AX15)</f>
        <v>0</v>
      </c>
    </row>
    <row r="16" spans="1:55" ht="18.75" customHeight="1">
      <c r="B16" s="805"/>
      <c r="C16" s="178" t="s">
        <v>176</v>
      </c>
      <c r="D16" s="179">
        <f t="shared" ref="D16:I16" si="24">D$4*D15</f>
        <v>0</v>
      </c>
      <c r="E16" s="179">
        <f t="shared" si="24"/>
        <v>0</v>
      </c>
      <c r="F16" s="179">
        <f t="shared" si="24"/>
        <v>0</v>
      </c>
      <c r="G16" s="179">
        <f t="shared" si="24"/>
        <v>0</v>
      </c>
      <c r="H16" s="179">
        <f t="shared" si="24"/>
        <v>0</v>
      </c>
      <c r="I16" s="179">
        <f t="shared" si="24"/>
        <v>0</v>
      </c>
      <c r="J16" s="180">
        <f>IFERROR(ROUND(SUM(D16:I16)/J15,3),0)</f>
        <v>0</v>
      </c>
      <c r="K16" s="803"/>
      <c r="L16" s="181">
        <f t="shared" ref="L16:Q16" si="25">L$4*L15</f>
        <v>0</v>
      </c>
      <c r="M16" s="179">
        <f t="shared" si="25"/>
        <v>0</v>
      </c>
      <c r="N16" s="179">
        <f t="shared" si="25"/>
        <v>0</v>
      </c>
      <c r="O16" s="179">
        <f t="shared" si="25"/>
        <v>0</v>
      </c>
      <c r="P16" s="179">
        <f t="shared" si="25"/>
        <v>0</v>
      </c>
      <c r="Q16" s="179">
        <f t="shared" si="25"/>
        <v>0</v>
      </c>
      <c r="R16" s="180">
        <f>IFERROR(ROUND(SUM(L16:Q16)/R15,3),0)</f>
        <v>0</v>
      </c>
      <c r="S16" s="803"/>
      <c r="T16" s="182">
        <f t="shared" ref="T16:Y16" si="26">T$4*T15</f>
        <v>0</v>
      </c>
      <c r="U16" s="179">
        <f t="shared" si="26"/>
        <v>0</v>
      </c>
      <c r="V16" s="179">
        <f t="shared" si="26"/>
        <v>0</v>
      </c>
      <c r="W16" s="179">
        <f t="shared" si="26"/>
        <v>0</v>
      </c>
      <c r="X16" s="179">
        <f t="shared" si="26"/>
        <v>0</v>
      </c>
      <c r="Y16" s="179">
        <f t="shared" si="26"/>
        <v>0</v>
      </c>
      <c r="Z16" s="180">
        <f>IFERROR(ROUND(SUM(T16:Y16)/Z15,3),0)</f>
        <v>0</v>
      </c>
      <c r="AA16" s="803"/>
      <c r="AB16" s="181">
        <f t="shared" ref="AB16:AG16" si="27">AB$4*AB15</f>
        <v>0</v>
      </c>
      <c r="AC16" s="179">
        <f t="shared" si="27"/>
        <v>0</v>
      </c>
      <c r="AD16" s="179">
        <f t="shared" si="27"/>
        <v>0</v>
      </c>
      <c r="AE16" s="179">
        <f t="shared" si="27"/>
        <v>0</v>
      </c>
      <c r="AF16" s="179">
        <f t="shared" si="27"/>
        <v>0</v>
      </c>
      <c r="AG16" s="179">
        <f t="shared" si="27"/>
        <v>0</v>
      </c>
      <c r="AH16" s="180">
        <f>IFERROR(ROUND(SUM(AB16:AG16)/AH15,3),0)</f>
        <v>0</v>
      </c>
      <c r="AI16" s="803"/>
      <c r="AJ16" s="182">
        <f t="shared" ref="AJ16:AO16" si="28">AJ$4*AJ15</f>
        <v>0</v>
      </c>
      <c r="AK16" s="179">
        <f t="shared" si="28"/>
        <v>0</v>
      </c>
      <c r="AL16" s="179">
        <f t="shared" si="28"/>
        <v>0</v>
      </c>
      <c r="AM16" s="179">
        <f t="shared" si="28"/>
        <v>0</v>
      </c>
      <c r="AN16" s="179">
        <f t="shared" si="28"/>
        <v>0</v>
      </c>
      <c r="AO16" s="179">
        <f t="shared" si="28"/>
        <v>0</v>
      </c>
      <c r="AP16" s="180">
        <f>IFERROR(ROUND(SUM(AJ16:AO16)/AP15,3),0)</f>
        <v>0</v>
      </c>
      <c r="AQ16" s="803"/>
      <c r="AR16" s="181">
        <f t="shared" ref="AR16:AW16" si="29">AR$4*AR15</f>
        <v>0</v>
      </c>
      <c r="AS16" s="179">
        <f t="shared" si="29"/>
        <v>0</v>
      </c>
      <c r="AT16" s="179">
        <f t="shared" si="29"/>
        <v>0</v>
      </c>
      <c r="AU16" s="179">
        <f t="shared" si="29"/>
        <v>0</v>
      </c>
      <c r="AV16" s="179">
        <f t="shared" si="29"/>
        <v>0</v>
      </c>
      <c r="AW16" s="179">
        <f t="shared" si="29"/>
        <v>0</v>
      </c>
      <c r="AX16" s="179">
        <f>IFERROR(ROUND(SUM(AR16:AW16)/AX15,3),0)</f>
        <v>0</v>
      </c>
      <c r="AY16" s="803"/>
      <c r="BA16" s="796"/>
      <c r="BB16" s="155"/>
      <c r="BC16" s="183"/>
    </row>
    <row r="17" spans="2:55" ht="18.75" customHeight="1">
      <c r="B17" s="800" t="s">
        <v>181</v>
      </c>
      <c r="C17" s="173" t="s">
        <v>175</v>
      </c>
      <c r="D17" s="208"/>
      <c r="E17" s="208"/>
      <c r="F17" s="208"/>
      <c r="G17" s="208"/>
      <c r="H17" s="208"/>
      <c r="I17" s="208"/>
      <c r="J17" s="175">
        <f>SUM(D17:I17)</f>
        <v>0</v>
      </c>
      <c r="K17" s="802">
        <f>ROUND(J18/3*J17,2)</f>
        <v>0</v>
      </c>
      <c r="L17" s="208"/>
      <c r="M17" s="208"/>
      <c r="N17" s="208"/>
      <c r="O17" s="208"/>
      <c r="P17" s="208"/>
      <c r="Q17" s="208"/>
      <c r="R17" s="175">
        <f>SUM(L17:Q17)</f>
        <v>0</v>
      </c>
      <c r="S17" s="802">
        <f>ROUND(R18/5*R17,2)</f>
        <v>0</v>
      </c>
      <c r="T17" s="208"/>
      <c r="U17" s="208"/>
      <c r="V17" s="208"/>
      <c r="W17" s="208"/>
      <c r="X17" s="208"/>
      <c r="Y17" s="208"/>
      <c r="Z17" s="175">
        <f>SUM(T17:Y17)</f>
        <v>0</v>
      </c>
      <c r="AA17" s="802">
        <f>ROUND(Z18/6*Z17,2)</f>
        <v>0</v>
      </c>
      <c r="AB17" s="208"/>
      <c r="AC17" s="208"/>
      <c r="AD17" s="208"/>
      <c r="AE17" s="208"/>
      <c r="AF17" s="208"/>
      <c r="AG17" s="208"/>
      <c r="AH17" s="175">
        <f>SUM(AB17:AG17)</f>
        <v>0</v>
      </c>
      <c r="AI17" s="802">
        <f>ROUND(AH18/15*AH17,2)</f>
        <v>0</v>
      </c>
      <c r="AJ17" s="208"/>
      <c r="AK17" s="208"/>
      <c r="AL17" s="208"/>
      <c r="AM17" s="208"/>
      <c r="AN17" s="208"/>
      <c r="AO17" s="208"/>
      <c r="AP17" s="175">
        <f>SUM(AJ17:AO17)</f>
        <v>0</v>
      </c>
      <c r="AQ17" s="802">
        <f>ROUND(AP18/20*AP17,2)</f>
        <v>0</v>
      </c>
      <c r="AR17" s="208"/>
      <c r="AS17" s="208"/>
      <c r="AT17" s="208"/>
      <c r="AU17" s="208"/>
      <c r="AV17" s="208"/>
      <c r="AW17" s="208"/>
      <c r="AX17" s="195">
        <f>SUM(AR17:AW17)</f>
        <v>0</v>
      </c>
      <c r="AY17" s="802">
        <f>ROUND(AX18/25*AX17,2)</f>
        <v>0</v>
      </c>
      <c r="BA17" s="796">
        <f>ROUND(AY17+AQ17+AI17+AA17+S17+K17,1)</f>
        <v>0</v>
      </c>
      <c r="BB17" s="155" t="str">
        <f>IF(J17+R17=0,"×","○")</f>
        <v>×</v>
      </c>
      <c r="BC17" s="177">
        <f>SUM(J17,R17,Z17,AH17,AP17,AX17)</f>
        <v>0</v>
      </c>
    </row>
    <row r="18" spans="2:55" ht="18.75" customHeight="1">
      <c r="B18" s="805"/>
      <c r="C18" s="184" t="s">
        <v>176</v>
      </c>
      <c r="D18" s="179">
        <f t="shared" ref="D18:I18" si="30">D$4*D17</f>
        <v>0</v>
      </c>
      <c r="E18" s="179">
        <f t="shared" si="30"/>
        <v>0</v>
      </c>
      <c r="F18" s="179">
        <f t="shared" si="30"/>
        <v>0</v>
      </c>
      <c r="G18" s="179">
        <f t="shared" si="30"/>
        <v>0</v>
      </c>
      <c r="H18" s="179">
        <f t="shared" si="30"/>
        <v>0</v>
      </c>
      <c r="I18" s="179">
        <f t="shared" si="30"/>
        <v>0</v>
      </c>
      <c r="J18" s="180">
        <f>IFERROR(ROUND(SUM(D18:I18)/J17,3),0)</f>
        <v>0</v>
      </c>
      <c r="K18" s="803"/>
      <c r="L18" s="181">
        <f t="shared" ref="L18:Q18" si="31">L$4*L17</f>
        <v>0</v>
      </c>
      <c r="M18" s="179">
        <f t="shared" si="31"/>
        <v>0</v>
      </c>
      <c r="N18" s="179">
        <f t="shared" si="31"/>
        <v>0</v>
      </c>
      <c r="O18" s="179">
        <f t="shared" si="31"/>
        <v>0</v>
      </c>
      <c r="P18" s="179">
        <f t="shared" si="31"/>
        <v>0</v>
      </c>
      <c r="Q18" s="179">
        <f t="shared" si="31"/>
        <v>0</v>
      </c>
      <c r="R18" s="180">
        <f>IFERROR(ROUND(SUM(L18:Q18)/R17,3),0)</f>
        <v>0</v>
      </c>
      <c r="S18" s="803"/>
      <c r="T18" s="182">
        <f t="shared" ref="T18:Y18" si="32">T$4*T17</f>
        <v>0</v>
      </c>
      <c r="U18" s="179">
        <f t="shared" si="32"/>
        <v>0</v>
      </c>
      <c r="V18" s="179">
        <f t="shared" si="32"/>
        <v>0</v>
      </c>
      <c r="W18" s="179">
        <f t="shared" si="32"/>
        <v>0</v>
      </c>
      <c r="X18" s="179">
        <f t="shared" si="32"/>
        <v>0</v>
      </c>
      <c r="Y18" s="179">
        <f t="shared" si="32"/>
        <v>0</v>
      </c>
      <c r="Z18" s="180">
        <f>IFERROR(ROUND(SUM(T18:Y18)/Z17,3),0)</f>
        <v>0</v>
      </c>
      <c r="AA18" s="803"/>
      <c r="AB18" s="181">
        <f t="shared" ref="AB18:AG18" si="33">AB$4*AB17</f>
        <v>0</v>
      </c>
      <c r="AC18" s="179">
        <f t="shared" si="33"/>
        <v>0</v>
      </c>
      <c r="AD18" s="179">
        <f t="shared" si="33"/>
        <v>0</v>
      </c>
      <c r="AE18" s="179">
        <f t="shared" si="33"/>
        <v>0</v>
      </c>
      <c r="AF18" s="179">
        <f t="shared" si="33"/>
        <v>0</v>
      </c>
      <c r="AG18" s="179">
        <f t="shared" si="33"/>
        <v>0</v>
      </c>
      <c r="AH18" s="180">
        <f>IFERROR(ROUND(SUM(AB18:AG18)/AH17,3),0)</f>
        <v>0</v>
      </c>
      <c r="AI18" s="803"/>
      <c r="AJ18" s="182">
        <f t="shared" ref="AJ18:AO18" si="34">AJ$4*AJ17</f>
        <v>0</v>
      </c>
      <c r="AK18" s="179">
        <f t="shared" si="34"/>
        <v>0</v>
      </c>
      <c r="AL18" s="179">
        <f t="shared" si="34"/>
        <v>0</v>
      </c>
      <c r="AM18" s="179">
        <f t="shared" si="34"/>
        <v>0</v>
      </c>
      <c r="AN18" s="179">
        <f t="shared" si="34"/>
        <v>0</v>
      </c>
      <c r="AO18" s="179">
        <f t="shared" si="34"/>
        <v>0</v>
      </c>
      <c r="AP18" s="180">
        <f>IFERROR(ROUND(SUM(AJ18:AO18)/AP17,3),0)</f>
        <v>0</v>
      </c>
      <c r="AQ18" s="803"/>
      <c r="AR18" s="181">
        <f t="shared" ref="AR18:AW18" si="35">AR$4*AR17</f>
        <v>0</v>
      </c>
      <c r="AS18" s="179">
        <f t="shared" si="35"/>
        <v>0</v>
      </c>
      <c r="AT18" s="179">
        <f t="shared" si="35"/>
        <v>0</v>
      </c>
      <c r="AU18" s="179">
        <f t="shared" si="35"/>
        <v>0</v>
      </c>
      <c r="AV18" s="179">
        <f t="shared" si="35"/>
        <v>0</v>
      </c>
      <c r="AW18" s="179">
        <f t="shared" si="35"/>
        <v>0</v>
      </c>
      <c r="AX18" s="179">
        <f>IFERROR(ROUND(SUM(AR18:AW18)/AX17,3),0)</f>
        <v>0</v>
      </c>
      <c r="AY18" s="803"/>
      <c r="BA18" s="796"/>
      <c r="BB18" s="155"/>
      <c r="BC18" s="183"/>
    </row>
    <row r="19" spans="2:55" ht="18.75" customHeight="1">
      <c r="B19" s="800" t="s">
        <v>182</v>
      </c>
      <c r="C19" s="173" t="s">
        <v>175</v>
      </c>
      <c r="D19" s="208"/>
      <c r="E19" s="208"/>
      <c r="F19" s="208"/>
      <c r="G19" s="208"/>
      <c r="H19" s="208"/>
      <c r="I19" s="208"/>
      <c r="J19" s="174">
        <f>SUM(D19:I19)</f>
        <v>0</v>
      </c>
      <c r="K19" s="802">
        <f>ROUND(J20/3*J19,2)</f>
        <v>0</v>
      </c>
      <c r="L19" s="208"/>
      <c r="M19" s="208"/>
      <c r="N19" s="208"/>
      <c r="O19" s="208"/>
      <c r="P19" s="208"/>
      <c r="Q19" s="208"/>
      <c r="R19" s="174">
        <f>SUM(L19:Q19)</f>
        <v>0</v>
      </c>
      <c r="S19" s="802">
        <f>ROUND(R20/5*R19,2)</f>
        <v>0</v>
      </c>
      <c r="T19" s="208"/>
      <c r="U19" s="208"/>
      <c r="V19" s="208"/>
      <c r="W19" s="208"/>
      <c r="X19" s="208"/>
      <c r="Y19" s="208"/>
      <c r="Z19" s="174">
        <f>SUM(T19:Y19)</f>
        <v>0</v>
      </c>
      <c r="AA19" s="802">
        <f>ROUND(Z20/6*Z19,2)</f>
        <v>0</v>
      </c>
      <c r="AB19" s="208"/>
      <c r="AC19" s="208"/>
      <c r="AD19" s="208"/>
      <c r="AE19" s="208"/>
      <c r="AF19" s="208"/>
      <c r="AG19" s="208"/>
      <c r="AH19" s="174">
        <f>SUM(AB19:AG19)</f>
        <v>0</v>
      </c>
      <c r="AI19" s="802">
        <f>ROUND(AH20/15*AH19,2)</f>
        <v>0</v>
      </c>
      <c r="AJ19" s="208"/>
      <c r="AK19" s="208"/>
      <c r="AL19" s="208"/>
      <c r="AM19" s="208"/>
      <c r="AN19" s="208"/>
      <c r="AO19" s="208"/>
      <c r="AP19" s="174">
        <f>SUM(AJ19:AO19)</f>
        <v>0</v>
      </c>
      <c r="AQ19" s="802">
        <f>ROUND(AP20/20*AP19,2)</f>
        <v>0</v>
      </c>
      <c r="AR19" s="208"/>
      <c r="AS19" s="208"/>
      <c r="AT19" s="208"/>
      <c r="AU19" s="208"/>
      <c r="AV19" s="208"/>
      <c r="AW19" s="208"/>
      <c r="AX19" s="176">
        <f>SUM(AR19:AW19)</f>
        <v>0</v>
      </c>
      <c r="AY19" s="802">
        <f>ROUND(AX20/25*AX19,2)</f>
        <v>0</v>
      </c>
      <c r="BA19" s="796">
        <f>ROUND(AY19+AQ19+AI19+AA19+S19+K19,1)</f>
        <v>0</v>
      </c>
      <c r="BB19" s="155" t="str">
        <f>IF(J19+R19=0,"×","○")</f>
        <v>×</v>
      </c>
      <c r="BC19" s="177">
        <f>SUM(J19,R19,Z19,AH19,AP19,AX19)</f>
        <v>0</v>
      </c>
    </row>
    <row r="20" spans="2:55" ht="18.75" customHeight="1">
      <c r="B20" s="805"/>
      <c r="C20" s="178" t="s">
        <v>176</v>
      </c>
      <c r="D20" s="179">
        <f t="shared" ref="D20:I20" si="36">D$4*D19</f>
        <v>0</v>
      </c>
      <c r="E20" s="179">
        <f t="shared" si="36"/>
        <v>0</v>
      </c>
      <c r="F20" s="179">
        <f t="shared" si="36"/>
        <v>0</v>
      </c>
      <c r="G20" s="179">
        <f t="shared" si="36"/>
        <v>0</v>
      </c>
      <c r="H20" s="179">
        <f t="shared" si="36"/>
        <v>0</v>
      </c>
      <c r="I20" s="179">
        <f t="shared" si="36"/>
        <v>0</v>
      </c>
      <c r="J20" s="180">
        <f>IFERROR(ROUND(SUM(D20:I20)/J19,3),0)</f>
        <v>0</v>
      </c>
      <c r="K20" s="803"/>
      <c r="L20" s="181">
        <f t="shared" ref="L20:Q20" si="37">L$4*L19</f>
        <v>0</v>
      </c>
      <c r="M20" s="179">
        <f t="shared" si="37"/>
        <v>0</v>
      </c>
      <c r="N20" s="179">
        <f t="shared" si="37"/>
        <v>0</v>
      </c>
      <c r="O20" s="179">
        <f t="shared" si="37"/>
        <v>0</v>
      </c>
      <c r="P20" s="179">
        <f t="shared" si="37"/>
        <v>0</v>
      </c>
      <c r="Q20" s="179">
        <f t="shared" si="37"/>
        <v>0</v>
      </c>
      <c r="R20" s="180">
        <f>IFERROR(ROUND(SUM(L20:Q20)/R19,3),0)</f>
        <v>0</v>
      </c>
      <c r="S20" s="803"/>
      <c r="T20" s="182">
        <f t="shared" ref="T20:Y20" si="38">T$4*T19</f>
        <v>0</v>
      </c>
      <c r="U20" s="179">
        <f t="shared" si="38"/>
        <v>0</v>
      </c>
      <c r="V20" s="179">
        <f t="shared" si="38"/>
        <v>0</v>
      </c>
      <c r="W20" s="179">
        <f t="shared" si="38"/>
        <v>0</v>
      </c>
      <c r="X20" s="179">
        <f t="shared" si="38"/>
        <v>0</v>
      </c>
      <c r="Y20" s="179">
        <f t="shared" si="38"/>
        <v>0</v>
      </c>
      <c r="Z20" s="180">
        <f>IFERROR(ROUND(SUM(T20:Y20)/Z19,3),0)</f>
        <v>0</v>
      </c>
      <c r="AA20" s="803"/>
      <c r="AB20" s="181">
        <f t="shared" ref="AB20:AG20" si="39">AB$4*AB19</f>
        <v>0</v>
      </c>
      <c r="AC20" s="179">
        <f t="shared" si="39"/>
        <v>0</v>
      </c>
      <c r="AD20" s="179">
        <f t="shared" si="39"/>
        <v>0</v>
      </c>
      <c r="AE20" s="179">
        <f t="shared" si="39"/>
        <v>0</v>
      </c>
      <c r="AF20" s="179">
        <f t="shared" si="39"/>
        <v>0</v>
      </c>
      <c r="AG20" s="179">
        <f t="shared" si="39"/>
        <v>0</v>
      </c>
      <c r="AH20" s="180">
        <f>IFERROR(ROUND(SUM(AB20:AG20)/AH19,3),0)</f>
        <v>0</v>
      </c>
      <c r="AI20" s="803"/>
      <c r="AJ20" s="182">
        <f t="shared" ref="AJ20:AO20" si="40">AJ$4*AJ19</f>
        <v>0</v>
      </c>
      <c r="AK20" s="179">
        <f t="shared" si="40"/>
        <v>0</v>
      </c>
      <c r="AL20" s="179">
        <f t="shared" si="40"/>
        <v>0</v>
      </c>
      <c r="AM20" s="179">
        <f t="shared" si="40"/>
        <v>0</v>
      </c>
      <c r="AN20" s="179">
        <f t="shared" si="40"/>
        <v>0</v>
      </c>
      <c r="AO20" s="179">
        <f t="shared" si="40"/>
        <v>0</v>
      </c>
      <c r="AP20" s="180">
        <f>IFERROR(ROUND(SUM(AJ20:AO20)/AP19,3),0)</f>
        <v>0</v>
      </c>
      <c r="AQ20" s="803"/>
      <c r="AR20" s="181">
        <f t="shared" ref="AR20:AW20" si="41">AR$4*AR19</f>
        <v>0</v>
      </c>
      <c r="AS20" s="179">
        <f t="shared" si="41"/>
        <v>0</v>
      </c>
      <c r="AT20" s="179">
        <f t="shared" si="41"/>
        <v>0</v>
      </c>
      <c r="AU20" s="179">
        <f t="shared" si="41"/>
        <v>0</v>
      </c>
      <c r="AV20" s="179">
        <f t="shared" si="41"/>
        <v>0</v>
      </c>
      <c r="AW20" s="179">
        <f t="shared" si="41"/>
        <v>0</v>
      </c>
      <c r="AX20" s="179">
        <f>IFERROR(ROUND(SUM(AR20:AW20)/AX19,3),0)</f>
        <v>0</v>
      </c>
      <c r="AY20" s="803"/>
      <c r="BA20" s="796"/>
      <c r="BB20" s="155"/>
      <c r="BC20" s="183"/>
    </row>
    <row r="21" spans="2:55" ht="18.75" customHeight="1">
      <c r="B21" s="800" t="s">
        <v>183</v>
      </c>
      <c r="C21" s="173" t="s">
        <v>175</v>
      </c>
      <c r="D21" s="208"/>
      <c r="E21" s="208"/>
      <c r="F21" s="208"/>
      <c r="G21" s="208"/>
      <c r="H21" s="208"/>
      <c r="I21" s="208"/>
      <c r="J21" s="175">
        <f>SUM(D21:I21)</f>
        <v>0</v>
      </c>
      <c r="K21" s="802">
        <f>ROUND(J22/3*J21,2)</f>
        <v>0</v>
      </c>
      <c r="L21" s="208"/>
      <c r="M21" s="208"/>
      <c r="N21" s="208"/>
      <c r="O21" s="208"/>
      <c r="P21" s="208"/>
      <c r="Q21" s="208"/>
      <c r="R21" s="175">
        <f>SUM(L21:Q21)</f>
        <v>0</v>
      </c>
      <c r="S21" s="802">
        <f>ROUND(R22/5*R21,2)</f>
        <v>0</v>
      </c>
      <c r="T21" s="208"/>
      <c r="U21" s="208"/>
      <c r="V21" s="208"/>
      <c r="W21" s="208"/>
      <c r="X21" s="208"/>
      <c r="Y21" s="208"/>
      <c r="Z21" s="175">
        <f>SUM(T21:Y21)</f>
        <v>0</v>
      </c>
      <c r="AA21" s="802">
        <f>ROUND(Z22/6*Z21,2)</f>
        <v>0</v>
      </c>
      <c r="AB21" s="208"/>
      <c r="AC21" s="208"/>
      <c r="AD21" s="208"/>
      <c r="AE21" s="208"/>
      <c r="AF21" s="208"/>
      <c r="AG21" s="208"/>
      <c r="AH21" s="175">
        <f>SUM(AB21:AG21)</f>
        <v>0</v>
      </c>
      <c r="AI21" s="802">
        <f>ROUND(AH22/15*AH21,2)</f>
        <v>0</v>
      </c>
      <c r="AJ21" s="208"/>
      <c r="AK21" s="208"/>
      <c r="AL21" s="208"/>
      <c r="AM21" s="208"/>
      <c r="AN21" s="208"/>
      <c r="AO21" s="208"/>
      <c r="AP21" s="175">
        <f>SUM(AJ21:AO21)</f>
        <v>0</v>
      </c>
      <c r="AQ21" s="802">
        <f>ROUND(AP22/20*AP21,2)</f>
        <v>0</v>
      </c>
      <c r="AR21" s="208"/>
      <c r="AS21" s="208"/>
      <c r="AT21" s="208"/>
      <c r="AU21" s="208"/>
      <c r="AV21" s="208"/>
      <c r="AW21" s="208"/>
      <c r="AX21" s="195">
        <f>SUM(AR21:AW21)</f>
        <v>0</v>
      </c>
      <c r="AY21" s="802">
        <f>ROUND(AX22/25*AX21,2)</f>
        <v>0</v>
      </c>
      <c r="BA21" s="796">
        <f>ROUND(AY21+AQ21+AI21+AA21+S21+K21,1)</f>
        <v>0</v>
      </c>
      <c r="BB21" s="155" t="str">
        <f>IF(J21+R21=0,"×","○")</f>
        <v>×</v>
      </c>
      <c r="BC21" s="177">
        <f>SUM(J21,R21,Z21,AH21,AP21,AX21)</f>
        <v>0</v>
      </c>
    </row>
    <row r="22" spans="2:55" ht="18.75" customHeight="1">
      <c r="B22" s="805"/>
      <c r="C22" s="184" t="s">
        <v>176</v>
      </c>
      <c r="D22" s="179">
        <f t="shared" ref="D22:I22" si="42">D$4*D21</f>
        <v>0</v>
      </c>
      <c r="E22" s="179">
        <f t="shared" si="42"/>
        <v>0</v>
      </c>
      <c r="F22" s="179">
        <f t="shared" si="42"/>
        <v>0</v>
      </c>
      <c r="G22" s="179">
        <f t="shared" si="42"/>
        <v>0</v>
      </c>
      <c r="H22" s="179">
        <f t="shared" si="42"/>
        <v>0</v>
      </c>
      <c r="I22" s="179">
        <f t="shared" si="42"/>
        <v>0</v>
      </c>
      <c r="J22" s="180">
        <f>IFERROR(ROUND(SUM(D22:I22)/J21,3),0)</f>
        <v>0</v>
      </c>
      <c r="K22" s="803"/>
      <c r="L22" s="181">
        <f t="shared" ref="L22:Q22" si="43">L$4*L21</f>
        <v>0</v>
      </c>
      <c r="M22" s="179">
        <f t="shared" si="43"/>
        <v>0</v>
      </c>
      <c r="N22" s="179">
        <f t="shared" si="43"/>
        <v>0</v>
      </c>
      <c r="O22" s="179">
        <f t="shared" si="43"/>
        <v>0</v>
      </c>
      <c r="P22" s="179">
        <f t="shared" si="43"/>
        <v>0</v>
      </c>
      <c r="Q22" s="179">
        <f t="shared" si="43"/>
        <v>0</v>
      </c>
      <c r="R22" s="180">
        <f>IFERROR(ROUND(SUM(L22:Q22)/R21,3),0)</f>
        <v>0</v>
      </c>
      <c r="S22" s="803"/>
      <c r="T22" s="182">
        <f t="shared" ref="T22:Y22" si="44">T$4*T21</f>
        <v>0</v>
      </c>
      <c r="U22" s="179">
        <f t="shared" si="44"/>
        <v>0</v>
      </c>
      <c r="V22" s="179">
        <f t="shared" si="44"/>
        <v>0</v>
      </c>
      <c r="W22" s="179">
        <f t="shared" si="44"/>
        <v>0</v>
      </c>
      <c r="X22" s="179">
        <f t="shared" si="44"/>
        <v>0</v>
      </c>
      <c r="Y22" s="179">
        <f t="shared" si="44"/>
        <v>0</v>
      </c>
      <c r="Z22" s="180">
        <f>IFERROR(ROUND(SUM(T22:Y22)/Z21,3),0)</f>
        <v>0</v>
      </c>
      <c r="AA22" s="803"/>
      <c r="AB22" s="181">
        <f t="shared" ref="AB22:AG22" si="45">AB$4*AB21</f>
        <v>0</v>
      </c>
      <c r="AC22" s="179">
        <f t="shared" si="45"/>
        <v>0</v>
      </c>
      <c r="AD22" s="179">
        <f t="shared" si="45"/>
        <v>0</v>
      </c>
      <c r="AE22" s="179">
        <f t="shared" si="45"/>
        <v>0</v>
      </c>
      <c r="AF22" s="179">
        <f t="shared" si="45"/>
        <v>0</v>
      </c>
      <c r="AG22" s="179">
        <f t="shared" si="45"/>
        <v>0</v>
      </c>
      <c r="AH22" s="180">
        <f>IFERROR(ROUND(SUM(AB22:AG22)/AH21,3),0)</f>
        <v>0</v>
      </c>
      <c r="AI22" s="803"/>
      <c r="AJ22" s="182">
        <f t="shared" ref="AJ22:AO22" si="46">AJ$4*AJ21</f>
        <v>0</v>
      </c>
      <c r="AK22" s="179">
        <f t="shared" si="46"/>
        <v>0</v>
      </c>
      <c r="AL22" s="179">
        <f t="shared" si="46"/>
        <v>0</v>
      </c>
      <c r="AM22" s="179">
        <f t="shared" si="46"/>
        <v>0</v>
      </c>
      <c r="AN22" s="179">
        <f t="shared" si="46"/>
        <v>0</v>
      </c>
      <c r="AO22" s="179">
        <f t="shared" si="46"/>
        <v>0</v>
      </c>
      <c r="AP22" s="180">
        <f>IFERROR(ROUND(SUM(AJ22:AO22)/AP21,3),0)</f>
        <v>0</v>
      </c>
      <c r="AQ22" s="803"/>
      <c r="AR22" s="181">
        <f t="shared" ref="AR22:AW22" si="47">AR$4*AR21</f>
        <v>0</v>
      </c>
      <c r="AS22" s="179">
        <f t="shared" si="47"/>
        <v>0</v>
      </c>
      <c r="AT22" s="179">
        <f t="shared" si="47"/>
        <v>0</v>
      </c>
      <c r="AU22" s="179">
        <f t="shared" si="47"/>
        <v>0</v>
      </c>
      <c r="AV22" s="179">
        <f t="shared" si="47"/>
        <v>0</v>
      </c>
      <c r="AW22" s="179">
        <f t="shared" si="47"/>
        <v>0</v>
      </c>
      <c r="AX22" s="179">
        <f>IFERROR(ROUND(SUM(AR22:AW22)/AX21,3),0)</f>
        <v>0</v>
      </c>
      <c r="AY22" s="803"/>
      <c r="BA22" s="796"/>
      <c r="BB22" s="155"/>
      <c r="BC22" s="183"/>
    </row>
    <row r="23" spans="2:55" ht="18.75" customHeight="1">
      <c r="B23" s="800" t="s">
        <v>184</v>
      </c>
      <c r="C23" s="173" t="s">
        <v>175</v>
      </c>
      <c r="D23" s="208"/>
      <c r="E23" s="208"/>
      <c r="F23" s="208"/>
      <c r="G23" s="208"/>
      <c r="H23" s="208"/>
      <c r="I23" s="208"/>
      <c r="J23" s="174">
        <f>SUM(D23:I23)</f>
        <v>0</v>
      </c>
      <c r="K23" s="802">
        <f>ROUND(J24/3*J23,2)</f>
        <v>0</v>
      </c>
      <c r="L23" s="208"/>
      <c r="M23" s="208"/>
      <c r="N23" s="208"/>
      <c r="O23" s="208"/>
      <c r="P23" s="208"/>
      <c r="Q23" s="208"/>
      <c r="R23" s="174">
        <f>SUM(L23:Q23)</f>
        <v>0</v>
      </c>
      <c r="S23" s="802">
        <f>ROUND(R24/5*R23,2)</f>
        <v>0</v>
      </c>
      <c r="T23" s="208"/>
      <c r="U23" s="208"/>
      <c r="V23" s="208"/>
      <c r="W23" s="208"/>
      <c r="X23" s="208"/>
      <c r="Y23" s="208"/>
      <c r="Z23" s="174">
        <f>SUM(T23:Y23)</f>
        <v>0</v>
      </c>
      <c r="AA23" s="802">
        <f>ROUND(Z24/6*Z23,2)</f>
        <v>0</v>
      </c>
      <c r="AB23" s="208"/>
      <c r="AC23" s="208"/>
      <c r="AD23" s="208"/>
      <c r="AE23" s="208"/>
      <c r="AF23" s="208"/>
      <c r="AG23" s="208"/>
      <c r="AH23" s="174">
        <f>SUM(AB23:AG23)</f>
        <v>0</v>
      </c>
      <c r="AI23" s="802">
        <f>ROUND(AH24/15*AH23,2)</f>
        <v>0</v>
      </c>
      <c r="AJ23" s="208"/>
      <c r="AK23" s="208"/>
      <c r="AL23" s="208"/>
      <c r="AM23" s="208"/>
      <c r="AN23" s="208"/>
      <c r="AO23" s="208"/>
      <c r="AP23" s="174">
        <f>SUM(AJ23:AO23)</f>
        <v>0</v>
      </c>
      <c r="AQ23" s="802">
        <f>ROUND(AP24/20*AP23,2)</f>
        <v>0</v>
      </c>
      <c r="AR23" s="208"/>
      <c r="AS23" s="208"/>
      <c r="AT23" s="208"/>
      <c r="AU23" s="208"/>
      <c r="AV23" s="208"/>
      <c r="AW23" s="208"/>
      <c r="AX23" s="176">
        <f>SUM(AR23:AW23)</f>
        <v>0</v>
      </c>
      <c r="AY23" s="802">
        <f>ROUND(AX24/25*AX23,2)</f>
        <v>0</v>
      </c>
      <c r="BA23" s="796">
        <f>ROUND(AY23+AQ23+AI23+AA23+S23+K23,1)</f>
        <v>0</v>
      </c>
      <c r="BB23" s="155" t="str">
        <f>IF(J23+R23=0,"×","○")</f>
        <v>×</v>
      </c>
      <c r="BC23" s="177">
        <f>SUM(J23,R23,Z23,AH23,AP23,AX23)</f>
        <v>0</v>
      </c>
    </row>
    <row r="24" spans="2:55" ht="18.75" customHeight="1">
      <c r="B24" s="805"/>
      <c r="C24" s="184" t="s">
        <v>176</v>
      </c>
      <c r="D24" s="179">
        <f t="shared" ref="D24:I24" si="48">D$4*D23</f>
        <v>0</v>
      </c>
      <c r="E24" s="179">
        <f t="shared" si="48"/>
        <v>0</v>
      </c>
      <c r="F24" s="179">
        <f t="shared" si="48"/>
        <v>0</v>
      </c>
      <c r="G24" s="179">
        <f t="shared" si="48"/>
        <v>0</v>
      </c>
      <c r="H24" s="179">
        <f t="shared" si="48"/>
        <v>0</v>
      </c>
      <c r="I24" s="179">
        <f t="shared" si="48"/>
        <v>0</v>
      </c>
      <c r="J24" s="180">
        <f>IFERROR(ROUND(SUM(D24:I24)/J23,3),0)</f>
        <v>0</v>
      </c>
      <c r="K24" s="803"/>
      <c r="L24" s="181">
        <f t="shared" ref="L24:Q24" si="49">L$4*L23</f>
        <v>0</v>
      </c>
      <c r="M24" s="179">
        <f t="shared" si="49"/>
        <v>0</v>
      </c>
      <c r="N24" s="179">
        <f t="shared" si="49"/>
        <v>0</v>
      </c>
      <c r="O24" s="179">
        <f t="shared" si="49"/>
        <v>0</v>
      </c>
      <c r="P24" s="179">
        <f t="shared" si="49"/>
        <v>0</v>
      </c>
      <c r="Q24" s="179">
        <f t="shared" si="49"/>
        <v>0</v>
      </c>
      <c r="R24" s="180">
        <f>IFERROR(ROUND(SUM(L24:Q24)/R23,3),0)</f>
        <v>0</v>
      </c>
      <c r="S24" s="803"/>
      <c r="T24" s="182">
        <f t="shared" ref="T24:Y24" si="50">T$4*T23</f>
        <v>0</v>
      </c>
      <c r="U24" s="179">
        <f t="shared" si="50"/>
        <v>0</v>
      </c>
      <c r="V24" s="179">
        <f t="shared" si="50"/>
        <v>0</v>
      </c>
      <c r="W24" s="179">
        <f t="shared" si="50"/>
        <v>0</v>
      </c>
      <c r="X24" s="179">
        <f t="shared" si="50"/>
        <v>0</v>
      </c>
      <c r="Y24" s="179">
        <f t="shared" si="50"/>
        <v>0</v>
      </c>
      <c r="Z24" s="180">
        <f>IFERROR(ROUND(SUM(T24:Y24)/Z23,3),0)</f>
        <v>0</v>
      </c>
      <c r="AA24" s="803"/>
      <c r="AB24" s="181">
        <f t="shared" ref="AB24:AG24" si="51">AB$4*AB23</f>
        <v>0</v>
      </c>
      <c r="AC24" s="179">
        <f t="shared" si="51"/>
        <v>0</v>
      </c>
      <c r="AD24" s="179">
        <f t="shared" si="51"/>
        <v>0</v>
      </c>
      <c r="AE24" s="179">
        <f t="shared" si="51"/>
        <v>0</v>
      </c>
      <c r="AF24" s="179">
        <f t="shared" si="51"/>
        <v>0</v>
      </c>
      <c r="AG24" s="179">
        <f t="shared" si="51"/>
        <v>0</v>
      </c>
      <c r="AH24" s="180">
        <f>IFERROR(ROUND(SUM(AB24:AG24)/AH23,3),0)</f>
        <v>0</v>
      </c>
      <c r="AI24" s="803"/>
      <c r="AJ24" s="182">
        <f t="shared" ref="AJ24:AO24" si="52">AJ$4*AJ23</f>
        <v>0</v>
      </c>
      <c r="AK24" s="179">
        <f t="shared" si="52"/>
        <v>0</v>
      </c>
      <c r="AL24" s="179">
        <f t="shared" si="52"/>
        <v>0</v>
      </c>
      <c r="AM24" s="179">
        <f t="shared" si="52"/>
        <v>0</v>
      </c>
      <c r="AN24" s="179">
        <f t="shared" si="52"/>
        <v>0</v>
      </c>
      <c r="AO24" s="179">
        <f t="shared" si="52"/>
        <v>0</v>
      </c>
      <c r="AP24" s="180">
        <f>IFERROR(ROUND(SUM(AJ24:AO24)/AP23,3),0)</f>
        <v>0</v>
      </c>
      <c r="AQ24" s="803"/>
      <c r="AR24" s="181">
        <f t="shared" ref="AR24:AW24" si="53">AR$4*AR23</f>
        <v>0</v>
      </c>
      <c r="AS24" s="179">
        <f t="shared" si="53"/>
        <v>0</v>
      </c>
      <c r="AT24" s="179">
        <f t="shared" si="53"/>
        <v>0</v>
      </c>
      <c r="AU24" s="179">
        <f t="shared" si="53"/>
        <v>0</v>
      </c>
      <c r="AV24" s="179">
        <f t="shared" si="53"/>
        <v>0</v>
      </c>
      <c r="AW24" s="179">
        <f t="shared" si="53"/>
        <v>0</v>
      </c>
      <c r="AX24" s="179">
        <f>IFERROR(ROUND(SUM(AR24:AW24)/AX23,3),0)</f>
        <v>0</v>
      </c>
      <c r="AY24" s="803"/>
      <c r="BA24" s="796"/>
      <c r="BB24" s="155"/>
      <c r="BC24" s="183"/>
    </row>
    <row r="25" spans="2:55" ht="18.75" customHeight="1">
      <c r="B25" s="800" t="s">
        <v>185</v>
      </c>
      <c r="C25" s="173" t="s">
        <v>175</v>
      </c>
      <c r="D25" s="208"/>
      <c r="E25" s="208"/>
      <c r="F25" s="208"/>
      <c r="G25" s="208"/>
      <c r="H25" s="208"/>
      <c r="I25" s="208"/>
      <c r="J25" s="175">
        <f>SUM(D25:I25)</f>
        <v>0</v>
      </c>
      <c r="K25" s="802">
        <f>ROUND(J26/3*J25,2)</f>
        <v>0</v>
      </c>
      <c r="L25" s="208"/>
      <c r="M25" s="208"/>
      <c r="N25" s="208"/>
      <c r="O25" s="208"/>
      <c r="P25" s="208"/>
      <c r="Q25" s="208"/>
      <c r="R25" s="175">
        <f>SUM(L25:Q25)</f>
        <v>0</v>
      </c>
      <c r="S25" s="802">
        <f>ROUND(R26/5*R25,2)</f>
        <v>0</v>
      </c>
      <c r="T25" s="208"/>
      <c r="U25" s="208"/>
      <c r="V25" s="208"/>
      <c r="W25" s="208"/>
      <c r="X25" s="208"/>
      <c r="Y25" s="208"/>
      <c r="Z25" s="175">
        <f>SUM(T25:Y25)</f>
        <v>0</v>
      </c>
      <c r="AA25" s="802">
        <f>ROUND(Z26/6*Z25,2)</f>
        <v>0</v>
      </c>
      <c r="AB25" s="208"/>
      <c r="AC25" s="208"/>
      <c r="AD25" s="208"/>
      <c r="AE25" s="208"/>
      <c r="AF25" s="208"/>
      <c r="AG25" s="208"/>
      <c r="AH25" s="175">
        <f>SUM(AB25:AG25)</f>
        <v>0</v>
      </c>
      <c r="AI25" s="802">
        <f>ROUND(AH26/15*AH25,2)</f>
        <v>0</v>
      </c>
      <c r="AJ25" s="208"/>
      <c r="AK25" s="208"/>
      <c r="AL25" s="208"/>
      <c r="AM25" s="208"/>
      <c r="AN25" s="208"/>
      <c r="AO25" s="208"/>
      <c r="AP25" s="175">
        <f>SUM(AJ25:AO25)</f>
        <v>0</v>
      </c>
      <c r="AQ25" s="802">
        <f>ROUND(AP26/20*AP25,2)</f>
        <v>0</v>
      </c>
      <c r="AR25" s="208"/>
      <c r="AS25" s="208"/>
      <c r="AT25" s="208"/>
      <c r="AU25" s="208"/>
      <c r="AV25" s="208"/>
      <c r="AW25" s="208"/>
      <c r="AX25" s="195">
        <f>SUM(AR25:AW25)</f>
        <v>0</v>
      </c>
      <c r="AY25" s="802">
        <f>ROUND(AX26/25*AX25,2)</f>
        <v>0</v>
      </c>
      <c r="BA25" s="796">
        <f>ROUND(AY25+AQ25+AI25+AA25+S25+K25,1)</f>
        <v>0</v>
      </c>
      <c r="BB25" s="155" t="str">
        <f>IF(J25+R25=0,"×","○")</f>
        <v>×</v>
      </c>
      <c r="BC25" s="177">
        <f>SUM(J25,R25,Z25,AH25,AP25,AX25)</f>
        <v>0</v>
      </c>
    </row>
    <row r="26" spans="2:55" ht="18.75" customHeight="1">
      <c r="B26" s="805"/>
      <c r="C26" s="184" t="s">
        <v>176</v>
      </c>
      <c r="D26" s="179">
        <f t="shared" ref="D26:I26" si="54">D$4*D25</f>
        <v>0</v>
      </c>
      <c r="E26" s="179">
        <f t="shared" si="54"/>
        <v>0</v>
      </c>
      <c r="F26" s="179">
        <f t="shared" si="54"/>
        <v>0</v>
      </c>
      <c r="G26" s="179">
        <f t="shared" si="54"/>
        <v>0</v>
      </c>
      <c r="H26" s="179">
        <f t="shared" si="54"/>
        <v>0</v>
      </c>
      <c r="I26" s="179">
        <f t="shared" si="54"/>
        <v>0</v>
      </c>
      <c r="J26" s="180">
        <f>IFERROR(ROUND(SUM(D26:I26)/J25,3),0)</f>
        <v>0</v>
      </c>
      <c r="K26" s="803"/>
      <c r="L26" s="181">
        <f t="shared" ref="L26:Q26" si="55">L$4*L25</f>
        <v>0</v>
      </c>
      <c r="M26" s="179">
        <f t="shared" si="55"/>
        <v>0</v>
      </c>
      <c r="N26" s="179">
        <f t="shared" si="55"/>
        <v>0</v>
      </c>
      <c r="O26" s="179">
        <f t="shared" si="55"/>
        <v>0</v>
      </c>
      <c r="P26" s="179">
        <f t="shared" si="55"/>
        <v>0</v>
      </c>
      <c r="Q26" s="179">
        <f t="shared" si="55"/>
        <v>0</v>
      </c>
      <c r="R26" s="180">
        <f>IFERROR(ROUND(SUM(L26:Q26)/R25,3),0)</f>
        <v>0</v>
      </c>
      <c r="S26" s="803"/>
      <c r="T26" s="182">
        <f t="shared" ref="T26:Y26" si="56">T$4*T25</f>
        <v>0</v>
      </c>
      <c r="U26" s="179">
        <f t="shared" si="56"/>
        <v>0</v>
      </c>
      <c r="V26" s="179">
        <f t="shared" si="56"/>
        <v>0</v>
      </c>
      <c r="W26" s="179">
        <f t="shared" si="56"/>
        <v>0</v>
      </c>
      <c r="X26" s="179">
        <f t="shared" si="56"/>
        <v>0</v>
      </c>
      <c r="Y26" s="179">
        <f t="shared" si="56"/>
        <v>0</v>
      </c>
      <c r="Z26" s="180">
        <f>IFERROR(ROUND(SUM(T26:Y26)/Z25,3),0)</f>
        <v>0</v>
      </c>
      <c r="AA26" s="803"/>
      <c r="AB26" s="181">
        <f t="shared" ref="AB26:AG26" si="57">AB$4*AB25</f>
        <v>0</v>
      </c>
      <c r="AC26" s="179">
        <f t="shared" si="57"/>
        <v>0</v>
      </c>
      <c r="AD26" s="179">
        <f t="shared" si="57"/>
        <v>0</v>
      </c>
      <c r="AE26" s="179">
        <f t="shared" si="57"/>
        <v>0</v>
      </c>
      <c r="AF26" s="179">
        <f t="shared" si="57"/>
        <v>0</v>
      </c>
      <c r="AG26" s="179">
        <f t="shared" si="57"/>
        <v>0</v>
      </c>
      <c r="AH26" s="180">
        <f>IFERROR(ROUND(SUM(AB26:AG26)/AH25,3),0)</f>
        <v>0</v>
      </c>
      <c r="AI26" s="803"/>
      <c r="AJ26" s="182">
        <f t="shared" ref="AJ26:AO26" si="58">AJ$4*AJ25</f>
        <v>0</v>
      </c>
      <c r="AK26" s="179">
        <f t="shared" si="58"/>
        <v>0</v>
      </c>
      <c r="AL26" s="179">
        <f t="shared" si="58"/>
        <v>0</v>
      </c>
      <c r="AM26" s="179">
        <f t="shared" si="58"/>
        <v>0</v>
      </c>
      <c r="AN26" s="179">
        <f t="shared" si="58"/>
        <v>0</v>
      </c>
      <c r="AO26" s="179">
        <f t="shared" si="58"/>
        <v>0</v>
      </c>
      <c r="AP26" s="180">
        <f>IFERROR(ROUND(SUM(AJ26:AO26)/AP25,3),0)</f>
        <v>0</v>
      </c>
      <c r="AQ26" s="803"/>
      <c r="AR26" s="181">
        <f t="shared" ref="AR26:AW26" si="59">AR$4*AR25</f>
        <v>0</v>
      </c>
      <c r="AS26" s="179">
        <f t="shared" si="59"/>
        <v>0</v>
      </c>
      <c r="AT26" s="179">
        <f t="shared" si="59"/>
        <v>0</v>
      </c>
      <c r="AU26" s="179">
        <f t="shared" si="59"/>
        <v>0</v>
      </c>
      <c r="AV26" s="179">
        <f t="shared" si="59"/>
        <v>0</v>
      </c>
      <c r="AW26" s="179">
        <f t="shared" si="59"/>
        <v>0</v>
      </c>
      <c r="AX26" s="179">
        <f>IFERROR(ROUND(SUM(AR26:AW26)/AX25,3),0)</f>
        <v>0</v>
      </c>
      <c r="AY26" s="803"/>
      <c r="BA26" s="796"/>
      <c r="BB26" s="155"/>
      <c r="BC26" s="183"/>
    </row>
    <row r="27" spans="2:55" ht="18.75" customHeight="1">
      <c r="B27" s="800" t="s">
        <v>15</v>
      </c>
      <c r="C27" s="173" t="s">
        <v>175</v>
      </c>
      <c r="D27" s="208"/>
      <c r="E27" s="208"/>
      <c r="F27" s="208"/>
      <c r="G27" s="208"/>
      <c r="H27" s="208"/>
      <c r="I27" s="208"/>
      <c r="J27" s="174">
        <f>SUM(D27:I27)</f>
        <v>0</v>
      </c>
      <c r="K27" s="802">
        <f>ROUND(J28/3*J27,2)</f>
        <v>0</v>
      </c>
      <c r="L27" s="208"/>
      <c r="M27" s="208"/>
      <c r="N27" s="208"/>
      <c r="O27" s="208"/>
      <c r="P27" s="208"/>
      <c r="Q27" s="208"/>
      <c r="R27" s="174">
        <f>SUM(L27:Q27)</f>
        <v>0</v>
      </c>
      <c r="S27" s="802">
        <f>ROUND(R28/5*R27,2)</f>
        <v>0</v>
      </c>
      <c r="T27" s="208"/>
      <c r="U27" s="208"/>
      <c r="V27" s="208"/>
      <c r="W27" s="208"/>
      <c r="X27" s="208"/>
      <c r="Y27" s="208"/>
      <c r="Z27" s="174">
        <f>SUM(T27:Y27)</f>
        <v>0</v>
      </c>
      <c r="AA27" s="802">
        <f>ROUND(Z28/6*Z27,2)</f>
        <v>0</v>
      </c>
      <c r="AB27" s="208"/>
      <c r="AC27" s="208"/>
      <c r="AD27" s="208"/>
      <c r="AE27" s="208"/>
      <c r="AF27" s="208"/>
      <c r="AG27" s="208"/>
      <c r="AH27" s="174">
        <f>SUM(AB27:AG27)</f>
        <v>0</v>
      </c>
      <c r="AI27" s="802">
        <f>ROUND(AH28/15*AH27,2)</f>
        <v>0</v>
      </c>
      <c r="AJ27" s="208"/>
      <c r="AK27" s="208"/>
      <c r="AL27" s="208"/>
      <c r="AM27" s="208"/>
      <c r="AN27" s="208"/>
      <c r="AO27" s="208"/>
      <c r="AP27" s="174">
        <f>SUM(AJ27:AO27)</f>
        <v>0</v>
      </c>
      <c r="AQ27" s="802">
        <f>ROUND(AP28/20*AP27,2)</f>
        <v>0</v>
      </c>
      <c r="AR27" s="208"/>
      <c r="AS27" s="208"/>
      <c r="AT27" s="208"/>
      <c r="AU27" s="208"/>
      <c r="AV27" s="208"/>
      <c r="AW27" s="208"/>
      <c r="AX27" s="176">
        <f>SUM(AR27:AW27)</f>
        <v>0</v>
      </c>
      <c r="AY27" s="802">
        <f>ROUND(AX28/25*AX27,2)</f>
        <v>0</v>
      </c>
      <c r="BA27" s="796">
        <f>ROUND(AY27+AQ27+AI27+AA27+S27+K27,1)</f>
        <v>0</v>
      </c>
      <c r="BB27" s="155" t="str">
        <f>IF(J27+R27=0,"×","○")</f>
        <v>×</v>
      </c>
      <c r="BC27" s="177">
        <f>SUM(J27,R27,Z27,AH27,AP27,AX27)</f>
        <v>0</v>
      </c>
    </row>
    <row r="28" spans="2:55" ht="18.75" customHeight="1">
      <c r="B28" s="805"/>
      <c r="C28" s="184" t="s">
        <v>176</v>
      </c>
      <c r="D28" s="179">
        <f t="shared" ref="D28:I28" si="60">D$4*D27</f>
        <v>0</v>
      </c>
      <c r="E28" s="179">
        <f t="shared" si="60"/>
        <v>0</v>
      </c>
      <c r="F28" s="179">
        <f t="shared" si="60"/>
        <v>0</v>
      </c>
      <c r="G28" s="179">
        <f t="shared" si="60"/>
        <v>0</v>
      </c>
      <c r="H28" s="179">
        <f t="shared" si="60"/>
        <v>0</v>
      </c>
      <c r="I28" s="179">
        <f t="shared" si="60"/>
        <v>0</v>
      </c>
      <c r="J28" s="180">
        <f>IFERROR(ROUND(SUM(D28:I28)/J27,3),0)</f>
        <v>0</v>
      </c>
      <c r="K28" s="803"/>
      <c r="L28" s="181">
        <f t="shared" ref="L28:Q28" si="61">L$4*L27</f>
        <v>0</v>
      </c>
      <c r="M28" s="179">
        <f t="shared" si="61"/>
        <v>0</v>
      </c>
      <c r="N28" s="179">
        <f t="shared" si="61"/>
        <v>0</v>
      </c>
      <c r="O28" s="179">
        <f t="shared" si="61"/>
        <v>0</v>
      </c>
      <c r="P28" s="179">
        <f t="shared" si="61"/>
        <v>0</v>
      </c>
      <c r="Q28" s="179">
        <f t="shared" si="61"/>
        <v>0</v>
      </c>
      <c r="R28" s="180">
        <f>IFERROR(ROUND(SUM(L28:Q28)/R27,3),0)</f>
        <v>0</v>
      </c>
      <c r="S28" s="803"/>
      <c r="T28" s="182">
        <f t="shared" ref="T28:Y28" si="62">T$4*T27</f>
        <v>0</v>
      </c>
      <c r="U28" s="179">
        <f t="shared" si="62"/>
        <v>0</v>
      </c>
      <c r="V28" s="179">
        <f t="shared" si="62"/>
        <v>0</v>
      </c>
      <c r="W28" s="179">
        <f t="shared" si="62"/>
        <v>0</v>
      </c>
      <c r="X28" s="179">
        <f t="shared" si="62"/>
        <v>0</v>
      </c>
      <c r="Y28" s="179">
        <f t="shared" si="62"/>
        <v>0</v>
      </c>
      <c r="Z28" s="180">
        <f>IFERROR(ROUND(SUM(T28:Y28)/Z27,3),0)</f>
        <v>0</v>
      </c>
      <c r="AA28" s="803"/>
      <c r="AB28" s="181">
        <f t="shared" ref="AB28:AG28" si="63">AB$4*AB27</f>
        <v>0</v>
      </c>
      <c r="AC28" s="179">
        <f t="shared" si="63"/>
        <v>0</v>
      </c>
      <c r="AD28" s="179">
        <f t="shared" si="63"/>
        <v>0</v>
      </c>
      <c r="AE28" s="179">
        <f t="shared" si="63"/>
        <v>0</v>
      </c>
      <c r="AF28" s="179">
        <f t="shared" si="63"/>
        <v>0</v>
      </c>
      <c r="AG28" s="179">
        <f t="shared" si="63"/>
        <v>0</v>
      </c>
      <c r="AH28" s="180">
        <f>IFERROR(ROUND(SUM(AB28:AG28)/AH27,3),0)</f>
        <v>0</v>
      </c>
      <c r="AI28" s="803"/>
      <c r="AJ28" s="182">
        <f t="shared" ref="AJ28:AO28" si="64">AJ$4*AJ27</f>
        <v>0</v>
      </c>
      <c r="AK28" s="179">
        <f t="shared" si="64"/>
        <v>0</v>
      </c>
      <c r="AL28" s="179">
        <f t="shared" si="64"/>
        <v>0</v>
      </c>
      <c r="AM28" s="179">
        <f t="shared" si="64"/>
        <v>0</v>
      </c>
      <c r="AN28" s="179">
        <f t="shared" si="64"/>
        <v>0</v>
      </c>
      <c r="AO28" s="179">
        <f t="shared" si="64"/>
        <v>0</v>
      </c>
      <c r="AP28" s="180">
        <f>IFERROR(ROUND(SUM(AJ28:AO28)/AP27,3),0)</f>
        <v>0</v>
      </c>
      <c r="AQ28" s="803"/>
      <c r="AR28" s="181">
        <f t="shared" ref="AR28:AW28" si="65">AR$4*AR27</f>
        <v>0</v>
      </c>
      <c r="AS28" s="179">
        <f t="shared" si="65"/>
        <v>0</v>
      </c>
      <c r="AT28" s="179">
        <f t="shared" si="65"/>
        <v>0</v>
      </c>
      <c r="AU28" s="179">
        <f t="shared" si="65"/>
        <v>0</v>
      </c>
      <c r="AV28" s="179">
        <f t="shared" si="65"/>
        <v>0</v>
      </c>
      <c r="AW28" s="179">
        <f t="shared" si="65"/>
        <v>0</v>
      </c>
      <c r="AX28" s="179">
        <f>IFERROR(ROUND(SUM(AR28:AW28)/AX27,3),0)</f>
        <v>0</v>
      </c>
      <c r="AY28" s="803"/>
      <c r="BA28" s="796"/>
      <c r="BB28" s="155"/>
      <c r="BC28" s="183"/>
    </row>
    <row r="29" spans="2:55" ht="18.75" customHeight="1">
      <c r="B29" s="800" t="s">
        <v>186</v>
      </c>
      <c r="C29" s="211" t="s">
        <v>175</v>
      </c>
      <c r="D29" s="208"/>
      <c r="E29" s="208"/>
      <c r="F29" s="208"/>
      <c r="G29" s="208"/>
      <c r="H29" s="208"/>
      <c r="I29" s="208"/>
      <c r="J29" s="175">
        <f>SUM(D29:I29)</f>
        <v>0</v>
      </c>
      <c r="K29" s="802">
        <f>ROUND(J30/3*J29,2)</f>
        <v>0</v>
      </c>
      <c r="L29" s="208"/>
      <c r="M29" s="208"/>
      <c r="N29" s="208"/>
      <c r="O29" s="208"/>
      <c r="P29" s="208"/>
      <c r="Q29" s="208"/>
      <c r="R29" s="175">
        <f>SUM(L29:Q29)</f>
        <v>0</v>
      </c>
      <c r="S29" s="802">
        <f>ROUND(R30/5*R29,2)</f>
        <v>0</v>
      </c>
      <c r="T29" s="208"/>
      <c r="U29" s="208"/>
      <c r="V29" s="208"/>
      <c r="W29" s="208"/>
      <c r="X29" s="208"/>
      <c r="Y29" s="208"/>
      <c r="Z29" s="175">
        <f>SUM(T29:Y29)</f>
        <v>0</v>
      </c>
      <c r="AA29" s="802">
        <f>ROUND(Z30/6*Z29,2)</f>
        <v>0</v>
      </c>
      <c r="AB29" s="208"/>
      <c r="AC29" s="208"/>
      <c r="AD29" s="208"/>
      <c r="AE29" s="208"/>
      <c r="AF29" s="208"/>
      <c r="AG29" s="208"/>
      <c r="AH29" s="175">
        <f>SUM(AB29:AG29)</f>
        <v>0</v>
      </c>
      <c r="AI29" s="802">
        <f>ROUND(AH30/15*AH29,2)</f>
        <v>0</v>
      </c>
      <c r="AJ29" s="208"/>
      <c r="AK29" s="208"/>
      <c r="AL29" s="208"/>
      <c r="AM29" s="208"/>
      <c r="AN29" s="208"/>
      <c r="AO29" s="208"/>
      <c r="AP29" s="175">
        <f>SUM(AJ29:AO29)</f>
        <v>0</v>
      </c>
      <c r="AQ29" s="802">
        <f>ROUND(AP30/20*AP29,2)</f>
        <v>0</v>
      </c>
      <c r="AR29" s="208"/>
      <c r="AS29" s="208"/>
      <c r="AT29" s="208"/>
      <c r="AU29" s="208"/>
      <c r="AV29" s="208"/>
      <c r="AW29" s="208"/>
      <c r="AX29" s="195">
        <f>SUM(AR29:AW29)</f>
        <v>0</v>
      </c>
      <c r="AY29" s="802">
        <f>ROUND(AX30/25*AX29,2)</f>
        <v>0</v>
      </c>
      <c r="BA29" s="796">
        <f>ROUND(AY29+AQ29+AI29+AA29+S29+K29,1)</f>
        <v>0</v>
      </c>
      <c r="BB29" s="155" t="str">
        <f>IF(J29+R29=0,"×","○")</f>
        <v>×</v>
      </c>
      <c r="BC29" s="177">
        <f>SUM(J29,R29,Z29,AH29,AP29,AX29)</f>
        <v>0</v>
      </c>
    </row>
    <row r="30" spans="2:55" ht="18.75" customHeight="1" thickBot="1">
      <c r="B30" s="801"/>
      <c r="C30" s="185" t="s">
        <v>176</v>
      </c>
      <c r="D30" s="186">
        <f t="shared" ref="D30:I30" si="66">D$4*D29</f>
        <v>0</v>
      </c>
      <c r="E30" s="186">
        <f t="shared" si="66"/>
        <v>0</v>
      </c>
      <c r="F30" s="186">
        <f t="shared" si="66"/>
        <v>0</v>
      </c>
      <c r="G30" s="186">
        <f t="shared" si="66"/>
        <v>0</v>
      </c>
      <c r="H30" s="186">
        <f t="shared" si="66"/>
        <v>0</v>
      </c>
      <c r="I30" s="186">
        <f t="shared" si="66"/>
        <v>0</v>
      </c>
      <c r="J30" s="187">
        <f>IFERROR(ROUND(SUM(D30:I30)/J29,3),0)</f>
        <v>0</v>
      </c>
      <c r="K30" s="803"/>
      <c r="L30" s="188">
        <f t="shared" ref="L30:Q30" si="67">L$4*L29</f>
        <v>0</v>
      </c>
      <c r="M30" s="186">
        <f t="shared" si="67"/>
        <v>0</v>
      </c>
      <c r="N30" s="186">
        <f t="shared" si="67"/>
        <v>0</v>
      </c>
      <c r="O30" s="186">
        <f t="shared" si="67"/>
        <v>0</v>
      </c>
      <c r="P30" s="186">
        <f t="shared" si="67"/>
        <v>0</v>
      </c>
      <c r="Q30" s="186">
        <f t="shared" si="67"/>
        <v>0</v>
      </c>
      <c r="R30" s="187">
        <f>IFERROR(ROUND(SUM(L30:Q30)/R29,3),0)</f>
        <v>0</v>
      </c>
      <c r="S30" s="803"/>
      <c r="T30" s="189">
        <f t="shared" ref="T30:Y30" si="68">T$4*T29</f>
        <v>0</v>
      </c>
      <c r="U30" s="186">
        <f t="shared" si="68"/>
        <v>0</v>
      </c>
      <c r="V30" s="186">
        <f t="shared" si="68"/>
        <v>0</v>
      </c>
      <c r="W30" s="186">
        <f t="shared" si="68"/>
        <v>0</v>
      </c>
      <c r="X30" s="186">
        <f t="shared" si="68"/>
        <v>0</v>
      </c>
      <c r="Y30" s="186">
        <f t="shared" si="68"/>
        <v>0</v>
      </c>
      <c r="Z30" s="187">
        <f>IFERROR(ROUND(SUM(T30:Y30)/Z29,3),0)</f>
        <v>0</v>
      </c>
      <c r="AA30" s="803"/>
      <c r="AB30" s="188">
        <f t="shared" ref="AB30:AG30" si="69">AB$4*AB29</f>
        <v>0</v>
      </c>
      <c r="AC30" s="186">
        <f t="shared" si="69"/>
        <v>0</v>
      </c>
      <c r="AD30" s="186">
        <f t="shared" si="69"/>
        <v>0</v>
      </c>
      <c r="AE30" s="186">
        <f t="shared" si="69"/>
        <v>0</v>
      </c>
      <c r="AF30" s="186">
        <f t="shared" si="69"/>
        <v>0</v>
      </c>
      <c r="AG30" s="186">
        <f t="shared" si="69"/>
        <v>0</v>
      </c>
      <c r="AH30" s="187">
        <f>IFERROR(ROUND(SUM(AB30:AG30)/AH29,3),0)</f>
        <v>0</v>
      </c>
      <c r="AI30" s="803"/>
      <c r="AJ30" s="189">
        <f t="shared" ref="AJ30:AO30" si="70">AJ$4*AJ29</f>
        <v>0</v>
      </c>
      <c r="AK30" s="186">
        <f t="shared" si="70"/>
        <v>0</v>
      </c>
      <c r="AL30" s="186">
        <f t="shared" si="70"/>
        <v>0</v>
      </c>
      <c r="AM30" s="186">
        <f t="shared" si="70"/>
        <v>0</v>
      </c>
      <c r="AN30" s="186">
        <f t="shared" si="70"/>
        <v>0</v>
      </c>
      <c r="AO30" s="186">
        <f t="shared" si="70"/>
        <v>0</v>
      </c>
      <c r="AP30" s="187">
        <f>IFERROR(ROUND(SUM(AJ30:AO30)/AP29,3),0)</f>
        <v>0</v>
      </c>
      <c r="AQ30" s="803"/>
      <c r="AR30" s="188">
        <f t="shared" ref="AR30:AW30" si="71">AR$4*AR29</f>
        <v>0</v>
      </c>
      <c r="AS30" s="186">
        <f t="shared" si="71"/>
        <v>0</v>
      </c>
      <c r="AT30" s="186">
        <f t="shared" si="71"/>
        <v>0</v>
      </c>
      <c r="AU30" s="186">
        <f t="shared" si="71"/>
        <v>0</v>
      </c>
      <c r="AV30" s="186">
        <f t="shared" si="71"/>
        <v>0</v>
      </c>
      <c r="AW30" s="186">
        <f t="shared" si="71"/>
        <v>0</v>
      </c>
      <c r="AX30" s="196">
        <f>IFERROR(ROUND(SUM(AR30:AW30)/AX29,3),0)</f>
        <v>0</v>
      </c>
      <c r="AY30" s="803"/>
      <c r="BA30" s="796"/>
    </row>
    <row r="31" spans="2:55" ht="20.25" customHeight="1">
      <c r="B31" s="797" t="s">
        <v>187</v>
      </c>
      <c r="C31" s="211" t="s">
        <v>175</v>
      </c>
      <c r="D31" s="244">
        <f>ROUND(SUM(D7,D9,D11,D13,D15,D17,D19,D21,D23,D25,D27,D29)/12,0)</f>
        <v>0</v>
      </c>
      <c r="E31" s="245">
        <f>ROUND(SUM(E7,E9,E11,E13,E15,E17,E19,E21,E23,E25,E27,E29)/12,0)</f>
        <v>0</v>
      </c>
      <c r="F31" s="245">
        <f t="shared" ref="F31:H31" si="72">ROUND(SUM(F7,F9,F11,F13,F15,F17,F19,F21,F23,F25,F27,F29)/12,0)</f>
        <v>0</v>
      </c>
      <c r="G31" s="245">
        <f t="shared" si="72"/>
        <v>0</v>
      </c>
      <c r="H31" s="245">
        <f t="shared" si="72"/>
        <v>0</v>
      </c>
      <c r="I31" s="245">
        <f>ROUND(SUM(I7,I9,I11,I13,I15,I17,I19,I21,I23,I25,I27,I29)/12,0)</f>
        <v>0</v>
      </c>
      <c r="J31" s="245">
        <f>SUM(D31:I31)</f>
        <v>0</v>
      </c>
      <c r="K31" s="802">
        <f>ROUND(J32/3*J31,2)</f>
        <v>0</v>
      </c>
      <c r="L31" s="244">
        <f t="shared" ref="L31:Q31" si="73">ROUND(SUM(L7,L9,L11,L13,L15,L17,L19,L21,L23,L25,L27,L29)/12,0)</f>
        <v>0</v>
      </c>
      <c r="M31" s="245">
        <f t="shared" si="73"/>
        <v>0</v>
      </c>
      <c r="N31" s="245">
        <f t="shared" si="73"/>
        <v>0</v>
      </c>
      <c r="O31" s="245">
        <f t="shared" si="73"/>
        <v>0</v>
      </c>
      <c r="P31" s="245">
        <f t="shared" si="73"/>
        <v>0</v>
      </c>
      <c r="Q31" s="245">
        <f t="shared" si="73"/>
        <v>0</v>
      </c>
      <c r="R31" s="245">
        <f>SUM(L31:Q31)</f>
        <v>0</v>
      </c>
      <c r="S31" s="802">
        <f>ROUND(R32/5*R31,2)</f>
        <v>0</v>
      </c>
      <c r="T31" s="244">
        <f>ROUND(SUM(T7,T9,T11,T13,T15,T17,T19,T21,T23,T25,T27,T29)/12,0)</f>
        <v>0</v>
      </c>
      <c r="U31" s="245">
        <f>ROUND(SUM(U7,U9,U11,U13,U15,U17,U19,U21,U23,U25,U27,U29)/12,0)</f>
        <v>0</v>
      </c>
      <c r="V31" s="245">
        <f t="shared" ref="V31:Y31" si="74">ROUND(SUM(V7,V9,V11,V13,V15,V17,V19,V21,V23,V25,V27,V29)/12,0)</f>
        <v>0</v>
      </c>
      <c r="W31" s="245">
        <f t="shared" si="74"/>
        <v>0</v>
      </c>
      <c r="X31" s="245">
        <f t="shared" si="74"/>
        <v>0</v>
      </c>
      <c r="Y31" s="245">
        <f t="shared" si="74"/>
        <v>0</v>
      </c>
      <c r="Z31" s="245">
        <f>SUM(T31:Y31)</f>
        <v>0</v>
      </c>
      <c r="AA31" s="802">
        <f>ROUND(Z32/6*Z31,2)</f>
        <v>0</v>
      </c>
      <c r="AB31" s="244">
        <f>ROUND(SUM(AB7,AB9,AB11,AB13,AB15,AB17,AB19,AB21,AB23,AB25,AB27,AB29)/12,0)</f>
        <v>0</v>
      </c>
      <c r="AC31" s="245">
        <f>ROUND(SUM(AC7,AC9,AC11,AC13,AC15,AC17,AC19,AC21,AC23,AC25,AC27,AC29)/12,0)</f>
        <v>0</v>
      </c>
      <c r="AD31" s="245">
        <f t="shared" ref="AD31:AG31" si="75">ROUND(SUM(AD7,AD9,AD11,AD13,AD15,AD17,AD19,AD21,AD23,AD25,AD27,AD29)/12,0)</f>
        <v>0</v>
      </c>
      <c r="AE31" s="245">
        <f t="shared" si="75"/>
        <v>0</v>
      </c>
      <c r="AF31" s="245">
        <f t="shared" si="75"/>
        <v>0</v>
      </c>
      <c r="AG31" s="245">
        <f t="shared" si="75"/>
        <v>0</v>
      </c>
      <c r="AH31" s="245">
        <f>SUM(AB31:AG31)</f>
        <v>0</v>
      </c>
      <c r="AI31" s="802">
        <f>ROUND(AH32/15*AH31,2)</f>
        <v>0</v>
      </c>
      <c r="AJ31" s="244">
        <f>ROUND(SUM(AJ7,AJ9,AJ11,AJ13,AJ15,AJ17,AJ19,AJ21,AJ23,AJ25,AJ27,AJ29)/12,0)</f>
        <v>0</v>
      </c>
      <c r="AK31" s="245">
        <f>ROUND(SUM(AK7,AK9,AK11,AK13,AK15,AK17,AK19,AK21,AK23,AK25,AK27,AK29)/12,0)</f>
        <v>0</v>
      </c>
      <c r="AL31" s="245">
        <f>ROUND(SUM(AL7,AL9,AL11,AL13,AL15,AL17,AL19,AL21,AL23,AL25,AL27,AL29)/12,0)</f>
        <v>0</v>
      </c>
      <c r="AM31" s="245">
        <f t="shared" ref="AM31:AO31" si="76">ROUND(SUM(AM7,AM9,AM11,AM13,AM15,AM17,AM19,AM21,AM23,AM25,AM27,AM29)/12,0)</f>
        <v>0</v>
      </c>
      <c r="AN31" s="245">
        <f t="shared" si="76"/>
        <v>0</v>
      </c>
      <c r="AO31" s="245">
        <f t="shared" si="76"/>
        <v>0</v>
      </c>
      <c r="AP31" s="245">
        <f>SUM(AJ31:AO31)</f>
        <v>0</v>
      </c>
      <c r="AQ31" s="802">
        <f>ROUND(AP32/20*AP31,2)</f>
        <v>0</v>
      </c>
      <c r="AR31" s="244">
        <f>ROUND(SUM(AR7,AR9,AR11,AR13,AR15,AR17,AR19,AR21,AR23,AR25,AR27,AR29)/12,0)</f>
        <v>0</v>
      </c>
      <c r="AS31" s="245">
        <f>ROUND(SUM(AS7,AS9,AS11,AS13,AS15,AS17,AS19,AS21,AS23,AS25,AS27,AS29)/12,0)</f>
        <v>0</v>
      </c>
      <c r="AT31" s="245">
        <f t="shared" ref="AT31:AW31" si="77">ROUND(SUM(AT7,AT9,AT11,AT13,AT15,AT17,AT19,AT21,AT23,AT25,AT27,AT29)/12,0)</f>
        <v>0</v>
      </c>
      <c r="AU31" s="245">
        <f t="shared" si="77"/>
        <v>0</v>
      </c>
      <c r="AV31" s="245">
        <f t="shared" si="77"/>
        <v>0</v>
      </c>
      <c r="AW31" s="245">
        <f t="shared" si="77"/>
        <v>0</v>
      </c>
      <c r="AX31" s="245">
        <f>SUM(AR31:AW31)</f>
        <v>0</v>
      </c>
      <c r="AY31" s="802">
        <f>ROUND(AX32/25*AX31,2)</f>
        <v>0</v>
      </c>
      <c r="BA31" s="796">
        <f>ROUND(AY31+AQ31+AI31+AA31+S31+K31,1)</f>
        <v>0</v>
      </c>
      <c r="BB31" s="218" t="str">
        <f>IF(J31+R31=0,"×","○")</f>
        <v>×</v>
      </c>
      <c r="BC31" s="177">
        <f>SUM(J31,R31,Z31,AH31,AP31,AX31)</f>
        <v>0</v>
      </c>
    </row>
    <row r="32" spans="2:55" ht="20.25" customHeight="1" thickBot="1">
      <c r="B32" s="798"/>
      <c r="C32" s="191" t="s">
        <v>176</v>
      </c>
      <c r="D32" s="193">
        <f>D$4*D31</f>
        <v>0</v>
      </c>
      <c r="E32" s="190">
        <f t="shared" ref="E32:H32" si="78">E$4*E31</f>
        <v>0</v>
      </c>
      <c r="F32" s="190">
        <f t="shared" si="78"/>
        <v>0</v>
      </c>
      <c r="G32" s="190">
        <f t="shared" si="78"/>
        <v>0</v>
      </c>
      <c r="H32" s="190">
        <f t="shared" si="78"/>
        <v>0</v>
      </c>
      <c r="I32" s="190">
        <f>I$4*I31</f>
        <v>0</v>
      </c>
      <c r="J32" s="192">
        <f>IFERROR(ROUND(SUM(D32:I32)/J31,3),0)</f>
        <v>0</v>
      </c>
      <c r="K32" s="804"/>
      <c r="L32" s="193">
        <f>L$4*L31</f>
        <v>0</v>
      </c>
      <c r="M32" s="190">
        <f>M$4*M31</f>
        <v>0</v>
      </c>
      <c r="N32" s="190">
        <f t="shared" ref="N32:Q32" si="79">N$4*N31</f>
        <v>0</v>
      </c>
      <c r="O32" s="190">
        <f t="shared" si="79"/>
        <v>0</v>
      </c>
      <c r="P32" s="190">
        <f t="shared" si="79"/>
        <v>0</v>
      </c>
      <c r="Q32" s="190">
        <f t="shared" si="79"/>
        <v>0</v>
      </c>
      <c r="R32" s="192">
        <f>IFERROR(ROUND(SUM(L32:Q32)/R31,3),0)</f>
        <v>0</v>
      </c>
      <c r="S32" s="804"/>
      <c r="T32" s="193">
        <f>T$4*T31</f>
        <v>0</v>
      </c>
      <c r="U32" s="190">
        <f>U$4*U31</f>
        <v>0</v>
      </c>
      <c r="V32" s="190">
        <f t="shared" ref="V32:Y32" si="80">V$4*V31</f>
        <v>0</v>
      </c>
      <c r="W32" s="190">
        <f t="shared" si="80"/>
        <v>0</v>
      </c>
      <c r="X32" s="190">
        <f t="shared" si="80"/>
        <v>0</v>
      </c>
      <c r="Y32" s="190">
        <f t="shared" si="80"/>
        <v>0</v>
      </c>
      <c r="Z32" s="192">
        <f>IFERROR(ROUND(SUM(T32:Y32)/Z31,3),0)</f>
        <v>0</v>
      </c>
      <c r="AA32" s="804"/>
      <c r="AB32" s="193">
        <f>AB$4*AB31</f>
        <v>0</v>
      </c>
      <c r="AC32" s="190">
        <f>AC$4*AC31</f>
        <v>0</v>
      </c>
      <c r="AD32" s="190">
        <f t="shared" ref="AD32:AG32" si="81">AD$4*AD31</f>
        <v>0</v>
      </c>
      <c r="AE32" s="190">
        <f t="shared" si="81"/>
        <v>0</v>
      </c>
      <c r="AF32" s="190">
        <f t="shared" si="81"/>
        <v>0</v>
      </c>
      <c r="AG32" s="190">
        <f t="shared" si="81"/>
        <v>0</v>
      </c>
      <c r="AH32" s="192">
        <f>IFERROR(ROUND(SUM(AB32:AG32)/AH31,3),0)</f>
        <v>0</v>
      </c>
      <c r="AI32" s="804"/>
      <c r="AJ32" s="193">
        <f>AJ$4*AJ31</f>
        <v>0</v>
      </c>
      <c r="AK32" s="190">
        <f>AK$4*AK31</f>
        <v>0</v>
      </c>
      <c r="AL32" s="190">
        <f t="shared" ref="AL32:AO32" si="82">AL$4*AL31</f>
        <v>0</v>
      </c>
      <c r="AM32" s="190">
        <f t="shared" si="82"/>
        <v>0</v>
      </c>
      <c r="AN32" s="190">
        <f t="shared" si="82"/>
        <v>0</v>
      </c>
      <c r="AO32" s="190">
        <f t="shared" si="82"/>
        <v>0</v>
      </c>
      <c r="AP32" s="192">
        <f>IFERROR(ROUND(SUM(AJ32:AO32)/AP31,3),0)</f>
        <v>0</v>
      </c>
      <c r="AQ32" s="804"/>
      <c r="AR32" s="193">
        <f>AR$4*AR31</f>
        <v>0</v>
      </c>
      <c r="AS32" s="190">
        <f>AS$4*AS31</f>
        <v>0</v>
      </c>
      <c r="AT32" s="190">
        <f t="shared" ref="AT32:AW32" si="83">AT$4*AT31</f>
        <v>0</v>
      </c>
      <c r="AU32" s="190">
        <f t="shared" si="83"/>
        <v>0</v>
      </c>
      <c r="AV32" s="190">
        <f t="shared" si="83"/>
        <v>0</v>
      </c>
      <c r="AW32" s="190">
        <f t="shared" si="83"/>
        <v>0</v>
      </c>
      <c r="AX32" s="192">
        <f>IFERROR(ROUND(SUM(AR32:AW32)/AX31,3),0)</f>
        <v>0</v>
      </c>
      <c r="AY32" s="804"/>
      <c r="BA32" s="796"/>
    </row>
    <row r="33" spans="2:3" ht="20.25" customHeight="1">
      <c r="B33" s="799"/>
      <c r="C33" s="799"/>
    </row>
  </sheetData>
  <sheetProtection algorithmName="SHA-512" hashValue="9pYzLVc9l1XBV3M8O99xAJQjEXDUpItnwzAV/dSdOlXEQ573spuNocmE+gkNtP0vCKYePdq/rmpqb5td1XQ7Aw==" saltValue="nxlS8ehACPDSRPJWaMCQKQ==" spinCount="100000" sheet="1" objects="1" scenarios="1"/>
  <mergeCells count="116">
    <mergeCell ref="A1:D2"/>
    <mergeCell ref="B5:C6"/>
    <mergeCell ref="D5:K5"/>
    <mergeCell ref="L5:S5"/>
    <mergeCell ref="T5:Z5"/>
    <mergeCell ref="AB5:AI5"/>
    <mergeCell ref="F1:X2"/>
    <mergeCell ref="AJ5:AQ5"/>
    <mergeCell ref="AR5:AY5"/>
    <mergeCell ref="BB5:BB6"/>
    <mergeCell ref="BC5:BC6"/>
    <mergeCell ref="B7:B8"/>
    <mergeCell ref="K7:K8"/>
    <mergeCell ref="S7:S8"/>
    <mergeCell ref="AA7:AA8"/>
    <mergeCell ref="AI7:AI8"/>
    <mergeCell ref="AQ7:AQ8"/>
    <mergeCell ref="AY7:AY8"/>
    <mergeCell ref="BA7:BA8"/>
    <mergeCell ref="B9:B10"/>
    <mergeCell ref="K9:K10"/>
    <mergeCell ref="S9:S10"/>
    <mergeCell ref="AA9:AA10"/>
    <mergeCell ref="AI9:AI10"/>
    <mergeCell ref="AQ9:AQ10"/>
    <mergeCell ref="AY9:AY10"/>
    <mergeCell ref="BA9:BA10"/>
    <mergeCell ref="B11:B12"/>
    <mergeCell ref="K11:K12"/>
    <mergeCell ref="S11:S12"/>
    <mergeCell ref="AA11:AA12"/>
    <mergeCell ref="AI11:AI12"/>
    <mergeCell ref="AQ11:AQ12"/>
    <mergeCell ref="AY11:AY12"/>
    <mergeCell ref="BA11:BA12"/>
    <mergeCell ref="B13:B14"/>
    <mergeCell ref="K13:K14"/>
    <mergeCell ref="S13:S14"/>
    <mergeCell ref="AA13:AA14"/>
    <mergeCell ref="AI13:AI14"/>
    <mergeCell ref="AQ13:AQ14"/>
    <mergeCell ref="AY13:AY14"/>
    <mergeCell ref="BA13:BA14"/>
    <mergeCell ref="B15:B16"/>
    <mergeCell ref="K15:K16"/>
    <mergeCell ref="S15:S16"/>
    <mergeCell ref="AA15:AA16"/>
    <mergeCell ref="AI15:AI16"/>
    <mergeCell ref="AQ15:AQ16"/>
    <mergeCell ref="AY15:AY16"/>
    <mergeCell ref="BA15:BA16"/>
    <mergeCell ref="B17:B18"/>
    <mergeCell ref="K17:K18"/>
    <mergeCell ref="S17:S18"/>
    <mergeCell ref="AA17:AA18"/>
    <mergeCell ref="AI17:AI18"/>
    <mergeCell ref="AQ17:AQ18"/>
    <mergeCell ref="AY17:AY18"/>
    <mergeCell ref="BA17:BA18"/>
    <mergeCell ref="B19:B20"/>
    <mergeCell ref="K19:K20"/>
    <mergeCell ref="S19:S20"/>
    <mergeCell ref="AA19:AA20"/>
    <mergeCell ref="AI19:AI20"/>
    <mergeCell ref="AQ19:AQ20"/>
    <mergeCell ref="AY19:AY20"/>
    <mergeCell ref="BA19:BA20"/>
    <mergeCell ref="B21:B22"/>
    <mergeCell ref="K21:K22"/>
    <mergeCell ref="S21:S22"/>
    <mergeCell ref="AA21:AA22"/>
    <mergeCell ref="AI21:AI22"/>
    <mergeCell ref="AQ21:AQ22"/>
    <mergeCell ref="AY21:AY22"/>
    <mergeCell ref="BA21:BA22"/>
    <mergeCell ref="B23:B24"/>
    <mergeCell ref="K23:K24"/>
    <mergeCell ref="S23:S24"/>
    <mergeCell ref="AA23:AA24"/>
    <mergeCell ref="AI23:AI24"/>
    <mergeCell ref="AQ23:AQ24"/>
    <mergeCell ref="AY23:AY24"/>
    <mergeCell ref="BA23:BA24"/>
    <mergeCell ref="B25:B26"/>
    <mergeCell ref="K25:K26"/>
    <mergeCell ref="S25:S26"/>
    <mergeCell ref="AA25:AA26"/>
    <mergeCell ref="AI25:AI26"/>
    <mergeCell ref="AQ25:AQ26"/>
    <mergeCell ref="AY25:AY26"/>
    <mergeCell ref="BA25:BA26"/>
    <mergeCell ref="AY29:AY30"/>
    <mergeCell ref="BA29:BA30"/>
    <mergeCell ref="B27:B28"/>
    <mergeCell ref="K27:K28"/>
    <mergeCell ref="S27:S28"/>
    <mergeCell ref="AA27:AA28"/>
    <mergeCell ref="AI27:AI28"/>
    <mergeCell ref="AQ27:AQ28"/>
    <mergeCell ref="B31:B32"/>
    <mergeCell ref="B33:C33"/>
    <mergeCell ref="AY27:AY28"/>
    <mergeCell ref="BA27:BA28"/>
    <mergeCell ref="B29:B30"/>
    <mergeCell ref="K29:K30"/>
    <mergeCell ref="S29:S30"/>
    <mergeCell ref="AA29:AA30"/>
    <mergeCell ref="AI29:AI30"/>
    <mergeCell ref="AQ29:AQ30"/>
    <mergeCell ref="AQ31:AQ32"/>
    <mergeCell ref="K31:K32"/>
    <mergeCell ref="S31:S32"/>
    <mergeCell ref="AA31:AA32"/>
    <mergeCell ref="AI31:AI32"/>
    <mergeCell ref="AY31:AY32"/>
    <mergeCell ref="BA31:BA32"/>
  </mergeCells>
  <phoneticPr fontId="2"/>
  <pageMargins left="0.7" right="0.7" top="0.75" bottom="0.75" header="0.3" footer="0.3"/>
  <pageSetup paperSize="9" scale="22"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V81"/>
  <sheetViews>
    <sheetView view="pageBreakPreview" topLeftCell="A39" zoomScale="60" zoomScaleNormal="80" zoomScalePageLayoutView="70" workbookViewId="0">
      <selection activeCell="G71" sqref="G71"/>
    </sheetView>
  </sheetViews>
  <sheetFormatPr defaultRowHeight="13.5"/>
  <cols>
    <col min="1" max="1" width="4.5" style="1" customWidth="1"/>
    <col min="2" max="2" width="17.25" style="1" customWidth="1"/>
    <col min="3" max="3" width="14.875" style="1" customWidth="1"/>
    <col min="4" max="6" width="10.625" style="1" customWidth="1"/>
    <col min="7" max="18" width="9.25" style="1" customWidth="1"/>
    <col min="19" max="19" width="4.25" style="1" customWidth="1"/>
    <col min="20" max="21" width="8.375" style="1" customWidth="1"/>
    <col min="22" max="29" width="7.25" style="1" customWidth="1"/>
    <col min="30" max="30" width="10.375" style="1" customWidth="1"/>
    <col min="31" max="31" width="17.375" style="1" customWidth="1"/>
    <col min="32" max="16384" width="9" style="1"/>
  </cols>
  <sheetData>
    <row r="1" spans="1:19" ht="18" customHeight="1" thickBot="1">
      <c r="A1" s="8"/>
      <c r="B1" s="146" t="s">
        <v>136</v>
      </c>
      <c r="C1" s="252">
        <f>様式１!C1</f>
        <v>0</v>
      </c>
      <c r="D1" s="9"/>
      <c r="E1" s="9"/>
      <c r="F1" s="9"/>
      <c r="G1" s="11"/>
      <c r="H1" s="13"/>
      <c r="I1" s="13"/>
      <c r="J1" s="13"/>
      <c r="K1" s="13"/>
      <c r="M1" s="14"/>
      <c r="N1" s="15"/>
      <c r="O1" s="14"/>
      <c r="P1" s="14"/>
    </row>
    <row r="2" spans="1:19" ht="21.95" customHeight="1" thickTop="1" thickBot="1">
      <c r="A2" s="94"/>
      <c r="B2" s="94" t="s">
        <v>122</v>
      </c>
      <c r="C2" s="827">
        <f>様式１!C2</f>
        <v>0</v>
      </c>
      <c r="D2" s="828"/>
      <c r="E2" s="828"/>
      <c r="F2" s="829"/>
      <c r="G2" s="108"/>
      <c r="H2" s="95"/>
      <c r="I2" s="95"/>
      <c r="J2" s="95"/>
      <c r="K2" s="96"/>
      <c r="L2" s="96"/>
      <c r="M2" s="96"/>
      <c r="N2" s="96"/>
      <c r="O2" s="96"/>
      <c r="P2" s="96"/>
      <c r="Q2" s="7"/>
      <c r="R2" s="7"/>
      <c r="S2" s="7"/>
    </row>
    <row r="3" spans="1:19" ht="43.5" customHeight="1" thickTop="1">
      <c r="A3" s="94"/>
      <c r="B3" s="94"/>
      <c r="C3" s="96"/>
      <c r="D3" s="96"/>
      <c r="E3" s="96"/>
      <c r="F3" s="96"/>
      <c r="G3" s="95"/>
      <c r="H3" s="95"/>
      <c r="I3" s="97"/>
      <c r="J3" s="95"/>
      <c r="K3" s="96"/>
      <c r="L3" s="96"/>
      <c r="M3" s="96"/>
      <c r="N3" s="96"/>
      <c r="O3" s="96"/>
      <c r="P3" s="96"/>
      <c r="Q3" s="7"/>
      <c r="R3" s="7"/>
      <c r="S3" s="7"/>
    </row>
    <row r="4" spans="1:19" ht="78.75" customHeight="1">
      <c r="A4" s="16"/>
      <c r="B4" s="16"/>
      <c r="C4" s="16"/>
      <c r="D4" s="16"/>
      <c r="E4" s="16"/>
      <c r="F4" s="16"/>
      <c r="G4" s="830"/>
      <c r="H4" s="830"/>
      <c r="I4" s="80"/>
      <c r="J4" s="830"/>
      <c r="K4" s="830"/>
      <c r="L4" s="80"/>
      <c r="M4" s="7"/>
      <c r="N4" s="7"/>
      <c r="O4" s="7"/>
      <c r="P4" s="7"/>
      <c r="Q4" s="7"/>
      <c r="R4" s="7"/>
      <c r="S4" s="7"/>
    </row>
    <row r="5" spans="1:19" ht="24.75" customHeight="1" thickBot="1">
      <c r="A5" s="327" t="s">
        <v>270</v>
      </c>
      <c r="B5" s="18"/>
      <c r="C5" s="19"/>
      <c r="D5" s="19"/>
      <c r="E5" s="19"/>
      <c r="F5" s="19"/>
      <c r="S5" s="80"/>
    </row>
    <row r="6" spans="1:19" ht="28.5" customHeight="1">
      <c r="A6" s="831" t="s">
        <v>13</v>
      </c>
      <c r="B6" s="833" t="s">
        <v>116</v>
      </c>
      <c r="C6" s="834"/>
      <c r="D6" s="837" t="s">
        <v>117</v>
      </c>
      <c r="E6" s="838"/>
      <c r="F6" s="838"/>
      <c r="G6" s="839" t="s">
        <v>118</v>
      </c>
      <c r="H6" s="840"/>
      <c r="I6" s="840"/>
      <c r="J6" s="840"/>
      <c r="K6" s="840"/>
      <c r="L6" s="840"/>
      <c r="M6" s="840"/>
      <c r="N6" s="840"/>
      <c r="O6" s="840"/>
      <c r="P6" s="840"/>
      <c r="Q6" s="840"/>
      <c r="R6" s="841"/>
      <c r="S6" s="7"/>
    </row>
    <row r="7" spans="1:19" ht="56.25">
      <c r="A7" s="832"/>
      <c r="B7" s="835"/>
      <c r="C7" s="836"/>
      <c r="D7" s="220" t="s">
        <v>271</v>
      </c>
      <c r="E7" s="221" t="s">
        <v>121</v>
      </c>
      <c r="F7" s="111" t="s">
        <v>119</v>
      </c>
      <c r="G7" s="93">
        <v>4</v>
      </c>
      <c r="H7" s="91">
        <v>5</v>
      </c>
      <c r="I7" s="91">
        <v>6</v>
      </c>
      <c r="J7" s="91">
        <v>7</v>
      </c>
      <c r="K7" s="91">
        <v>8</v>
      </c>
      <c r="L7" s="91">
        <v>9</v>
      </c>
      <c r="M7" s="91">
        <v>10</v>
      </c>
      <c r="N7" s="91">
        <v>11</v>
      </c>
      <c r="O7" s="91">
        <v>12</v>
      </c>
      <c r="P7" s="91">
        <v>1</v>
      </c>
      <c r="Q7" s="91">
        <v>2</v>
      </c>
      <c r="R7" s="92">
        <v>3</v>
      </c>
      <c r="S7" s="7"/>
    </row>
    <row r="8" spans="1:19" ht="22.5" customHeight="1">
      <c r="A8" s="21">
        <v>1</v>
      </c>
      <c r="B8" s="825"/>
      <c r="C8" s="826"/>
      <c r="D8" s="99"/>
      <c r="E8" s="100"/>
      <c r="F8" s="112"/>
      <c r="G8" s="101"/>
      <c r="H8" s="102"/>
      <c r="I8" s="103"/>
      <c r="J8" s="102"/>
      <c r="K8" s="103"/>
      <c r="L8" s="102"/>
      <c r="M8" s="103"/>
      <c r="N8" s="102"/>
      <c r="O8" s="103"/>
      <c r="P8" s="102"/>
      <c r="Q8" s="103"/>
      <c r="R8" s="104"/>
      <c r="S8" s="7"/>
    </row>
    <row r="9" spans="1:19" ht="22.5" customHeight="1">
      <c r="A9" s="21">
        <v>2</v>
      </c>
      <c r="B9" s="825"/>
      <c r="C9" s="826"/>
      <c r="D9" s="99"/>
      <c r="E9" s="100"/>
      <c r="F9" s="112"/>
      <c r="G9" s="101"/>
      <c r="H9" s="102"/>
      <c r="I9" s="103"/>
      <c r="J9" s="102"/>
      <c r="K9" s="103"/>
      <c r="L9" s="102"/>
      <c r="M9" s="103"/>
      <c r="N9" s="102"/>
      <c r="O9" s="103"/>
      <c r="P9" s="102"/>
      <c r="Q9" s="103"/>
      <c r="R9" s="104"/>
      <c r="S9" s="7"/>
    </row>
    <row r="10" spans="1:19" ht="22.5" customHeight="1">
      <c r="A10" s="21">
        <v>3</v>
      </c>
      <c r="B10" s="825"/>
      <c r="C10" s="826"/>
      <c r="D10" s="99"/>
      <c r="E10" s="100"/>
      <c r="F10" s="112"/>
      <c r="G10" s="101"/>
      <c r="H10" s="102"/>
      <c r="I10" s="103"/>
      <c r="J10" s="102"/>
      <c r="K10" s="103"/>
      <c r="L10" s="102"/>
      <c r="M10" s="103"/>
      <c r="N10" s="102"/>
      <c r="O10" s="103"/>
      <c r="P10" s="102"/>
      <c r="Q10" s="103"/>
      <c r="R10" s="104"/>
      <c r="S10" s="7"/>
    </row>
    <row r="11" spans="1:19" ht="22.5" customHeight="1">
      <c r="A11" s="21">
        <v>4</v>
      </c>
      <c r="B11" s="825"/>
      <c r="C11" s="826"/>
      <c r="D11" s="99"/>
      <c r="E11" s="100"/>
      <c r="F11" s="112"/>
      <c r="G11" s="101"/>
      <c r="H11" s="102"/>
      <c r="I11" s="103"/>
      <c r="J11" s="102"/>
      <c r="K11" s="103"/>
      <c r="L11" s="102"/>
      <c r="M11" s="103"/>
      <c r="N11" s="102"/>
      <c r="O11" s="103"/>
      <c r="P11" s="102"/>
      <c r="Q11" s="103"/>
      <c r="R11" s="104"/>
      <c r="S11" s="7"/>
    </row>
    <row r="12" spans="1:19" ht="22.5" customHeight="1">
      <c r="A12" s="21">
        <v>5</v>
      </c>
      <c r="B12" s="825"/>
      <c r="C12" s="826"/>
      <c r="D12" s="99"/>
      <c r="E12" s="100"/>
      <c r="F12" s="112"/>
      <c r="G12" s="101"/>
      <c r="H12" s="102"/>
      <c r="I12" s="103"/>
      <c r="J12" s="102"/>
      <c r="K12" s="103"/>
      <c r="L12" s="102"/>
      <c r="M12" s="103"/>
      <c r="N12" s="102"/>
      <c r="O12" s="103"/>
      <c r="P12" s="102"/>
      <c r="Q12" s="103"/>
      <c r="R12" s="104"/>
      <c r="S12" s="7"/>
    </row>
    <row r="13" spans="1:19" ht="22.5" customHeight="1">
      <c r="A13" s="21">
        <v>6</v>
      </c>
      <c r="B13" s="825"/>
      <c r="C13" s="826"/>
      <c r="D13" s="99"/>
      <c r="E13" s="100"/>
      <c r="F13" s="112"/>
      <c r="G13" s="101"/>
      <c r="H13" s="102"/>
      <c r="I13" s="103"/>
      <c r="J13" s="102"/>
      <c r="K13" s="103"/>
      <c r="L13" s="102"/>
      <c r="M13" s="103"/>
      <c r="N13" s="102"/>
      <c r="O13" s="103"/>
      <c r="P13" s="102"/>
      <c r="Q13" s="103"/>
      <c r="R13" s="104"/>
      <c r="S13" s="7"/>
    </row>
    <row r="14" spans="1:19" ht="22.5" customHeight="1">
      <c r="A14" s="21">
        <v>7</v>
      </c>
      <c r="B14" s="825"/>
      <c r="C14" s="826"/>
      <c r="D14" s="99"/>
      <c r="E14" s="100"/>
      <c r="F14" s="112"/>
      <c r="G14" s="101"/>
      <c r="H14" s="102"/>
      <c r="I14" s="103"/>
      <c r="J14" s="102"/>
      <c r="K14" s="103"/>
      <c r="L14" s="102"/>
      <c r="M14" s="103"/>
      <c r="N14" s="102"/>
      <c r="O14" s="103"/>
      <c r="P14" s="102"/>
      <c r="Q14" s="103"/>
      <c r="R14" s="104"/>
      <c r="S14" s="7"/>
    </row>
    <row r="15" spans="1:19" ht="22.5" customHeight="1">
      <c r="A15" s="21">
        <v>8</v>
      </c>
      <c r="B15" s="825"/>
      <c r="C15" s="826"/>
      <c r="D15" s="99"/>
      <c r="E15" s="100"/>
      <c r="F15" s="112"/>
      <c r="G15" s="101"/>
      <c r="H15" s="102"/>
      <c r="I15" s="103"/>
      <c r="J15" s="102"/>
      <c r="K15" s="103"/>
      <c r="L15" s="102"/>
      <c r="M15" s="103"/>
      <c r="N15" s="102"/>
      <c r="O15" s="103"/>
      <c r="P15" s="102"/>
      <c r="Q15" s="103"/>
      <c r="R15" s="104"/>
      <c r="S15" s="7"/>
    </row>
    <row r="16" spans="1:19" ht="22.5" customHeight="1">
      <c r="A16" s="21">
        <v>9</v>
      </c>
      <c r="B16" s="825"/>
      <c r="C16" s="826"/>
      <c r="D16" s="99"/>
      <c r="E16" s="100"/>
      <c r="F16" s="112"/>
      <c r="G16" s="101"/>
      <c r="H16" s="102"/>
      <c r="I16" s="103"/>
      <c r="J16" s="102"/>
      <c r="K16" s="103"/>
      <c r="L16" s="102"/>
      <c r="M16" s="103"/>
      <c r="N16" s="102"/>
      <c r="O16" s="103"/>
      <c r="P16" s="102"/>
      <c r="Q16" s="103"/>
      <c r="R16" s="104"/>
      <c r="S16" s="7"/>
    </row>
    <row r="17" spans="1:19" ht="22.5" customHeight="1">
      <c r="A17" s="21">
        <v>10</v>
      </c>
      <c r="B17" s="825"/>
      <c r="C17" s="826"/>
      <c r="D17" s="99"/>
      <c r="E17" s="100"/>
      <c r="F17" s="112"/>
      <c r="G17" s="101"/>
      <c r="H17" s="102"/>
      <c r="I17" s="103"/>
      <c r="J17" s="102"/>
      <c r="K17" s="103"/>
      <c r="L17" s="102"/>
      <c r="M17" s="103"/>
      <c r="N17" s="102"/>
      <c r="O17" s="103"/>
      <c r="P17" s="102"/>
      <c r="Q17" s="103"/>
      <c r="R17" s="104"/>
      <c r="S17" s="7"/>
    </row>
    <row r="18" spans="1:19" ht="22.5" customHeight="1">
      <c r="A18" s="21">
        <v>11</v>
      </c>
      <c r="B18" s="825"/>
      <c r="C18" s="826"/>
      <c r="D18" s="99"/>
      <c r="E18" s="100"/>
      <c r="F18" s="112"/>
      <c r="G18" s="101"/>
      <c r="H18" s="102"/>
      <c r="I18" s="103"/>
      <c r="J18" s="102"/>
      <c r="K18" s="103"/>
      <c r="L18" s="102"/>
      <c r="M18" s="103"/>
      <c r="N18" s="102"/>
      <c r="O18" s="103"/>
      <c r="P18" s="102"/>
      <c r="Q18" s="103"/>
      <c r="R18" s="104"/>
      <c r="S18" s="7"/>
    </row>
    <row r="19" spans="1:19" ht="22.5" customHeight="1">
      <c r="A19" s="21">
        <v>12</v>
      </c>
      <c r="B19" s="825"/>
      <c r="C19" s="826"/>
      <c r="D19" s="99"/>
      <c r="E19" s="100"/>
      <c r="F19" s="112"/>
      <c r="G19" s="101"/>
      <c r="H19" s="102"/>
      <c r="I19" s="103"/>
      <c r="J19" s="102"/>
      <c r="K19" s="103"/>
      <c r="L19" s="102"/>
      <c r="M19" s="103"/>
      <c r="N19" s="102"/>
      <c r="O19" s="103"/>
      <c r="P19" s="102"/>
      <c r="Q19" s="103"/>
      <c r="R19" s="104"/>
      <c r="S19" s="7"/>
    </row>
    <row r="20" spans="1:19" ht="22.5" customHeight="1">
      <c r="A20" s="21">
        <v>13</v>
      </c>
      <c r="B20" s="825"/>
      <c r="C20" s="826"/>
      <c r="D20" s="99"/>
      <c r="E20" s="100"/>
      <c r="F20" s="112"/>
      <c r="G20" s="101"/>
      <c r="H20" s="102"/>
      <c r="I20" s="103"/>
      <c r="J20" s="102"/>
      <c r="K20" s="103"/>
      <c r="L20" s="102"/>
      <c r="M20" s="103"/>
      <c r="N20" s="102"/>
      <c r="O20" s="103"/>
      <c r="P20" s="102"/>
      <c r="Q20" s="103"/>
      <c r="R20" s="104"/>
      <c r="S20" s="7"/>
    </row>
    <row r="21" spans="1:19" ht="22.5" customHeight="1">
      <c r="A21" s="21">
        <v>14</v>
      </c>
      <c r="B21" s="825"/>
      <c r="C21" s="826"/>
      <c r="D21" s="99"/>
      <c r="E21" s="100"/>
      <c r="F21" s="112"/>
      <c r="G21" s="101"/>
      <c r="H21" s="102"/>
      <c r="I21" s="103"/>
      <c r="J21" s="102"/>
      <c r="K21" s="103"/>
      <c r="L21" s="102"/>
      <c r="M21" s="103"/>
      <c r="N21" s="102"/>
      <c r="O21" s="103"/>
      <c r="P21" s="102"/>
      <c r="Q21" s="103"/>
      <c r="R21" s="104"/>
      <c r="S21" s="7"/>
    </row>
    <row r="22" spans="1:19" ht="22.5" customHeight="1">
      <c r="A22" s="21">
        <v>15</v>
      </c>
      <c r="B22" s="825"/>
      <c r="C22" s="826"/>
      <c r="D22" s="99"/>
      <c r="E22" s="100"/>
      <c r="F22" s="112"/>
      <c r="G22" s="101"/>
      <c r="H22" s="102"/>
      <c r="I22" s="103"/>
      <c r="J22" s="102"/>
      <c r="K22" s="103"/>
      <c r="L22" s="102"/>
      <c r="M22" s="103"/>
      <c r="N22" s="102"/>
      <c r="O22" s="103"/>
      <c r="P22" s="102"/>
      <c r="Q22" s="103"/>
      <c r="R22" s="104"/>
      <c r="S22" s="7"/>
    </row>
    <row r="23" spans="1:19" ht="22.5" customHeight="1">
      <c r="A23" s="21">
        <v>16</v>
      </c>
      <c r="B23" s="825"/>
      <c r="C23" s="826"/>
      <c r="D23" s="99"/>
      <c r="E23" s="100"/>
      <c r="F23" s="112"/>
      <c r="G23" s="101"/>
      <c r="H23" s="102"/>
      <c r="I23" s="103"/>
      <c r="J23" s="102"/>
      <c r="K23" s="103"/>
      <c r="L23" s="102"/>
      <c r="M23" s="103"/>
      <c r="N23" s="102"/>
      <c r="O23" s="103"/>
      <c r="P23" s="102"/>
      <c r="Q23" s="103"/>
      <c r="R23" s="104"/>
      <c r="S23" s="7"/>
    </row>
    <row r="24" spans="1:19" ht="22.5" customHeight="1">
      <c r="A24" s="21">
        <v>17</v>
      </c>
      <c r="B24" s="825"/>
      <c r="C24" s="826"/>
      <c r="D24" s="99"/>
      <c r="E24" s="100"/>
      <c r="F24" s="112"/>
      <c r="G24" s="101"/>
      <c r="H24" s="102"/>
      <c r="I24" s="103"/>
      <c r="J24" s="102"/>
      <c r="K24" s="103"/>
      <c r="L24" s="102"/>
      <c r="M24" s="103"/>
      <c r="N24" s="102"/>
      <c r="O24" s="103"/>
      <c r="P24" s="102"/>
      <c r="Q24" s="103"/>
      <c r="R24" s="104"/>
      <c r="S24" s="7"/>
    </row>
    <row r="25" spans="1:19" ht="22.5" customHeight="1">
      <c r="A25" s="21">
        <v>18</v>
      </c>
      <c r="B25" s="825"/>
      <c r="C25" s="826"/>
      <c r="D25" s="99"/>
      <c r="E25" s="100"/>
      <c r="F25" s="112"/>
      <c r="G25" s="101"/>
      <c r="H25" s="102"/>
      <c r="I25" s="103"/>
      <c r="J25" s="102"/>
      <c r="K25" s="103"/>
      <c r="L25" s="102"/>
      <c r="M25" s="103"/>
      <c r="N25" s="102"/>
      <c r="O25" s="103"/>
      <c r="P25" s="102"/>
      <c r="Q25" s="103"/>
      <c r="R25" s="104"/>
      <c r="S25" s="7"/>
    </row>
    <row r="26" spans="1:19" ht="22.5" customHeight="1">
      <c r="A26" s="21">
        <v>19</v>
      </c>
      <c r="B26" s="825"/>
      <c r="C26" s="826"/>
      <c r="D26" s="99"/>
      <c r="E26" s="100"/>
      <c r="F26" s="112"/>
      <c r="G26" s="101"/>
      <c r="H26" s="102"/>
      <c r="I26" s="103"/>
      <c r="J26" s="102"/>
      <c r="K26" s="103"/>
      <c r="L26" s="102"/>
      <c r="M26" s="103"/>
      <c r="N26" s="102"/>
      <c r="O26" s="103"/>
      <c r="P26" s="102"/>
      <c r="Q26" s="103"/>
      <c r="R26" s="104"/>
      <c r="S26" s="7"/>
    </row>
    <row r="27" spans="1:19" ht="22.5" customHeight="1">
      <c r="A27" s="21">
        <v>20</v>
      </c>
      <c r="B27" s="825"/>
      <c r="C27" s="826"/>
      <c r="D27" s="99"/>
      <c r="E27" s="100"/>
      <c r="F27" s="112"/>
      <c r="G27" s="101"/>
      <c r="H27" s="102"/>
      <c r="I27" s="103"/>
      <c r="J27" s="102"/>
      <c r="K27" s="103"/>
      <c r="L27" s="102"/>
      <c r="M27" s="103"/>
      <c r="N27" s="102"/>
      <c r="O27" s="103"/>
      <c r="P27" s="102"/>
      <c r="Q27" s="103"/>
      <c r="R27" s="104"/>
      <c r="S27" s="7"/>
    </row>
    <row r="28" spans="1:19" ht="22.5" customHeight="1">
      <c r="A28" s="21">
        <v>21</v>
      </c>
      <c r="B28" s="825"/>
      <c r="C28" s="826"/>
      <c r="D28" s="99"/>
      <c r="E28" s="100"/>
      <c r="F28" s="112"/>
      <c r="G28" s="101"/>
      <c r="H28" s="102"/>
      <c r="I28" s="103"/>
      <c r="J28" s="102"/>
      <c r="K28" s="103"/>
      <c r="L28" s="102"/>
      <c r="M28" s="103"/>
      <c r="N28" s="102"/>
      <c r="O28" s="103"/>
      <c r="P28" s="102"/>
      <c r="Q28" s="103"/>
      <c r="R28" s="104"/>
      <c r="S28" s="7"/>
    </row>
    <row r="29" spans="1:19" ht="22.5" customHeight="1">
      <c r="A29" s="21">
        <v>22</v>
      </c>
      <c r="B29" s="825"/>
      <c r="C29" s="826"/>
      <c r="D29" s="99"/>
      <c r="E29" s="100"/>
      <c r="F29" s="112"/>
      <c r="G29" s="101"/>
      <c r="H29" s="102"/>
      <c r="I29" s="103"/>
      <c r="J29" s="102"/>
      <c r="K29" s="103"/>
      <c r="L29" s="102"/>
      <c r="M29" s="103"/>
      <c r="N29" s="102"/>
      <c r="O29" s="103"/>
      <c r="P29" s="102"/>
      <c r="Q29" s="103"/>
      <c r="R29" s="104"/>
      <c r="S29" s="7"/>
    </row>
    <row r="30" spans="1:19" ht="22.5" customHeight="1">
      <c r="A30" s="21">
        <v>23</v>
      </c>
      <c r="B30" s="825"/>
      <c r="C30" s="826"/>
      <c r="D30" s="99"/>
      <c r="E30" s="100"/>
      <c r="F30" s="112"/>
      <c r="G30" s="101"/>
      <c r="H30" s="102"/>
      <c r="I30" s="103"/>
      <c r="J30" s="102"/>
      <c r="K30" s="103"/>
      <c r="L30" s="102"/>
      <c r="M30" s="103"/>
      <c r="N30" s="102"/>
      <c r="O30" s="103"/>
      <c r="P30" s="102"/>
      <c r="Q30" s="103"/>
      <c r="R30" s="104"/>
      <c r="S30" s="7"/>
    </row>
    <row r="31" spans="1:19" ht="22.5" customHeight="1">
      <c r="A31" s="21">
        <v>24</v>
      </c>
      <c r="B31" s="825"/>
      <c r="C31" s="826"/>
      <c r="D31" s="99"/>
      <c r="E31" s="100"/>
      <c r="F31" s="112"/>
      <c r="G31" s="101"/>
      <c r="H31" s="102"/>
      <c r="I31" s="103"/>
      <c r="J31" s="102"/>
      <c r="K31" s="103"/>
      <c r="L31" s="102"/>
      <c r="M31" s="103"/>
      <c r="N31" s="102"/>
      <c r="O31" s="103"/>
      <c r="P31" s="102"/>
      <c r="Q31" s="103"/>
      <c r="R31" s="104"/>
      <c r="S31" s="7"/>
    </row>
    <row r="32" spans="1:19" ht="22.5" customHeight="1">
      <c r="A32" s="21">
        <v>25</v>
      </c>
      <c r="B32" s="825"/>
      <c r="C32" s="826"/>
      <c r="D32" s="99"/>
      <c r="E32" s="100"/>
      <c r="F32" s="112"/>
      <c r="G32" s="101"/>
      <c r="H32" s="102"/>
      <c r="I32" s="103"/>
      <c r="J32" s="102"/>
      <c r="K32" s="103"/>
      <c r="L32" s="102"/>
      <c r="M32" s="103"/>
      <c r="N32" s="102"/>
      <c r="O32" s="103"/>
      <c r="P32" s="102"/>
      <c r="Q32" s="103"/>
      <c r="R32" s="104"/>
      <c r="S32" s="7"/>
    </row>
    <row r="33" spans="1:19" ht="22.5" customHeight="1">
      <c r="A33" s="21">
        <v>26</v>
      </c>
      <c r="B33" s="825"/>
      <c r="C33" s="826"/>
      <c r="D33" s="99"/>
      <c r="E33" s="100"/>
      <c r="F33" s="112"/>
      <c r="G33" s="101"/>
      <c r="H33" s="102"/>
      <c r="I33" s="103"/>
      <c r="J33" s="102"/>
      <c r="K33" s="103"/>
      <c r="L33" s="102"/>
      <c r="M33" s="103"/>
      <c r="N33" s="102"/>
      <c r="O33" s="103"/>
      <c r="P33" s="102"/>
      <c r="Q33" s="103"/>
      <c r="R33" s="104"/>
      <c r="S33" s="7"/>
    </row>
    <row r="34" spans="1:19" ht="22.5" customHeight="1">
      <c r="A34" s="21">
        <v>27</v>
      </c>
      <c r="B34" s="825"/>
      <c r="C34" s="826"/>
      <c r="D34" s="99"/>
      <c r="E34" s="100"/>
      <c r="F34" s="112"/>
      <c r="G34" s="101"/>
      <c r="H34" s="102"/>
      <c r="I34" s="103"/>
      <c r="J34" s="102"/>
      <c r="K34" s="103"/>
      <c r="L34" s="102"/>
      <c r="M34" s="103"/>
      <c r="N34" s="102"/>
      <c r="O34" s="103"/>
      <c r="P34" s="102"/>
      <c r="Q34" s="103"/>
      <c r="R34" s="104"/>
      <c r="S34" s="7"/>
    </row>
    <row r="35" spans="1:19" ht="22.5" customHeight="1">
      <c r="A35" s="21">
        <v>28</v>
      </c>
      <c r="B35" s="825"/>
      <c r="C35" s="826"/>
      <c r="D35" s="99"/>
      <c r="E35" s="100"/>
      <c r="F35" s="112"/>
      <c r="G35" s="101"/>
      <c r="H35" s="102"/>
      <c r="I35" s="103"/>
      <c r="J35" s="102"/>
      <c r="K35" s="103"/>
      <c r="L35" s="102"/>
      <c r="M35" s="103"/>
      <c r="N35" s="102"/>
      <c r="O35" s="103"/>
      <c r="P35" s="102"/>
      <c r="Q35" s="103"/>
      <c r="R35" s="104"/>
      <c r="S35" s="7"/>
    </row>
    <row r="36" spans="1:19" ht="22.5" customHeight="1">
      <c r="A36" s="21">
        <v>29</v>
      </c>
      <c r="B36" s="825"/>
      <c r="C36" s="826"/>
      <c r="D36" s="99"/>
      <c r="E36" s="100"/>
      <c r="F36" s="112"/>
      <c r="G36" s="101"/>
      <c r="H36" s="102"/>
      <c r="I36" s="103"/>
      <c r="J36" s="102"/>
      <c r="K36" s="103"/>
      <c r="L36" s="102"/>
      <c r="M36" s="103"/>
      <c r="N36" s="102"/>
      <c r="O36" s="103"/>
      <c r="P36" s="102"/>
      <c r="Q36" s="103"/>
      <c r="R36" s="104"/>
      <c r="S36" s="7"/>
    </row>
    <row r="37" spans="1:19" ht="22.5" customHeight="1">
      <c r="A37" s="21">
        <v>30</v>
      </c>
      <c r="B37" s="825"/>
      <c r="C37" s="826"/>
      <c r="D37" s="99"/>
      <c r="E37" s="100"/>
      <c r="F37" s="112"/>
      <c r="G37" s="101"/>
      <c r="H37" s="102"/>
      <c r="I37" s="103"/>
      <c r="J37" s="102"/>
      <c r="K37" s="103"/>
      <c r="L37" s="102"/>
      <c r="M37" s="103"/>
      <c r="N37" s="102"/>
      <c r="O37" s="103"/>
      <c r="P37" s="102"/>
      <c r="Q37" s="103"/>
      <c r="R37" s="104"/>
      <c r="S37" s="7"/>
    </row>
    <row r="38" spans="1:19" ht="22.5" customHeight="1">
      <c r="A38" s="21">
        <v>31</v>
      </c>
      <c r="B38" s="825"/>
      <c r="C38" s="826"/>
      <c r="D38" s="99"/>
      <c r="E38" s="100"/>
      <c r="F38" s="112"/>
      <c r="G38" s="101"/>
      <c r="H38" s="102"/>
      <c r="I38" s="103"/>
      <c r="J38" s="102"/>
      <c r="K38" s="103"/>
      <c r="L38" s="102"/>
      <c r="M38" s="103"/>
      <c r="N38" s="102"/>
      <c r="O38" s="103"/>
      <c r="P38" s="102"/>
      <c r="Q38" s="103"/>
      <c r="R38" s="104"/>
      <c r="S38" s="7"/>
    </row>
    <row r="39" spans="1:19" ht="22.5" customHeight="1">
      <c r="A39" s="21">
        <v>32</v>
      </c>
      <c r="B39" s="825"/>
      <c r="C39" s="826"/>
      <c r="D39" s="99"/>
      <c r="E39" s="100"/>
      <c r="F39" s="112"/>
      <c r="G39" s="101"/>
      <c r="H39" s="102"/>
      <c r="I39" s="103"/>
      <c r="J39" s="102"/>
      <c r="K39" s="103"/>
      <c r="L39" s="102"/>
      <c r="M39" s="103"/>
      <c r="N39" s="102"/>
      <c r="O39" s="103"/>
      <c r="P39" s="102"/>
      <c r="Q39" s="103"/>
      <c r="R39" s="104"/>
      <c r="S39" s="7"/>
    </row>
    <row r="40" spans="1:19" ht="22.5" customHeight="1">
      <c r="A40" s="21">
        <v>33</v>
      </c>
      <c r="B40" s="825"/>
      <c r="C40" s="826"/>
      <c r="D40" s="99"/>
      <c r="E40" s="100"/>
      <c r="F40" s="112"/>
      <c r="G40" s="101"/>
      <c r="H40" s="102"/>
      <c r="I40" s="103"/>
      <c r="J40" s="102"/>
      <c r="K40" s="103"/>
      <c r="L40" s="102"/>
      <c r="M40" s="103"/>
      <c r="N40" s="102"/>
      <c r="O40" s="103"/>
      <c r="P40" s="102"/>
      <c r="Q40" s="103"/>
      <c r="R40" s="104"/>
      <c r="S40" s="7"/>
    </row>
    <row r="41" spans="1:19" ht="22.5" customHeight="1">
      <c r="A41" s="21">
        <v>34</v>
      </c>
      <c r="B41" s="825"/>
      <c r="C41" s="826"/>
      <c r="D41" s="99"/>
      <c r="E41" s="100"/>
      <c r="F41" s="112"/>
      <c r="G41" s="101"/>
      <c r="H41" s="102"/>
      <c r="I41" s="103"/>
      <c r="J41" s="102"/>
      <c r="K41" s="103"/>
      <c r="L41" s="102"/>
      <c r="M41" s="103"/>
      <c r="N41" s="102"/>
      <c r="O41" s="103"/>
      <c r="P41" s="102"/>
      <c r="Q41" s="103"/>
      <c r="R41" s="104"/>
      <c r="S41" s="7"/>
    </row>
    <row r="42" spans="1:19" ht="22.5" customHeight="1">
      <c r="A42" s="21">
        <v>35</v>
      </c>
      <c r="B42" s="825"/>
      <c r="C42" s="826"/>
      <c r="D42" s="99"/>
      <c r="E42" s="100"/>
      <c r="F42" s="112"/>
      <c r="G42" s="101"/>
      <c r="H42" s="102"/>
      <c r="I42" s="103"/>
      <c r="J42" s="102"/>
      <c r="K42" s="103"/>
      <c r="L42" s="102"/>
      <c r="M42" s="103"/>
      <c r="N42" s="102"/>
      <c r="O42" s="103"/>
      <c r="P42" s="102"/>
      <c r="Q42" s="103"/>
      <c r="R42" s="104"/>
      <c r="S42" s="7"/>
    </row>
    <row r="43" spans="1:19" ht="22.5" customHeight="1">
      <c r="A43" s="21">
        <v>36</v>
      </c>
      <c r="B43" s="825"/>
      <c r="C43" s="826"/>
      <c r="D43" s="99"/>
      <c r="E43" s="100"/>
      <c r="F43" s="112"/>
      <c r="G43" s="101"/>
      <c r="H43" s="102"/>
      <c r="I43" s="103"/>
      <c r="J43" s="102"/>
      <c r="K43" s="103"/>
      <c r="L43" s="102"/>
      <c r="M43" s="103"/>
      <c r="N43" s="102"/>
      <c r="O43" s="103"/>
      <c r="P43" s="102"/>
      <c r="Q43" s="103"/>
      <c r="R43" s="104"/>
      <c r="S43" s="7"/>
    </row>
    <row r="44" spans="1:19" ht="22.5" customHeight="1">
      <c r="A44" s="21">
        <v>37</v>
      </c>
      <c r="B44" s="825"/>
      <c r="C44" s="826"/>
      <c r="D44" s="99"/>
      <c r="E44" s="100"/>
      <c r="F44" s="112"/>
      <c r="G44" s="101"/>
      <c r="H44" s="102"/>
      <c r="I44" s="103"/>
      <c r="J44" s="102"/>
      <c r="K44" s="103"/>
      <c r="L44" s="102"/>
      <c r="M44" s="103"/>
      <c r="N44" s="102"/>
      <c r="O44" s="103"/>
      <c r="P44" s="102"/>
      <c r="Q44" s="103"/>
      <c r="R44" s="104"/>
      <c r="S44" s="7"/>
    </row>
    <row r="45" spans="1:19" ht="22.5" customHeight="1">
      <c r="A45" s="21">
        <v>38</v>
      </c>
      <c r="B45" s="825"/>
      <c r="C45" s="826"/>
      <c r="D45" s="99"/>
      <c r="E45" s="100"/>
      <c r="F45" s="112"/>
      <c r="G45" s="101"/>
      <c r="H45" s="102"/>
      <c r="I45" s="103"/>
      <c r="J45" s="102"/>
      <c r="K45" s="103"/>
      <c r="L45" s="102"/>
      <c r="M45" s="103"/>
      <c r="N45" s="102"/>
      <c r="O45" s="103"/>
      <c r="P45" s="102"/>
      <c r="Q45" s="103"/>
      <c r="R45" s="104"/>
      <c r="S45" s="7"/>
    </row>
    <row r="46" spans="1:19" ht="22.5" customHeight="1">
      <c r="A46" s="21">
        <v>39</v>
      </c>
      <c r="B46" s="825"/>
      <c r="C46" s="826"/>
      <c r="D46" s="99"/>
      <c r="E46" s="100"/>
      <c r="F46" s="112"/>
      <c r="G46" s="101"/>
      <c r="H46" s="102"/>
      <c r="I46" s="103"/>
      <c r="J46" s="102"/>
      <c r="K46" s="103"/>
      <c r="L46" s="102"/>
      <c r="M46" s="103"/>
      <c r="N46" s="102"/>
      <c r="O46" s="103"/>
      <c r="P46" s="102"/>
      <c r="Q46" s="103"/>
      <c r="R46" s="104"/>
      <c r="S46" s="7"/>
    </row>
    <row r="47" spans="1:19" ht="22.5" customHeight="1">
      <c r="A47" s="21">
        <v>40</v>
      </c>
      <c r="B47" s="825"/>
      <c r="C47" s="826"/>
      <c r="D47" s="99"/>
      <c r="E47" s="100"/>
      <c r="F47" s="112"/>
      <c r="G47" s="101"/>
      <c r="H47" s="102"/>
      <c r="I47" s="103"/>
      <c r="J47" s="102"/>
      <c r="K47" s="103"/>
      <c r="L47" s="102"/>
      <c r="M47" s="103"/>
      <c r="N47" s="102"/>
      <c r="O47" s="103"/>
      <c r="P47" s="102"/>
      <c r="Q47" s="103"/>
      <c r="R47" s="104"/>
      <c r="S47" s="7"/>
    </row>
    <row r="48" spans="1:19" ht="22.5" customHeight="1">
      <c r="A48" s="21">
        <v>41</v>
      </c>
      <c r="B48" s="825"/>
      <c r="C48" s="826"/>
      <c r="D48" s="99"/>
      <c r="E48" s="100"/>
      <c r="F48" s="112"/>
      <c r="G48" s="101"/>
      <c r="H48" s="102"/>
      <c r="I48" s="103"/>
      <c r="J48" s="102"/>
      <c r="K48" s="103"/>
      <c r="L48" s="102"/>
      <c r="M48" s="103"/>
      <c r="N48" s="102"/>
      <c r="O48" s="103"/>
      <c r="P48" s="102"/>
      <c r="Q48" s="103"/>
      <c r="R48" s="104"/>
      <c r="S48" s="7"/>
    </row>
    <row r="49" spans="1:22" ht="22.5" customHeight="1">
      <c r="A49" s="21">
        <v>42</v>
      </c>
      <c r="B49" s="825"/>
      <c r="C49" s="826"/>
      <c r="D49" s="99"/>
      <c r="E49" s="100"/>
      <c r="F49" s="112"/>
      <c r="G49" s="101"/>
      <c r="H49" s="102"/>
      <c r="I49" s="103"/>
      <c r="J49" s="102"/>
      <c r="K49" s="103"/>
      <c r="L49" s="102"/>
      <c r="M49" s="103"/>
      <c r="N49" s="102"/>
      <c r="O49" s="103"/>
      <c r="P49" s="102"/>
      <c r="Q49" s="103"/>
      <c r="R49" s="104"/>
      <c r="S49" s="7"/>
    </row>
    <row r="50" spans="1:22" ht="22.5" customHeight="1">
      <c r="A50" s="21">
        <v>43</v>
      </c>
      <c r="B50" s="825"/>
      <c r="C50" s="826"/>
      <c r="D50" s="99"/>
      <c r="E50" s="100"/>
      <c r="F50" s="112"/>
      <c r="G50" s="101"/>
      <c r="H50" s="102"/>
      <c r="I50" s="103"/>
      <c r="J50" s="102"/>
      <c r="K50" s="103"/>
      <c r="L50" s="102"/>
      <c r="M50" s="103"/>
      <c r="N50" s="102"/>
      <c r="O50" s="103"/>
      <c r="P50" s="102"/>
      <c r="Q50" s="103"/>
      <c r="R50" s="104"/>
      <c r="S50" s="7"/>
    </row>
    <row r="51" spans="1:22" ht="22.5" customHeight="1">
      <c r="A51" s="21">
        <v>44</v>
      </c>
      <c r="B51" s="825"/>
      <c r="C51" s="826"/>
      <c r="D51" s="99"/>
      <c r="E51" s="100"/>
      <c r="F51" s="112"/>
      <c r="G51" s="101"/>
      <c r="H51" s="102"/>
      <c r="I51" s="103"/>
      <c r="J51" s="102"/>
      <c r="K51" s="103"/>
      <c r="L51" s="102"/>
      <c r="M51" s="103"/>
      <c r="N51" s="102"/>
      <c r="O51" s="103"/>
      <c r="P51" s="102"/>
      <c r="Q51" s="103"/>
      <c r="R51" s="104"/>
      <c r="S51" s="7"/>
    </row>
    <row r="52" spans="1:22" ht="22.5" customHeight="1">
      <c r="A52" s="21">
        <v>45</v>
      </c>
      <c r="B52" s="825"/>
      <c r="C52" s="826"/>
      <c r="D52" s="99"/>
      <c r="E52" s="100"/>
      <c r="F52" s="112"/>
      <c r="G52" s="101"/>
      <c r="H52" s="102"/>
      <c r="I52" s="103"/>
      <c r="J52" s="102"/>
      <c r="K52" s="103"/>
      <c r="L52" s="102"/>
      <c r="M52" s="103"/>
      <c r="N52" s="102"/>
      <c r="O52" s="103"/>
      <c r="P52" s="102"/>
      <c r="Q52" s="103"/>
      <c r="R52" s="104"/>
      <c r="S52" s="7"/>
    </row>
    <row r="53" spans="1:22" ht="22.5" customHeight="1">
      <c r="A53" s="21">
        <v>46</v>
      </c>
      <c r="B53" s="825"/>
      <c r="C53" s="826"/>
      <c r="D53" s="99"/>
      <c r="E53" s="100"/>
      <c r="F53" s="112"/>
      <c r="G53" s="101"/>
      <c r="H53" s="102"/>
      <c r="I53" s="103"/>
      <c r="J53" s="102"/>
      <c r="K53" s="103"/>
      <c r="L53" s="102"/>
      <c r="M53" s="103"/>
      <c r="N53" s="102"/>
      <c r="O53" s="103"/>
      <c r="P53" s="102"/>
      <c r="Q53" s="103"/>
      <c r="R53" s="104"/>
      <c r="S53" s="7"/>
    </row>
    <row r="54" spans="1:22" ht="22.5" customHeight="1">
      <c r="A54" s="21">
        <v>47</v>
      </c>
      <c r="B54" s="825"/>
      <c r="C54" s="826"/>
      <c r="D54" s="99"/>
      <c r="E54" s="100"/>
      <c r="F54" s="112"/>
      <c r="G54" s="101"/>
      <c r="H54" s="102"/>
      <c r="I54" s="103"/>
      <c r="J54" s="102"/>
      <c r="K54" s="103"/>
      <c r="L54" s="102"/>
      <c r="M54" s="103"/>
      <c r="N54" s="102"/>
      <c r="O54" s="103"/>
      <c r="P54" s="102"/>
      <c r="Q54" s="103"/>
      <c r="R54" s="104"/>
      <c r="S54" s="7"/>
    </row>
    <row r="55" spans="1:22" ht="22.5" customHeight="1">
      <c r="A55" s="21">
        <v>48</v>
      </c>
      <c r="B55" s="825"/>
      <c r="C55" s="826"/>
      <c r="D55" s="99"/>
      <c r="E55" s="100"/>
      <c r="F55" s="112"/>
      <c r="G55" s="101"/>
      <c r="H55" s="102"/>
      <c r="I55" s="103"/>
      <c r="J55" s="102"/>
      <c r="K55" s="103"/>
      <c r="L55" s="102"/>
      <c r="M55" s="103"/>
      <c r="N55" s="102"/>
      <c r="O55" s="103"/>
      <c r="P55" s="102"/>
      <c r="Q55" s="103"/>
      <c r="R55" s="104"/>
      <c r="S55" s="7"/>
    </row>
    <row r="56" spans="1:22" ht="22.5" customHeight="1">
      <c r="A56" s="21">
        <v>49</v>
      </c>
      <c r="B56" s="825"/>
      <c r="C56" s="826"/>
      <c r="D56" s="99"/>
      <c r="E56" s="100"/>
      <c r="F56" s="112"/>
      <c r="G56" s="101"/>
      <c r="H56" s="102"/>
      <c r="I56" s="103"/>
      <c r="J56" s="102"/>
      <c r="K56" s="103"/>
      <c r="L56" s="102"/>
      <c r="M56" s="103"/>
      <c r="N56" s="102"/>
      <c r="O56" s="103"/>
      <c r="P56" s="102"/>
      <c r="Q56" s="103"/>
      <c r="R56" s="104"/>
      <c r="S56" s="7"/>
    </row>
    <row r="57" spans="1:22" ht="22.5" customHeight="1" thickBot="1">
      <c r="A57" s="109">
        <v>50</v>
      </c>
      <c r="B57" s="844"/>
      <c r="C57" s="845"/>
      <c r="D57" s="99"/>
      <c r="E57" s="100"/>
      <c r="F57" s="112"/>
      <c r="G57" s="105"/>
      <c r="H57" s="106"/>
      <c r="I57" s="107"/>
      <c r="J57" s="106"/>
      <c r="K57" s="107"/>
      <c r="L57" s="106"/>
      <c r="M57" s="107"/>
      <c r="N57" s="106"/>
      <c r="O57" s="107"/>
      <c r="P57" s="106"/>
      <c r="Q57" s="107"/>
      <c r="R57" s="128"/>
      <c r="S57" s="7"/>
    </row>
    <row r="58" spans="1:22" ht="26.1" customHeight="1" thickBot="1">
      <c r="A58" s="842" t="s">
        <v>120</v>
      </c>
      <c r="B58" s="843"/>
      <c r="C58" s="843"/>
      <c r="D58" s="843"/>
      <c r="E58" s="838"/>
      <c r="F58" s="838"/>
      <c r="G58" s="113">
        <f>COUNTIF(G8:G57,"○")</f>
        <v>0</v>
      </c>
      <c r="H58" s="113">
        <f t="shared" ref="H58:R58" si="0">COUNTIF(H8:H57,"○")</f>
        <v>0</v>
      </c>
      <c r="I58" s="113">
        <f t="shared" si="0"/>
        <v>0</v>
      </c>
      <c r="J58" s="113">
        <f t="shared" si="0"/>
        <v>0</v>
      </c>
      <c r="K58" s="113">
        <f t="shared" si="0"/>
        <v>0</v>
      </c>
      <c r="L58" s="113">
        <f t="shared" si="0"/>
        <v>0</v>
      </c>
      <c r="M58" s="113">
        <f t="shared" si="0"/>
        <v>0</v>
      </c>
      <c r="N58" s="113">
        <f t="shared" si="0"/>
        <v>0</v>
      </c>
      <c r="O58" s="113">
        <f t="shared" si="0"/>
        <v>0</v>
      </c>
      <c r="P58" s="113">
        <f t="shared" si="0"/>
        <v>0</v>
      </c>
      <c r="Q58" s="113">
        <f t="shared" si="0"/>
        <v>0</v>
      </c>
      <c r="R58" s="113">
        <f t="shared" si="0"/>
        <v>0</v>
      </c>
      <c r="S58" s="7"/>
    </row>
    <row r="59" spans="1:22" ht="23.25" customHeight="1">
      <c r="A59" s="117"/>
      <c r="B59" s="117"/>
      <c r="C59" s="117"/>
      <c r="D59" s="117"/>
      <c r="E59" s="117"/>
      <c r="F59" s="117"/>
      <c r="G59" s="117"/>
      <c r="H59" s="117"/>
      <c r="I59" s="117"/>
      <c r="J59" s="117"/>
      <c r="K59" s="117"/>
      <c r="L59" s="117"/>
      <c r="M59" s="117"/>
      <c r="N59" s="117"/>
      <c r="O59" s="117"/>
      <c r="P59" s="117"/>
      <c r="Q59" s="117"/>
      <c r="R59" s="117"/>
      <c r="S59" s="118"/>
      <c r="T59" s="117"/>
      <c r="U59" s="117"/>
    </row>
    <row r="60" spans="1:22" ht="35.25" customHeight="1">
      <c r="A60" s="117"/>
      <c r="B60" s="117"/>
      <c r="C60" s="117"/>
      <c r="D60" s="117"/>
      <c r="E60" s="117"/>
      <c r="F60" s="117"/>
      <c r="G60" s="117"/>
      <c r="H60" s="117"/>
      <c r="I60" s="117"/>
      <c r="J60" s="117"/>
      <c r="K60" s="117"/>
      <c r="L60" s="117"/>
      <c r="M60" s="117"/>
      <c r="N60" s="117"/>
      <c r="O60" s="117"/>
      <c r="P60" s="117"/>
      <c r="Q60" s="117"/>
      <c r="R60" s="117"/>
      <c r="S60" s="118"/>
      <c r="T60" s="117"/>
      <c r="U60" s="117"/>
      <c r="V60" s="110"/>
    </row>
    <row r="61" spans="1:22" ht="23.25" customHeight="1">
      <c r="A61" s="117"/>
      <c r="B61" s="117"/>
      <c r="C61" s="117"/>
      <c r="D61" s="117"/>
      <c r="E61" s="117"/>
      <c r="F61" s="117"/>
      <c r="G61" s="117"/>
      <c r="H61" s="117"/>
      <c r="I61" s="117"/>
      <c r="J61" s="117"/>
      <c r="K61" s="117"/>
      <c r="L61" s="117"/>
      <c r="M61" s="117"/>
      <c r="N61" s="117"/>
      <c r="O61" s="117"/>
      <c r="P61" s="117"/>
      <c r="Q61" s="117"/>
      <c r="R61" s="117"/>
      <c r="S61" s="118"/>
      <c r="T61" s="117"/>
      <c r="U61" s="117"/>
    </row>
    <row r="62" spans="1:22" ht="23.25" customHeight="1" thickBot="1">
      <c r="A62" s="119" t="s">
        <v>123</v>
      </c>
      <c r="B62" s="117"/>
      <c r="C62" s="117"/>
      <c r="D62" s="117"/>
      <c r="E62" s="117"/>
      <c r="F62" s="117"/>
      <c r="G62" s="117"/>
      <c r="H62" s="117"/>
      <c r="I62" s="117"/>
      <c r="J62" s="117"/>
      <c r="K62" s="117"/>
      <c r="L62" s="117"/>
      <c r="M62" s="117"/>
      <c r="N62" s="117"/>
      <c r="O62" s="117"/>
      <c r="P62" s="117"/>
      <c r="Q62" s="117"/>
      <c r="R62" s="117"/>
      <c r="S62" s="118"/>
      <c r="T62" s="117"/>
      <c r="U62" s="117"/>
    </row>
    <row r="63" spans="1:22" ht="23.25" customHeight="1">
      <c r="A63" s="831" t="s">
        <v>13</v>
      </c>
      <c r="B63" s="833" t="s">
        <v>124</v>
      </c>
      <c r="C63" s="834"/>
      <c r="D63" s="837" t="s">
        <v>117</v>
      </c>
      <c r="E63" s="838"/>
      <c r="F63" s="838"/>
      <c r="G63" s="839" t="s">
        <v>118</v>
      </c>
      <c r="H63" s="840"/>
      <c r="I63" s="840"/>
      <c r="J63" s="840"/>
      <c r="K63" s="840"/>
      <c r="L63" s="840"/>
      <c r="M63" s="840"/>
      <c r="N63" s="840"/>
      <c r="O63" s="840"/>
      <c r="P63" s="840"/>
      <c r="Q63" s="840"/>
      <c r="R63" s="841"/>
      <c r="S63" s="118"/>
      <c r="T63" s="846" t="s">
        <v>125</v>
      </c>
      <c r="U63" s="846"/>
    </row>
    <row r="64" spans="1:22" ht="23.25" customHeight="1">
      <c r="A64" s="832"/>
      <c r="B64" s="835"/>
      <c r="C64" s="836"/>
      <c r="D64" s="114" t="s">
        <v>126</v>
      </c>
      <c r="E64" s="98" t="s">
        <v>127</v>
      </c>
      <c r="F64" s="111" t="s">
        <v>128</v>
      </c>
      <c r="G64" s="93">
        <v>4</v>
      </c>
      <c r="H64" s="91">
        <v>5</v>
      </c>
      <c r="I64" s="91">
        <v>6</v>
      </c>
      <c r="J64" s="91">
        <v>7</v>
      </c>
      <c r="K64" s="91">
        <v>8</v>
      </c>
      <c r="L64" s="91">
        <v>9</v>
      </c>
      <c r="M64" s="91">
        <v>10</v>
      </c>
      <c r="N64" s="91">
        <v>11</v>
      </c>
      <c r="O64" s="91">
        <v>12</v>
      </c>
      <c r="P64" s="91">
        <v>1</v>
      </c>
      <c r="Q64" s="91">
        <v>2</v>
      </c>
      <c r="R64" s="92">
        <v>3</v>
      </c>
      <c r="S64" s="118"/>
      <c r="T64" s="846"/>
      <c r="U64" s="846"/>
    </row>
    <row r="65" spans="1:21" ht="23.25" customHeight="1">
      <c r="A65" s="21">
        <v>1</v>
      </c>
      <c r="B65" s="825"/>
      <c r="C65" s="826"/>
      <c r="D65" s="99"/>
      <c r="E65" s="100"/>
      <c r="F65" s="112"/>
      <c r="G65" s="101"/>
      <c r="H65" s="102"/>
      <c r="I65" s="103"/>
      <c r="J65" s="102"/>
      <c r="K65" s="103"/>
      <c r="L65" s="102"/>
      <c r="M65" s="103"/>
      <c r="N65" s="102"/>
      <c r="O65" s="103"/>
      <c r="P65" s="102"/>
      <c r="Q65" s="103"/>
      <c r="R65" s="104"/>
      <c r="S65" s="118"/>
      <c r="T65" s="846"/>
      <c r="U65" s="846"/>
    </row>
    <row r="66" spans="1:21" ht="23.25" customHeight="1">
      <c r="A66" s="21">
        <v>2</v>
      </c>
      <c r="B66" s="825"/>
      <c r="C66" s="826"/>
      <c r="D66" s="99"/>
      <c r="E66" s="100"/>
      <c r="F66" s="112"/>
      <c r="G66" s="101"/>
      <c r="H66" s="102"/>
      <c r="I66" s="103"/>
      <c r="J66" s="102"/>
      <c r="K66" s="103"/>
      <c r="L66" s="102"/>
      <c r="M66" s="103"/>
      <c r="N66" s="102"/>
      <c r="O66" s="103"/>
      <c r="P66" s="102"/>
      <c r="Q66" s="103"/>
      <c r="R66" s="104"/>
      <c r="S66" s="118"/>
      <c r="T66" s="120">
        <f>'様式３（非専従の常勤＋非常勤）'!L39</f>
        <v>0</v>
      </c>
      <c r="U66" s="121" t="s">
        <v>21</v>
      </c>
    </row>
    <row r="67" spans="1:21" ht="23.25" customHeight="1">
      <c r="A67" s="21">
        <v>3</v>
      </c>
      <c r="B67" s="825"/>
      <c r="C67" s="826"/>
      <c r="D67" s="99"/>
      <c r="E67" s="100"/>
      <c r="F67" s="112"/>
      <c r="G67" s="101"/>
      <c r="H67" s="102"/>
      <c r="I67" s="103"/>
      <c r="J67" s="102"/>
      <c r="K67" s="103"/>
      <c r="L67" s="102"/>
      <c r="M67" s="103"/>
      <c r="N67" s="102"/>
      <c r="O67" s="103"/>
      <c r="P67" s="102"/>
      <c r="Q67" s="103"/>
      <c r="R67" s="104"/>
      <c r="S67" s="118"/>
      <c r="T67" s="117"/>
      <c r="U67" s="117"/>
    </row>
    <row r="68" spans="1:21" ht="23.25" customHeight="1">
      <c r="A68" s="21">
        <v>4</v>
      </c>
      <c r="B68" s="825"/>
      <c r="C68" s="826"/>
      <c r="D68" s="99"/>
      <c r="E68" s="100"/>
      <c r="F68" s="112"/>
      <c r="G68" s="101"/>
      <c r="H68" s="102"/>
      <c r="I68" s="103"/>
      <c r="J68" s="102"/>
      <c r="K68" s="103"/>
      <c r="L68" s="102"/>
      <c r="M68" s="103"/>
      <c r="N68" s="102"/>
      <c r="O68" s="103"/>
      <c r="P68" s="102"/>
      <c r="Q68" s="103"/>
      <c r="R68" s="104"/>
      <c r="S68" s="118"/>
      <c r="T68" s="117"/>
      <c r="U68" s="117"/>
    </row>
    <row r="69" spans="1:21" ht="23.25" customHeight="1">
      <c r="A69" s="21">
        <v>5</v>
      </c>
      <c r="B69" s="825"/>
      <c r="C69" s="826"/>
      <c r="D69" s="99"/>
      <c r="E69" s="100"/>
      <c r="F69" s="112"/>
      <c r="G69" s="101"/>
      <c r="H69" s="102"/>
      <c r="I69" s="103"/>
      <c r="J69" s="102"/>
      <c r="K69" s="103"/>
      <c r="L69" s="102"/>
      <c r="M69" s="103"/>
      <c r="N69" s="102"/>
      <c r="O69" s="103"/>
      <c r="P69" s="102"/>
      <c r="Q69" s="103"/>
      <c r="R69" s="104"/>
      <c r="S69" s="118"/>
      <c r="T69" s="117"/>
      <c r="U69" s="117"/>
    </row>
    <row r="70" spans="1:21" ht="23.25" customHeight="1">
      <c r="A70" s="842" t="s">
        <v>129</v>
      </c>
      <c r="B70" s="843"/>
      <c r="C70" s="843"/>
      <c r="D70" s="843"/>
      <c r="E70" s="838"/>
      <c r="F70" s="838"/>
      <c r="G70" s="115">
        <f>COUNTIF(G65:G69,"&gt;0")</f>
        <v>0</v>
      </c>
      <c r="H70" s="115">
        <f t="shared" ref="H70:R70" si="1">COUNTIF(H65:H69,"&gt;0")</f>
        <v>0</v>
      </c>
      <c r="I70" s="115">
        <f t="shared" si="1"/>
        <v>0</v>
      </c>
      <c r="J70" s="115">
        <f t="shared" si="1"/>
        <v>0</v>
      </c>
      <c r="K70" s="115">
        <f t="shared" si="1"/>
        <v>0</v>
      </c>
      <c r="L70" s="115">
        <f t="shared" si="1"/>
        <v>0</v>
      </c>
      <c r="M70" s="115">
        <f t="shared" si="1"/>
        <v>0</v>
      </c>
      <c r="N70" s="115">
        <f t="shared" si="1"/>
        <v>0</v>
      </c>
      <c r="O70" s="115">
        <f t="shared" si="1"/>
        <v>0</v>
      </c>
      <c r="P70" s="115">
        <f t="shared" si="1"/>
        <v>0</v>
      </c>
      <c r="Q70" s="115">
        <f t="shared" si="1"/>
        <v>0</v>
      </c>
      <c r="R70" s="115">
        <f t="shared" si="1"/>
        <v>0</v>
      </c>
      <c r="S70" s="122"/>
      <c r="T70" s="122"/>
      <c r="U70" s="122"/>
    </row>
    <row r="71" spans="1:21" ht="23.25" customHeight="1">
      <c r="A71" s="842" t="s">
        <v>295</v>
      </c>
      <c r="B71" s="843"/>
      <c r="C71" s="843"/>
      <c r="D71" s="843"/>
      <c r="E71" s="838"/>
      <c r="F71" s="838"/>
      <c r="G71" s="365">
        <f>IFERROR(SUM(G65:G69)/$T$66,0)</f>
        <v>0</v>
      </c>
      <c r="H71" s="365">
        <f t="shared" ref="H71:R71" si="2">IFERROR(SUM(H65:H69)/$T$66,0)</f>
        <v>0</v>
      </c>
      <c r="I71" s="365">
        <f t="shared" si="2"/>
        <v>0</v>
      </c>
      <c r="J71" s="365">
        <f t="shared" si="2"/>
        <v>0</v>
      </c>
      <c r="K71" s="365">
        <f t="shared" si="2"/>
        <v>0</v>
      </c>
      <c r="L71" s="365">
        <f t="shared" si="2"/>
        <v>0</v>
      </c>
      <c r="M71" s="365">
        <f t="shared" si="2"/>
        <v>0</v>
      </c>
      <c r="N71" s="365">
        <f t="shared" si="2"/>
        <v>0</v>
      </c>
      <c r="O71" s="365">
        <f t="shared" si="2"/>
        <v>0</v>
      </c>
      <c r="P71" s="365">
        <f t="shared" si="2"/>
        <v>0</v>
      </c>
      <c r="Q71" s="365">
        <f t="shared" si="2"/>
        <v>0</v>
      </c>
      <c r="R71" s="365">
        <f t="shared" si="2"/>
        <v>0</v>
      </c>
      <c r="S71" s="118"/>
      <c r="T71" s="117"/>
      <c r="U71" s="117"/>
    </row>
    <row r="72" spans="1:21" ht="23.25" customHeight="1">
      <c r="A72" s="847" t="s">
        <v>346</v>
      </c>
      <c r="B72" s="848"/>
      <c r="C72" s="848"/>
      <c r="D72" s="848"/>
      <c r="E72" s="850"/>
      <c r="F72" s="850"/>
      <c r="G72" s="366">
        <f>IF(G71&gt;=1,1,G71)</f>
        <v>0</v>
      </c>
      <c r="H72" s="367">
        <f t="shared" ref="H72:R72" si="3">IF(H71&gt;=1,1,H71)</f>
        <v>0</v>
      </c>
      <c r="I72" s="367">
        <f t="shared" si="3"/>
        <v>0</v>
      </c>
      <c r="J72" s="367">
        <f t="shared" si="3"/>
        <v>0</v>
      </c>
      <c r="K72" s="367">
        <f t="shared" si="3"/>
        <v>0</v>
      </c>
      <c r="L72" s="367">
        <f t="shared" si="3"/>
        <v>0</v>
      </c>
      <c r="M72" s="367">
        <f t="shared" si="3"/>
        <v>0</v>
      </c>
      <c r="N72" s="367">
        <f t="shared" si="3"/>
        <v>0</v>
      </c>
      <c r="O72" s="367">
        <f t="shared" si="3"/>
        <v>0</v>
      </c>
      <c r="P72" s="367">
        <f t="shared" si="3"/>
        <v>0</v>
      </c>
      <c r="Q72" s="367">
        <f t="shared" si="3"/>
        <v>0</v>
      </c>
      <c r="R72" s="368">
        <f t="shared" si="3"/>
        <v>0</v>
      </c>
      <c r="S72" s="118"/>
      <c r="T72" s="117"/>
      <c r="U72" s="117"/>
    </row>
    <row r="73" spans="1:21" ht="23.25" customHeight="1">
      <c r="A73" s="847" t="s">
        <v>345</v>
      </c>
      <c r="B73" s="848"/>
      <c r="C73" s="848"/>
      <c r="D73" s="848"/>
      <c r="E73" s="848"/>
      <c r="F73" s="849"/>
      <c r="G73" s="381">
        <f>IF(G71-1&lt;0,0,IF(G71-1&gt;=1,1,G71-1))</f>
        <v>0</v>
      </c>
      <c r="H73" s="381">
        <f t="shared" ref="H73:R73" si="4">IF(H71-1&lt;0,0,IF(H71-1&gt;=1,1,H71-1))</f>
        <v>0</v>
      </c>
      <c r="I73" s="381">
        <f t="shared" si="4"/>
        <v>0</v>
      </c>
      <c r="J73" s="381">
        <f t="shared" si="4"/>
        <v>0</v>
      </c>
      <c r="K73" s="381">
        <f t="shared" si="4"/>
        <v>0</v>
      </c>
      <c r="L73" s="381">
        <f t="shared" si="4"/>
        <v>0</v>
      </c>
      <c r="M73" s="381">
        <f t="shared" si="4"/>
        <v>0</v>
      </c>
      <c r="N73" s="381">
        <f t="shared" si="4"/>
        <v>0</v>
      </c>
      <c r="O73" s="381">
        <f t="shared" si="4"/>
        <v>0</v>
      </c>
      <c r="P73" s="381">
        <f t="shared" si="4"/>
        <v>0</v>
      </c>
      <c r="Q73" s="381">
        <f t="shared" si="4"/>
        <v>0</v>
      </c>
      <c r="R73" s="381">
        <f t="shared" si="4"/>
        <v>0</v>
      </c>
      <c r="S73" s="118"/>
      <c r="T73" s="117"/>
      <c r="U73" s="117"/>
    </row>
    <row r="74" spans="1:21" ht="26.25" customHeight="1" thickBot="1">
      <c r="A74" s="335"/>
      <c r="B74" s="335"/>
      <c r="C74" s="335"/>
      <c r="D74" s="335"/>
      <c r="E74" s="335"/>
      <c r="F74" s="335"/>
      <c r="G74" s="336" t="str">
        <f>IF(OR(AND(様式１!$E9&lt;=3,G72&gt;0),AND(様式１!$N9&lt;=3,G73&gt;0)),"注","")</f>
        <v/>
      </c>
      <c r="H74" s="336" t="str">
        <f>IF(OR(AND(様式１!$E12&lt;=3,H72&gt;0),AND(様式１!$N12&lt;=3,H73&gt;0)),"注","")</f>
        <v/>
      </c>
      <c r="I74" s="336" t="str">
        <f>IF(OR(AND(様式１!$E15&lt;=3,I72&gt;0),AND(様式１!$N15&lt;=3,I73&gt;0)),"注","")</f>
        <v/>
      </c>
      <c r="J74" s="336" t="str">
        <f>IF(OR(AND(様式１!$E18&lt;=3,J72&gt;0),AND(様式１!$N18&lt;=3,J73&gt;0)),"注","")</f>
        <v/>
      </c>
      <c r="K74" s="336" t="str">
        <f>IF(OR(AND(様式１!$E21&lt;=3,K72&gt;0),AND(様式１!$N21&lt;=3,K73&gt;0)),"注","")</f>
        <v/>
      </c>
      <c r="L74" s="336" t="str">
        <f>IF(OR(AND(様式１!$E24&lt;=3,L72&gt;0),AND(様式１!$N24&lt;=3,L73&gt;0)),"注","")</f>
        <v/>
      </c>
      <c r="M74" s="336" t="str">
        <f>IF(OR(AND(様式１!$E27&lt;=3,M72&gt;0),AND(様式１!$N27&lt;=3,M73&gt;0)),"注","")</f>
        <v/>
      </c>
      <c r="N74" s="336" t="str">
        <f>IF(OR(AND(様式１!$E30&lt;=3,N72&gt;0),AND(様式１!$N30&lt;=3,N73&gt;0)),"注","")</f>
        <v/>
      </c>
      <c r="O74" s="336" t="str">
        <f>IF(OR(AND(様式１!$E33&lt;=3,O72&gt;0),AND(様式１!$N33&lt;=3,O73&gt;0)),"注","")</f>
        <v/>
      </c>
      <c r="P74" s="336" t="str">
        <f>IF(OR(AND(様式１!$E36&lt;=3,P72&gt;0),AND(様式１!$N36&lt;=3,P73&gt;0)),"注","")</f>
        <v/>
      </c>
      <c r="Q74" s="336" t="str">
        <f>IF(OR(AND(様式１!$E39&lt;=3,Q72&gt;0),AND(様式１!$N39&lt;=3,Q73&gt;0)),"注","")</f>
        <v/>
      </c>
      <c r="R74" s="336" t="str">
        <f>IF(OR(AND(様式１!$E42&lt;=3,R72&gt;0),AND(様式１!$N42&lt;=3,R73&gt;0)),"注","")</f>
        <v/>
      </c>
      <c r="S74" s="118"/>
      <c r="T74" s="117"/>
      <c r="U74" s="117"/>
    </row>
    <row r="75" spans="1:21" ht="96.75" customHeight="1">
      <c r="A75"/>
      <c r="B75"/>
      <c r="C75"/>
      <c r="D75"/>
      <c r="E75"/>
      <c r="F75"/>
      <c r="G75"/>
      <c r="H75"/>
      <c r="I75"/>
      <c r="J75"/>
      <c r="K75"/>
      <c r="L75"/>
      <c r="M75"/>
      <c r="N75"/>
      <c r="O75"/>
      <c r="P75"/>
      <c r="Q75"/>
      <c r="R75"/>
      <c r="S75" s="7"/>
    </row>
    <row r="76" spans="1:21">
      <c r="C76" s="110"/>
      <c r="D76" s="110"/>
      <c r="E76" s="110"/>
      <c r="F76" s="110"/>
      <c r="G76" s="110"/>
      <c r="H76" s="110"/>
      <c r="I76" s="110"/>
      <c r="J76" s="110"/>
      <c r="K76" s="110"/>
      <c r="L76" s="110"/>
      <c r="M76" s="110"/>
      <c r="N76" s="110"/>
      <c r="O76" s="110"/>
      <c r="P76" s="110"/>
      <c r="Q76" s="110"/>
      <c r="R76" s="110"/>
      <c r="S76" s="110"/>
      <c r="T76" s="110"/>
      <c r="U76" s="110"/>
    </row>
    <row r="77" spans="1:21">
      <c r="S77" s="7"/>
    </row>
    <row r="78" spans="1:21">
      <c r="S78" s="7"/>
    </row>
    <row r="79" spans="1:21">
      <c r="S79" s="7"/>
    </row>
    <row r="80" spans="1:21">
      <c r="S80" s="7"/>
    </row>
    <row r="81" spans="4:7">
      <c r="D81" s="1" t="s">
        <v>50</v>
      </c>
      <c r="G81" s="1" t="s">
        <v>50</v>
      </c>
    </row>
  </sheetData>
  <sheetProtection algorithmName="SHA-512" hashValue="ud/HETjvwLYiXCQjj3/9MNy7x82u136uO4ugV5zYOhqz8poIdWIZ1yCoTBr98ixLVR+ofKTCMd9kZU7wYNG0MQ==" saltValue="pdb3M6MdYqnxmHeINNnGqQ==" spinCount="100000" sheet="1" objects="1" scenarios="1"/>
  <mergeCells count="72">
    <mergeCell ref="A73:F73"/>
    <mergeCell ref="A72:F72"/>
    <mergeCell ref="B66:C66"/>
    <mergeCell ref="B67:C67"/>
    <mergeCell ref="B68:C68"/>
    <mergeCell ref="B69:C69"/>
    <mergeCell ref="A70:F70"/>
    <mergeCell ref="A71:F71"/>
    <mergeCell ref="A63:A64"/>
    <mergeCell ref="B63:C64"/>
    <mergeCell ref="D63:F63"/>
    <mergeCell ref="G63:R63"/>
    <mergeCell ref="T63:U65"/>
    <mergeCell ref="B65:C65"/>
    <mergeCell ref="A58:F58"/>
    <mergeCell ref="B52:C52"/>
    <mergeCell ref="B53:C53"/>
    <mergeCell ref="B54:C54"/>
    <mergeCell ref="B55:C55"/>
    <mergeCell ref="B56:C56"/>
    <mergeCell ref="B57:C57"/>
    <mergeCell ref="B51:C51"/>
    <mergeCell ref="B35:C35"/>
    <mergeCell ref="B36:C36"/>
    <mergeCell ref="B37:C37"/>
    <mergeCell ref="B38:C38"/>
    <mergeCell ref="B39:C39"/>
    <mergeCell ref="B40:C40"/>
    <mergeCell ref="B46:C46"/>
    <mergeCell ref="B47:C47"/>
    <mergeCell ref="B48:C48"/>
    <mergeCell ref="B49:C49"/>
    <mergeCell ref="B50:C50"/>
    <mergeCell ref="B42:C42"/>
    <mergeCell ref="B43:C43"/>
    <mergeCell ref="B44:C44"/>
    <mergeCell ref="B45:C45"/>
    <mergeCell ref="B8:C8"/>
    <mergeCell ref="B9:C9"/>
    <mergeCell ref="B10:C10"/>
    <mergeCell ref="B11:C11"/>
    <mergeCell ref="B27:C27"/>
    <mergeCell ref="B12:C12"/>
    <mergeCell ref="B13:C13"/>
    <mergeCell ref="B14:C14"/>
    <mergeCell ref="B15:C15"/>
    <mergeCell ref="B16:C16"/>
    <mergeCell ref="B17:C17"/>
    <mergeCell ref="B18:C18"/>
    <mergeCell ref="B19:C19"/>
    <mergeCell ref="B20:C20"/>
    <mergeCell ref="B21:C21"/>
    <mergeCell ref="B22:C22"/>
    <mergeCell ref="C2:F2"/>
    <mergeCell ref="G4:H4"/>
    <mergeCell ref="J4:K4"/>
    <mergeCell ref="A6:A7"/>
    <mergeCell ref="B6:C7"/>
    <mergeCell ref="D6:F6"/>
    <mergeCell ref="G6:R6"/>
    <mergeCell ref="B23:C23"/>
    <mergeCell ref="B24:C24"/>
    <mergeCell ref="B25:C25"/>
    <mergeCell ref="B26:C26"/>
    <mergeCell ref="B41:C41"/>
    <mergeCell ref="B34:C34"/>
    <mergeCell ref="B28:C28"/>
    <mergeCell ref="B29:C29"/>
    <mergeCell ref="B30:C30"/>
    <mergeCell ref="B31:C31"/>
    <mergeCell ref="B32:C32"/>
    <mergeCell ref="B33:C33"/>
  </mergeCells>
  <phoneticPr fontId="2"/>
  <dataValidations count="3">
    <dataValidation type="list" allowBlank="1" showInputMessage="1" showErrorMessage="1" sqref="D8:F57" xr:uid="{00000000-0002-0000-0300-000000000000}">
      <formula1>$D$81:$D$81</formula1>
    </dataValidation>
    <dataValidation type="list" allowBlank="1" showInputMessage="1" showErrorMessage="1" sqref="G8:R57" xr:uid="{00000000-0002-0000-0300-000001000000}">
      <formula1>$G$81</formula1>
    </dataValidation>
    <dataValidation type="list" allowBlank="1" showInputMessage="1" showErrorMessage="1" sqref="D65:F69" xr:uid="{00000000-0002-0000-0300-000002000000}">
      <formula1>$D$81</formula1>
    </dataValidation>
  </dataValidations>
  <pageMargins left="0.62992125984251968" right="0.31496062992125984" top="0.82677165354330717" bottom="0.43307086614173229" header="0.51181102362204722" footer="0.27559055118110237"/>
  <pageSetup paperSize="9" scale="43" pageOrder="overThenDown" orientation="portrait" cellComments="asDisplayed" r:id="rId1"/>
  <headerFooter alignWithMargins="0">
    <oddHeader>&amp;L&amp;"ＭＳ Ｐゴシック,太字"&amp;22 令和６年度　保育施設職員配置状況確認書（様式２（常勤保育士等））</oddHeader>
  </headerFooter>
  <rowBreaks count="1" manualBreakCount="1">
    <brk id="74" max="14"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AL75"/>
  <sheetViews>
    <sheetView view="pageBreakPreview" zoomScale="70" zoomScaleNormal="75" zoomScaleSheetLayoutView="70" zoomScalePageLayoutView="70" workbookViewId="0">
      <selection activeCell="L43" sqref="L43"/>
    </sheetView>
  </sheetViews>
  <sheetFormatPr defaultRowHeight="13.5"/>
  <cols>
    <col min="1" max="1" width="4.5" style="1" customWidth="1"/>
    <col min="2" max="2" width="17.5" style="1" customWidth="1"/>
    <col min="3" max="3" width="8.25" style="1" customWidth="1"/>
    <col min="4" max="4" width="2.75" style="1" customWidth="1"/>
    <col min="5" max="5" width="3.125" style="1" customWidth="1"/>
    <col min="6" max="6" width="2.75" style="1" customWidth="1"/>
    <col min="7" max="7" width="3.125" style="1" customWidth="1"/>
    <col min="8" max="8" width="5.25" style="1" customWidth="1"/>
    <col min="9" max="9" width="2.75" style="1" customWidth="1"/>
    <col min="10" max="10" width="3.125" style="1" customWidth="1"/>
    <col min="11" max="11" width="2.75" style="1" customWidth="1"/>
    <col min="12" max="12" width="7.625" style="1" customWidth="1"/>
    <col min="13" max="13" width="3.625" style="1" customWidth="1"/>
    <col min="14" max="14" width="7.625" style="1" customWidth="1"/>
    <col min="15" max="15" width="5.125" style="1" customWidth="1"/>
    <col min="16" max="16" width="7.625" style="1" customWidth="1"/>
    <col min="17" max="17" width="5.125" style="1" customWidth="1"/>
    <col min="18" max="18" width="7.625" style="1" customWidth="1"/>
    <col min="19" max="19" width="5.125" style="1" customWidth="1"/>
    <col min="20" max="20" width="7.625" style="1" customWidth="1"/>
    <col min="21" max="21" width="5.125" style="1" customWidth="1"/>
    <col min="22" max="22" width="7.625" style="1" customWidth="1"/>
    <col min="23" max="23" width="5.125" style="1" customWidth="1"/>
    <col min="24" max="24" width="7.625" style="1" customWidth="1"/>
    <col min="25" max="25" width="5.125" style="1" customWidth="1"/>
    <col min="26" max="26" width="7.625" style="1" customWidth="1"/>
    <col min="27" max="27" width="5.125" style="1" customWidth="1"/>
    <col min="28" max="28" width="7.625" style="1" customWidth="1"/>
    <col min="29" max="29" width="5.125" style="1" customWidth="1"/>
    <col min="30" max="30" width="7.625" style="1" customWidth="1"/>
    <col min="31" max="31" width="5.125" style="1" customWidth="1"/>
    <col min="32" max="32" width="7.625" style="1" customWidth="1"/>
    <col min="33" max="33" width="5.125" style="1" customWidth="1"/>
    <col min="34" max="34" width="7.625" style="1" customWidth="1"/>
    <col min="35" max="35" width="5.125" style="1" customWidth="1"/>
    <col min="36" max="36" width="7.625" style="1" customWidth="1"/>
    <col min="37" max="37" width="5.125" style="1" customWidth="1"/>
    <col min="38" max="38" width="8.125" style="1" customWidth="1"/>
    <col min="39" max="48" width="7.25" style="1" customWidth="1"/>
    <col min="49" max="49" width="10.375" style="1" customWidth="1"/>
    <col min="50" max="50" width="17.375" style="1" customWidth="1"/>
    <col min="51" max="16384" width="9" style="1"/>
  </cols>
  <sheetData>
    <row r="1" spans="1:38" ht="18" customHeight="1" thickBot="1">
      <c r="A1" s="8"/>
      <c r="B1" s="147" t="s">
        <v>136</v>
      </c>
      <c r="C1" s="148">
        <f>様式１!C1</f>
        <v>0</v>
      </c>
      <c r="D1" s="10"/>
      <c r="E1" s="10"/>
      <c r="F1" s="10"/>
      <c r="G1" s="10"/>
      <c r="H1" s="10"/>
      <c r="I1" s="10"/>
      <c r="J1" s="10"/>
      <c r="K1" s="10"/>
      <c r="N1" s="11"/>
      <c r="O1" s="12"/>
      <c r="P1" s="13"/>
      <c r="Q1" s="13"/>
      <c r="R1" s="13"/>
      <c r="S1" s="13"/>
      <c r="T1" s="13"/>
      <c r="U1" s="13"/>
      <c r="V1" s="13"/>
      <c r="W1" s="13"/>
      <c r="Z1" s="14"/>
      <c r="AA1" s="14"/>
      <c r="AB1" s="15"/>
      <c r="AC1" s="15"/>
      <c r="AD1" s="14"/>
      <c r="AE1" s="12"/>
      <c r="AF1" s="14"/>
      <c r="AG1" s="12"/>
    </row>
    <row r="2" spans="1:38" ht="21.95" customHeight="1" thickTop="1" thickBot="1">
      <c r="A2" s="851" t="s">
        <v>113</v>
      </c>
      <c r="B2" s="852"/>
      <c r="C2" s="853">
        <f>様式１!C2</f>
        <v>0</v>
      </c>
      <c r="D2" s="853"/>
      <c r="E2" s="853"/>
      <c r="F2" s="853"/>
      <c r="G2" s="853"/>
      <c r="H2" s="853"/>
      <c r="I2" s="853"/>
      <c r="J2" s="853"/>
      <c r="K2" s="853"/>
      <c r="L2" s="853"/>
      <c r="M2" s="854"/>
      <c r="N2" s="43"/>
      <c r="O2" s="44"/>
      <c r="P2" s="44"/>
      <c r="Q2" s="44"/>
      <c r="R2" s="22"/>
      <c r="S2" s="22"/>
      <c r="T2" s="830"/>
      <c r="U2" s="830"/>
      <c r="V2" s="830"/>
      <c r="W2" s="830"/>
      <c r="X2" s="22"/>
      <c r="Y2" s="22"/>
      <c r="Z2" s="7"/>
      <c r="AA2" s="7"/>
      <c r="AB2" s="7"/>
      <c r="AC2" s="7"/>
      <c r="AD2" s="7"/>
      <c r="AE2" s="44"/>
      <c r="AF2" s="7"/>
      <c r="AG2" s="44"/>
      <c r="AH2" s="7"/>
      <c r="AI2" s="7"/>
      <c r="AJ2" s="7"/>
      <c r="AK2" s="7"/>
      <c r="AL2" s="7"/>
    </row>
    <row r="3" spans="1:38" ht="66" customHeight="1" thickTop="1">
      <c r="A3" s="16"/>
      <c r="B3" s="16"/>
      <c r="C3" s="16"/>
      <c r="D3" s="16"/>
      <c r="E3" s="16"/>
      <c r="F3" s="16"/>
      <c r="G3" s="16"/>
      <c r="H3" s="16"/>
      <c r="I3" s="16"/>
      <c r="J3" s="16"/>
      <c r="K3" s="16"/>
      <c r="N3" s="830"/>
      <c r="O3" s="830"/>
      <c r="P3" s="830"/>
      <c r="Q3" s="830"/>
      <c r="R3" s="80"/>
      <c r="S3" s="80"/>
      <c r="T3" s="830"/>
      <c r="U3" s="830"/>
      <c r="V3" s="830"/>
      <c r="W3" s="830"/>
      <c r="X3" s="80"/>
      <c r="Y3" s="80"/>
      <c r="Z3" s="7"/>
      <c r="AA3" s="7"/>
      <c r="AB3" s="7"/>
      <c r="AC3" s="7"/>
      <c r="AD3" s="7"/>
      <c r="AE3" s="7"/>
      <c r="AF3" s="7"/>
      <c r="AG3" s="7"/>
      <c r="AH3" s="7"/>
      <c r="AI3" s="7"/>
      <c r="AJ3" s="7"/>
      <c r="AK3" s="7"/>
      <c r="AL3" s="7"/>
    </row>
    <row r="4" spans="1:38" ht="24.75" customHeight="1" thickBot="1">
      <c r="A4" s="326" t="s">
        <v>268</v>
      </c>
      <c r="B4" s="19"/>
      <c r="C4" s="20"/>
      <c r="D4" s="20"/>
      <c r="E4" s="20"/>
      <c r="F4" s="20"/>
      <c r="G4" s="20"/>
      <c r="H4" s="20"/>
      <c r="I4" s="20"/>
      <c r="J4" s="20"/>
      <c r="K4" s="20"/>
    </row>
    <row r="5" spans="1:38" ht="28.5" customHeight="1">
      <c r="A5" s="831" t="s">
        <v>13</v>
      </c>
      <c r="B5" s="859" t="s">
        <v>114</v>
      </c>
      <c r="C5" s="681" t="s">
        <v>45</v>
      </c>
      <c r="D5" s="681"/>
      <c r="E5" s="681"/>
      <c r="F5" s="681"/>
      <c r="G5" s="681"/>
      <c r="H5" s="681"/>
      <c r="I5" s="681"/>
      <c r="J5" s="681"/>
      <c r="K5" s="862"/>
      <c r="L5" s="866" t="s">
        <v>69</v>
      </c>
      <c r="M5" s="867"/>
      <c r="N5" s="839" t="s">
        <v>70</v>
      </c>
      <c r="O5" s="840"/>
      <c r="P5" s="840"/>
      <c r="Q5" s="840"/>
      <c r="R5" s="840"/>
      <c r="S5" s="840"/>
      <c r="T5" s="840"/>
      <c r="U5" s="840"/>
      <c r="V5" s="840"/>
      <c r="W5" s="840"/>
      <c r="X5" s="840"/>
      <c r="Y5" s="840"/>
      <c r="Z5" s="840"/>
      <c r="AA5" s="840"/>
      <c r="AB5" s="840"/>
      <c r="AC5" s="840"/>
      <c r="AD5" s="840"/>
      <c r="AE5" s="840"/>
      <c r="AF5" s="840"/>
      <c r="AG5" s="840"/>
      <c r="AH5" s="840"/>
      <c r="AI5" s="840"/>
      <c r="AJ5" s="840"/>
      <c r="AK5" s="841"/>
      <c r="AL5" s="82"/>
    </row>
    <row r="6" spans="1:38" ht="27" customHeight="1">
      <c r="A6" s="832"/>
      <c r="B6" s="860"/>
      <c r="C6" s="757"/>
      <c r="D6" s="757"/>
      <c r="E6" s="757"/>
      <c r="F6" s="757"/>
      <c r="G6" s="757"/>
      <c r="H6" s="757"/>
      <c r="I6" s="757"/>
      <c r="J6" s="757"/>
      <c r="K6" s="863"/>
      <c r="L6" s="868"/>
      <c r="M6" s="869"/>
      <c r="N6" s="855">
        <v>4</v>
      </c>
      <c r="O6" s="707"/>
      <c r="P6" s="707">
        <v>5</v>
      </c>
      <c r="Q6" s="707"/>
      <c r="R6" s="707">
        <v>6</v>
      </c>
      <c r="S6" s="707"/>
      <c r="T6" s="707">
        <v>7</v>
      </c>
      <c r="U6" s="707"/>
      <c r="V6" s="707">
        <v>8</v>
      </c>
      <c r="W6" s="707"/>
      <c r="X6" s="707">
        <v>9</v>
      </c>
      <c r="Y6" s="707"/>
      <c r="Z6" s="707">
        <v>10</v>
      </c>
      <c r="AA6" s="707"/>
      <c r="AB6" s="707">
        <v>11</v>
      </c>
      <c r="AC6" s="707"/>
      <c r="AD6" s="707">
        <v>12</v>
      </c>
      <c r="AE6" s="707"/>
      <c r="AF6" s="856">
        <v>1</v>
      </c>
      <c r="AG6" s="857"/>
      <c r="AH6" s="707">
        <v>2</v>
      </c>
      <c r="AI6" s="707"/>
      <c r="AJ6" s="707">
        <v>3</v>
      </c>
      <c r="AK6" s="870"/>
      <c r="AL6" s="82"/>
    </row>
    <row r="7" spans="1:38">
      <c r="A7" s="858"/>
      <c r="B7" s="861"/>
      <c r="C7" s="864"/>
      <c r="D7" s="864"/>
      <c r="E7" s="864"/>
      <c r="F7" s="864"/>
      <c r="G7" s="864"/>
      <c r="H7" s="864"/>
      <c r="I7" s="864"/>
      <c r="J7" s="864"/>
      <c r="K7" s="865"/>
      <c r="L7" s="26" t="s">
        <v>21</v>
      </c>
      <c r="M7" s="27" t="s">
        <v>22</v>
      </c>
      <c r="N7" s="83" t="s">
        <v>21</v>
      </c>
      <c r="O7" s="35" t="s">
        <v>22</v>
      </c>
      <c r="P7" s="36" t="s">
        <v>21</v>
      </c>
      <c r="Q7" s="84" t="s">
        <v>22</v>
      </c>
      <c r="R7" s="85" t="s">
        <v>21</v>
      </c>
      <c r="S7" s="35" t="s">
        <v>22</v>
      </c>
      <c r="T7" s="36" t="s">
        <v>21</v>
      </c>
      <c r="U7" s="84" t="s">
        <v>22</v>
      </c>
      <c r="V7" s="85" t="s">
        <v>21</v>
      </c>
      <c r="W7" s="35" t="s">
        <v>22</v>
      </c>
      <c r="X7" s="36" t="s">
        <v>21</v>
      </c>
      <c r="Y7" s="84" t="s">
        <v>22</v>
      </c>
      <c r="Z7" s="85" t="s">
        <v>21</v>
      </c>
      <c r="AA7" s="35" t="s">
        <v>22</v>
      </c>
      <c r="AB7" s="36" t="s">
        <v>21</v>
      </c>
      <c r="AC7" s="84" t="s">
        <v>22</v>
      </c>
      <c r="AD7" s="36" t="s">
        <v>21</v>
      </c>
      <c r="AE7" s="35" t="s">
        <v>22</v>
      </c>
      <c r="AF7" s="36" t="s">
        <v>21</v>
      </c>
      <c r="AG7" s="35" t="s">
        <v>22</v>
      </c>
      <c r="AH7" s="34" t="s">
        <v>21</v>
      </c>
      <c r="AI7" s="35" t="s">
        <v>22</v>
      </c>
      <c r="AJ7" s="36" t="s">
        <v>21</v>
      </c>
      <c r="AK7" s="47" t="s">
        <v>22</v>
      </c>
      <c r="AL7" s="7"/>
    </row>
    <row r="8" spans="1:38" ht="26.1" customHeight="1">
      <c r="A8" s="21">
        <v>1</v>
      </c>
      <c r="B8" s="2"/>
      <c r="C8" s="81"/>
      <c r="D8" s="86" t="s">
        <v>49</v>
      </c>
      <c r="E8" s="53"/>
      <c r="F8" s="86" t="s">
        <v>46</v>
      </c>
      <c r="G8" s="86" t="s">
        <v>111</v>
      </c>
      <c r="H8" s="81"/>
      <c r="I8" s="86" t="s">
        <v>49</v>
      </c>
      <c r="J8" s="53"/>
      <c r="K8" s="86" t="s">
        <v>48</v>
      </c>
      <c r="L8" s="28"/>
      <c r="M8" s="29"/>
      <c r="N8" s="129">
        <f>IF(AND($C8=$C$61,$E8=4),$L8,0)</f>
        <v>0</v>
      </c>
      <c r="O8" s="130">
        <f>IF(AND($C8=$C$61,$E8=4),$M8,0)</f>
        <v>0</v>
      </c>
      <c r="P8" s="131">
        <f>IF(AND($C8=$C$61,$E8&lt;=5,$H8=$C$61,$J8&gt;=5),$L8,IF(AND($C8=$C$61,$E8&lt;=5,$H8=$C$62,$J8&lt;=3),$L8,0))</f>
        <v>0</v>
      </c>
      <c r="Q8" s="132">
        <f>IF(AND($C8=$C$61,$E8&lt;=5,$H8=$C$61,$J8&gt;=5),$M8,IF(AND($C8=$C$61,$E8&lt;=5,$H8=$C$62,$J8&lt;=3),$M8,0))</f>
        <v>0</v>
      </c>
      <c r="R8" s="133">
        <f>IF(AND($C8=$C$61,$E8&lt;=6,$H8=$C$61,$J8&gt;=6),$L8,IF(AND($C8=$C$61,$E8&lt;=6,$H8=$C$62,$J8&lt;=3),$L8,0))</f>
        <v>0</v>
      </c>
      <c r="S8" s="134">
        <f>IF(AND($C8=$C$61,$E8&lt;=6,$H8=$C$61,$J8&gt;=6),$M8,IF(AND($C8=$C$61,$E8&lt;=6,$H8=$C$62,$J8&lt;=3),$M8,0))</f>
        <v>0</v>
      </c>
      <c r="T8" s="131">
        <f>IF(AND($C8=$C$61,$E8&lt;=7,$H8=$C$61,$J8&gt;=7),$L8,IF(AND($C8=$C$61,$E8&lt;=7,$H8=$C$62,$J8&lt;=3),$L8,0))</f>
        <v>0</v>
      </c>
      <c r="U8" s="132">
        <f>IF(AND($C8=$C$61,$E8&lt;=7,$H8=$C$61,$J8&gt;=7),$M8,IF(AND($C8=$C$61,$E8&lt;=7,$H8=$C$62,$J8&lt;=3),$M8,0))</f>
        <v>0</v>
      </c>
      <c r="V8" s="133">
        <f>IF(AND($C8=$C$61,$E8&lt;=8,$H8=$C$61,$J8&gt;=8),$L8,IF(AND($C8=$C$61,$E8&lt;=8,$H8=$C$62,$J8&lt;=3),$L8,0))</f>
        <v>0</v>
      </c>
      <c r="W8" s="134">
        <f>IF(AND($C8=$C$61,$E8&lt;=8,$H8=$C$61,$J8&gt;=8),$M8,IF(AND($C8=$C$61,$E8&lt;=8,$H8=$C$62,$J8&lt;=3),$M8,0))</f>
        <v>0</v>
      </c>
      <c r="X8" s="131">
        <f>IF(AND($C8=$C$61,$E8&lt;=9,$H8=$C$61,$J8&gt;=9),$L8,IF(AND($C8=$C$61,$E8&lt;=9,$H8=$C$62,$J8&lt;=3),$L8,0))</f>
        <v>0</v>
      </c>
      <c r="Y8" s="132">
        <f>IF(AND($C8=$C$61,$E8&lt;=9,$H8=$C$61,$J8&gt;=9),$M8,IF(AND($C8=$C$61,$E8&lt;=9,$H8=$C$62,$J8&lt;=3),$M8,0))</f>
        <v>0</v>
      </c>
      <c r="Z8" s="133">
        <f>IF(AND($C8=$C$61,$E8&lt;=10,$H8=$C$61,$J8&gt;=10),$L8,IF(AND($C8=$C$61,$E8&lt;=10,$H8=$C$62,$J8&lt;=3),$L8,0))</f>
        <v>0</v>
      </c>
      <c r="AA8" s="134">
        <f>IF(AND($C8=$C$61,$E8&lt;=10,$H8=$C$61,$J8&gt;=10),$M8,IF(AND($C8=$C$61,$E8&lt;=10,$H8=$C$62,$J8&lt;=3),$M8,0))</f>
        <v>0</v>
      </c>
      <c r="AB8" s="131">
        <f>IF(AND($C8=$C$61,$E8&lt;=11,$H8=$C$61,$J8&gt;=11),$L8,IF(AND($C8=$C$61,$E8&lt;=11,$H8=$C$62,$J8&lt;=3),$L8,0))</f>
        <v>0</v>
      </c>
      <c r="AC8" s="132">
        <f>IF(AND($C8=$C$61,$E8&lt;=11,$H8=$C$61,$J8&gt;=11),$M8,IF(AND($C8=$C$61,$E8&lt;=11,$H8=$C$62,$J8&lt;=3),$M8,0))</f>
        <v>0</v>
      </c>
      <c r="AD8" s="133">
        <f>IF(AND($C8=$C$61,$E8&lt;=12,$H8=$C$61,$J8=12),$L8,IF(AND($C8=$C$61,$E8&lt;=12,$H8=$C$62,$J8&lt;=3),$L8,0))</f>
        <v>0</v>
      </c>
      <c r="AE8" s="130">
        <f>IF(AND($C8=$C$61,$E8&lt;=12,$H8=$C$61,$J8&gt;=12),$M8,IF(AND($C8=$C$61,$E8&lt;=12,$H8=$C$62,$J8&lt;=3),$M8,0))</f>
        <v>0</v>
      </c>
      <c r="AF8" s="131">
        <f>IF(AND($C8=$C$61,$E8&lt;=12,$H8=$C$62,$J8&lt;=3),$L8,IF(AND($C8=$C$62,$E8&lt;=1,$H8=$C$62,$J8&lt;=3),$L8,0))</f>
        <v>0</v>
      </c>
      <c r="AG8" s="130">
        <f>IF(AND($C8=$C$61,$E8&lt;=12,$H8=$C$62,$J8&gt;=1),$M8,IF(AND($C8=$C$62,$E8&lt;=1,$H8=$C$62,$J8&lt;=3),$M8,0))</f>
        <v>0</v>
      </c>
      <c r="AH8" s="133">
        <f>IF(AND($C8=$C$61,$E8&lt;=12,$H8=$C$62,$J8&gt;=2),$L8,IF(AND($C8=$C$62,$E8&lt;=2,$H8=$C$62,$J8&gt;1),$L8,0))</f>
        <v>0</v>
      </c>
      <c r="AI8" s="134">
        <f>IF(AND($C8=$C$61,$E8&lt;=12,$H8=$C$62,$J8&gt;=2),$M8,IF(AND($C8=$C$62,$E8&lt;=2,$H8=$C$62,$J8&gt;1),$M8,0))</f>
        <v>0</v>
      </c>
      <c r="AJ8" s="131">
        <f>IF(AND($C8=$C$61,$E8&lt;=12,$H8=$C$62,$J8=3),$L8,IF(AND($C8=$C$62,$E8&lt;=3,$H8=$C$62,$J8=3),$L8,0))</f>
        <v>0</v>
      </c>
      <c r="AK8" s="135">
        <f>IF(AND($C8=$C$61,$E8&lt;=12,$H8=$C$62,$J8=3),$M8,IF(AND($C8=$C$62,$E8&lt;=3,$H8=$C$62,$J8=3),$M8,0))</f>
        <v>0</v>
      </c>
      <c r="AL8" s="7"/>
    </row>
    <row r="9" spans="1:38" ht="26.1" customHeight="1">
      <c r="A9" s="21">
        <v>2</v>
      </c>
      <c r="B9" s="2"/>
      <c r="C9" s="81"/>
      <c r="D9" s="86" t="s">
        <v>49</v>
      </c>
      <c r="E9" s="53"/>
      <c r="F9" s="86" t="s">
        <v>46</v>
      </c>
      <c r="G9" s="86" t="s">
        <v>111</v>
      </c>
      <c r="H9" s="81"/>
      <c r="I9" s="86" t="s">
        <v>49</v>
      </c>
      <c r="J9" s="53"/>
      <c r="K9" s="86" t="s">
        <v>48</v>
      </c>
      <c r="L9" s="28"/>
      <c r="M9" s="29"/>
      <c r="N9" s="129">
        <f t="shared" ref="N9:N37" si="0">IF(AND($C9=$C$61,$E9=4),$L9,0)</f>
        <v>0</v>
      </c>
      <c r="O9" s="130">
        <f t="shared" ref="O9:O37" si="1">IF(AND($C9=$C$61,$E9=4),$M9,0)</f>
        <v>0</v>
      </c>
      <c r="P9" s="131">
        <f t="shared" ref="P9:P37" si="2">IF(AND($C9=$C$61,$E9&lt;=5,$H9=$C$61,$J9&gt;=5),$L9,IF(AND($C9=$C$61,$E9&lt;=5,$H9=$C$62,$J9&lt;=3),$L9,0))</f>
        <v>0</v>
      </c>
      <c r="Q9" s="132">
        <f t="shared" ref="Q9:Q37" si="3">IF(AND($C9=$C$61,$E9&lt;=5,$H9=$C$61,$J9&gt;=5),$M9,IF(AND($C9=$C$61,$E9&lt;=5,$H9=$C$62,$J9&lt;=3),$M9,0))</f>
        <v>0</v>
      </c>
      <c r="R9" s="133">
        <f t="shared" ref="R9:R37" si="4">IF(AND($C9=$C$61,$E9&lt;=6,$H9=$C$61,$J9&gt;=6),$L9,IF(AND($C9=$C$61,$E9&lt;=6,$H9=$C$62,$J9&lt;=3),$L9,0))</f>
        <v>0</v>
      </c>
      <c r="S9" s="134">
        <f t="shared" ref="S9:S37" si="5">IF(AND($C9=$C$61,$E9&lt;=6,$H9=$C$61,$J9&gt;=6),$M9,IF(AND($C9=$C$61,$E9&lt;=6,$H9=$C$62,$J9&lt;=3),$M9,0))</f>
        <v>0</v>
      </c>
      <c r="T9" s="131">
        <f t="shared" ref="T9:T37" si="6">IF(AND($C9=$C$61,$E9&lt;=7,$H9=$C$61,$J9&gt;=7),$L9,IF(AND($C9=$C$61,$E9&lt;=7,$H9=$C$62,$J9&lt;=3),$L9,0))</f>
        <v>0</v>
      </c>
      <c r="U9" s="132">
        <f t="shared" ref="U9:U37" si="7">IF(AND($C9=$C$61,$E9&lt;=7,$H9=$C$61,$J9&gt;=7),$M9,IF(AND($C9=$C$61,$E9&lt;=7,$H9=$C$62,$J9&lt;=3),$M9,0))</f>
        <v>0</v>
      </c>
      <c r="V9" s="133">
        <f t="shared" ref="V9:V37" si="8">IF(AND($C9=$C$61,$E9&lt;=8,$H9=$C$61,$J9&gt;=8),$L9,IF(AND($C9=$C$61,$E9&lt;=8,$H9=$C$62,$J9&lt;=3),$L9,0))</f>
        <v>0</v>
      </c>
      <c r="W9" s="134">
        <f t="shared" ref="W9:W37" si="9">IF(AND($C9=$C$61,$E9&lt;=8,$H9=$C$61,$J9&gt;=8),$M9,IF(AND($C9=$C$61,$E9&lt;=8,$H9=$C$62,$J9&lt;=3),$M9,0))</f>
        <v>0</v>
      </c>
      <c r="X9" s="131">
        <f t="shared" ref="X9:X37" si="10">IF(AND($C9=$C$61,$E9&lt;=9,$H9=$C$61,$J9&gt;=9),$L9,IF(AND($C9=$C$61,$E9&lt;=9,$H9=$C$62,$J9&lt;=3),$L9,0))</f>
        <v>0</v>
      </c>
      <c r="Y9" s="132">
        <f t="shared" ref="Y9:Y37" si="11">IF(AND($C9=$C$61,$E9&lt;=9,$H9=$C$61,$J9&gt;=9),$M9,IF(AND($C9=$C$61,$E9&lt;=9,$H9=$C$62,$J9&lt;=3),$M9,0))</f>
        <v>0</v>
      </c>
      <c r="Z9" s="133">
        <f t="shared" ref="Z9:Z37" si="12">IF(AND($C9=$C$61,$E9&lt;=10,$H9=$C$61,$J9&gt;=10),$L9,IF(AND($C9=$C$61,$E9&lt;=10,$H9=$C$62,$J9&lt;=3),$L9,0))</f>
        <v>0</v>
      </c>
      <c r="AA9" s="134">
        <f t="shared" ref="AA9:AA37" si="13">IF(AND($C9=$C$61,$E9&lt;=10,$H9=$C$61,$J9&gt;=10),$M9,IF(AND($C9=$C$61,$E9&lt;=10,$H9=$C$62,$J9&lt;=3),$M9,0))</f>
        <v>0</v>
      </c>
      <c r="AB9" s="131">
        <f t="shared" ref="AB9:AB37" si="14">IF(AND($C9=$C$61,$E9&lt;=11,$H9=$C$61,$J9&gt;=11),$L9,IF(AND($C9=$C$61,$E9&lt;=11,$H9=$C$62,$J9&lt;=3),$L9,0))</f>
        <v>0</v>
      </c>
      <c r="AC9" s="132">
        <f t="shared" ref="AC9:AC37" si="15">IF(AND($C9=$C$61,$E9&lt;=11,$H9=$C$61,$J9&gt;=11),$M9,IF(AND($C9=$C$61,$E9&lt;=11,$H9=$C$62,$J9&lt;=3),$M9,0))</f>
        <v>0</v>
      </c>
      <c r="AD9" s="133">
        <f t="shared" ref="AD9:AD37" si="16">IF(AND($C9=$C$61,$E9&lt;=12,$H9=$C$61,$J9=12),$L9,IF(AND($C9=$C$61,$E9&lt;=12,$H9=$C$62,$J9&lt;=3),$L9,0))</f>
        <v>0</v>
      </c>
      <c r="AE9" s="130">
        <f t="shared" ref="AE9:AE37" si="17">IF(AND($C9=$C$61,$E9&lt;=12,$H9=$C$61,$J9&gt;=12),$M9,IF(AND($C9=$C$61,$E9&lt;=12,$H9=$C$62,$J9&lt;=3),$M9,0))</f>
        <v>0</v>
      </c>
      <c r="AF9" s="131">
        <f t="shared" ref="AF9:AF37" si="18">IF(AND($C9=$C$61,$E9&lt;=12,$H9=$C$62,$J9&lt;=3),$L9,IF(AND($C9=$C$62,$E9&lt;=1,$H9=$C$62,$J9&lt;=3),$L9,0))</f>
        <v>0</v>
      </c>
      <c r="AG9" s="130">
        <f t="shared" ref="AG9:AG37" si="19">IF(AND($C9=$C$61,$E9&lt;=12,$H9=$C$62,$J9&gt;=1),$M9,IF(AND($C9=$C$62,$E9&lt;=1,$H9=$C$62,$J9&lt;=3),$M9,0))</f>
        <v>0</v>
      </c>
      <c r="AH9" s="133">
        <f t="shared" ref="AH9:AH37" si="20">IF(AND($C9=$C$61,$E9&lt;=12,$H9=$C$62,$J9&gt;=2),$L9,IF(AND($C9=$C$62,$E9&lt;=2,$H9=$C$62,$J9&gt;1),$L9,0))</f>
        <v>0</v>
      </c>
      <c r="AI9" s="134">
        <f t="shared" ref="AI9:AI37" si="21">IF(AND($C9=$C$61,$E9&lt;=12,$H9=$C$62,$J9&gt;=2),$M9,IF(AND($C9=$C$62,$E9&lt;=2,$H9=$C$62,$J9&gt;1),$M9,0))</f>
        <v>0</v>
      </c>
      <c r="AJ9" s="131">
        <f t="shared" ref="AJ9:AJ37" si="22">IF(AND($C9=$C$61,$E9&lt;=12,$H9=$C$62,$J9=3),$L9,IF(AND($C9=$C$62,$E9&lt;=3,$H9=$C$62,$J9=3),$L9,0))</f>
        <v>0</v>
      </c>
      <c r="AK9" s="135">
        <f t="shared" ref="AK9:AK37" si="23">IF(AND($C9=$C$61,$E9&lt;=12,$H9=$C$62,$J9=3),$M9,IF(AND($C9=$C$62,$E9&lt;=3,$H9=$C$62,$J9=3),$M9,0))</f>
        <v>0</v>
      </c>
      <c r="AL9" s="7"/>
    </row>
    <row r="10" spans="1:38" ht="26.1" customHeight="1">
      <c r="A10" s="21">
        <v>3</v>
      </c>
      <c r="B10" s="2"/>
      <c r="C10" s="81"/>
      <c r="D10" s="86" t="s">
        <v>49</v>
      </c>
      <c r="E10" s="53"/>
      <c r="F10" s="86" t="s">
        <v>46</v>
      </c>
      <c r="G10" s="86" t="s">
        <v>111</v>
      </c>
      <c r="H10" s="81"/>
      <c r="I10" s="86" t="s">
        <v>49</v>
      </c>
      <c r="J10" s="53"/>
      <c r="K10" s="86" t="s">
        <v>48</v>
      </c>
      <c r="L10" s="28"/>
      <c r="M10" s="29"/>
      <c r="N10" s="129">
        <f t="shared" si="0"/>
        <v>0</v>
      </c>
      <c r="O10" s="130">
        <f t="shared" si="1"/>
        <v>0</v>
      </c>
      <c r="P10" s="131">
        <f t="shared" si="2"/>
        <v>0</v>
      </c>
      <c r="Q10" s="132">
        <f t="shared" si="3"/>
        <v>0</v>
      </c>
      <c r="R10" s="133">
        <f t="shared" si="4"/>
        <v>0</v>
      </c>
      <c r="S10" s="134">
        <f t="shared" si="5"/>
        <v>0</v>
      </c>
      <c r="T10" s="131">
        <f t="shared" si="6"/>
        <v>0</v>
      </c>
      <c r="U10" s="132">
        <f t="shared" si="7"/>
        <v>0</v>
      </c>
      <c r="V10" s="133">
        <f t="shared" si="8"/>
        <v>0</v>
      </c>
      <c r="W10" s="134">
        <f t="shared" si="9"/>
        <v>0</v>
      </c>
      <c r="X10" s="131">
        <f t="shared" si="10"/>
        <v>0</v>
      </c>
      <c r="Y10" s="132">
        <f t="shared" si="11"/>
        <v>0</v>
      </c>
      <c r="Z10" s="133">
        <f t="shared" si="12"/>
        <v>0</v>
      </c>
      <c r="AA10" s="134">
        <f t="shared" si="13"/>
        <v>0</v>
      </c>
      <c r="AB10" s="131">
        <f t="shared" si="14"/>
        <v>0</v>
      </c>
      <c r="AC10" s="132">
        <f t="shared" si="15"/>
        <v>0</v>
      </c>
      <c r="AD10" s="133">
        <f t="shared" si="16"/>
        <v>0</v>
      </c>
      <c r="AE10" s="130">
        <f t="shared" si="17"/>
        <v>0</v>
      </c>
      <c r="AF10" s="131">
        <f t="shared" si="18"/>
        <v>0</v>
      </c>
      <c r="AG10" s="130">
        <f t="shared" si="19"/>
        <v>0</v>
      </c>
      <c r="AH10" s="133">
        <f t="shared" si="20"/>
        <v>0</v>
      </c>
      <c r="AI10" s="134">
        <f t="shared" si="21"/>
        <v>0</v>
      </c>
      <c r="AJ10" s="131">
        <f t="shared" si="22"/>
        <v>0</v>
      </c>
      <c r="AK10" s="135">
        <f t="shared" si="23"/>
        <v>0</v>
      </c>
      <c r="AL10" s="7"/>
    </row>
    <row r="11" spans="1:38" ht="26.1" customHeight="1">
      <c r="A11" s="21">
        <v>4</v>
      </c>
      <c r="B11" s="2"/>
      <c r="C11" s="81"/>
      <c r="D11" s="86" t="s">
        <v>49</v>
      </c>
      <c r="E11" s="53"/>
      <c r="F11" s="86" t="s">
        <v>46</v>
      </c>
      <c r="G11" s="86" t="s">
        <v>111</v>
      </c>
      <c r="H11" s="81"/>
      <c r="I11" s="86" t="s">
        <v>49</v>
      </c>
      <c r="J11" s="53"/>
      <c r="K11" s="86" t="s">
        <v>48</v>
      </c>
      <c r="L11" s="28"/>
      <c r="M11" s="29"/>
      <c r="N11" s="129">
        <f t="shared" si="0"/>
        <v>0</v>
      </c>
      <c r="O11" s="130">
        <f t="shared" si="1"/>
        <v>0</v>
      </c>
      <c r="P11" s="131">
        <f t="shared" si="2"/>
        <v>0</v>
      </c>
      <c r="Q11" s="132">
        <f t="shared" si="3"/>
        <v>0</v>
      </c>
      <c r="R11" s="133">
        <f t="shared" si="4"/>
        <v>0</v>
      </c>
      <c r="S11" s="134">
        <f t="shared" si="5"/>
        <v>0</v>
      </c>
      <c r="T11" s="131">
        <f t="shared" si="6"/>
        <v>0</v>
      </c>
      <c r="U11" s="132">
        <f t="shared" si="7"/>
        <v>0</v>
      </c>
      <c r="V11" s="133">
        <f t="shared" si="8"/>
        <v>0</v>
      </c>
      <c r="W11" s="134">
        <f t="shared" si="9"/>
        <v>0</v>
      </c>
      <c r="X11" s="131">
        <f t="shared" si="10"/>
        <v>0</v>
      </c>
      <c r="Y11" s="132">
        <f t="shared" si="11"/>
        <v>0</v>
      </c>
      <c r="Z11" s="133">
        <f t="shared" si="12"/>
        <v>0</v>
      </c>
      <c r="AA11" s="134">
        <f t="shared" si="13"/>
        <v>0</v>
      </c>
      <c r="AB11" s="131">
        <f t="shared" si="14"/>
        <v>0</v>
      </c>
      <c r="AC11" s="132">
        <f t="shared" si="15"/>
        <v>0</v>
      </c>
      <c r="AD11" s="133">
        <f t="shared" si="16"/>
        <v>0</v>
      </c>
      <c r="AE11" s="130">
        <f t="shared" si="17"/>
        <v>0</v>
      </c>
      <c r="AF11" s="131">
        <f t="shared" si="18"/>
        <v>0</v>
      </c>
      <c r="AG11" s="130">
        <f t="shared" si="19"/>
        <v>0</v>
      </c>
      <c r="AH11" s="133">
        <f t="shared" si="20"/>
        <v>0</v>
      </c>
      <c r="AI11" s="134">
        <f t="shared" si="21"/>
        <v>0</v>
      </c>
      <c r="AJ11" s="131">
        <f t="shared" si="22"/>
        <v>0</v>
      </c>
      <c r="AK11" s="135">
        <f t="shared" si="23"/>
        <v>0</v>
      </c>
      <c r="AL11" s="7"/>
    </row>
    <row r="12" spans="1:38" ht="26.1" customHeight="1">
      <c r="A12" s="21">
        <v>5</v>
      </c>
      <c r="B12" s="2"/>
      <c r="C12" s="81"/>
      <c r="D12" s="86" t="s">
        <v>49</v>
      </c>
      <c r="E12" s="53"/>
      <c r="F12" s="86" t="s">
        <v>46</v>
      </c>
      <c r="G12" s="86" t="s">
        <v>111</v>
      </c>
      <c r="H12" s="81"/>
      <c r="I12" s="86" t="s">
        <v>49</v>
      </c>
      <c r="J12" s="53"/>
      <c r="K12" s="86" t="s">
        <v>48</v>
      </c>
      <c r="L12" s="28"/>
      <c r="M12" s="29"/>
      <c r="N12" s="129">
        <f t="shared" si="0"/>
        <v>0</v>
      </c>
      <c r="O12" s="130">
        <f t="shared" si="1"/>
        <v>0</v>
      </c>
      <c r="P12" s="131">
        <f t="shared" si="2"/>
        <v>0</v>
      </c>
      <c r="Q12" s="132">
        <f t="shared" si="3"/>
        <v>0</v>
      </c>
      <c r="R12" s="133">
        <f t="shared" si="4"/>
        <v>0</v>
      </c>
      <c r="S12" s="134">
        <f t="shared" si="5"/>
        <v>0</v>
      </c>
      <c r="T12" s="131">
        <f t="shared" si="6"/>
        <v>0</v>
      </c>
      <c r="U12" s="132">
        <f t="shared" si="7"/>
        <v>0</v>
      </c>
      <c r="V12" s="133">
        <f t="shared" si="8"/>
        <v>0</v>
      </c>
      <c r="W12" s="134">
        <f t="shared" si="9"/>
        <v>0</v>
      </c>
      <c r="X12" s="131">
        <f t="shared" si="10"/>
        <v>0</v>
      </c>
      <c r="Y12" s="132">
        <f t="shared" si="11"/>
        <v>0</v>
      </c>
      <c r="Z12" s="133">
        <f t="shared" si="12"/>
        <v>0</v>
      </c>
      <c r="AA12" s="134">
        <f t="shared" si="13"/>
        <v>0</v>
      </c>
      <c r="AB12" s="131">
        <f t="shared" si="14"/>
        <v>0</v>
      </c>
      <c r="AC12" s="132">
        <f t="shared" si="15"/>
        <v>0</v>
      </c>
      <c r="AD12" s="133">
        <f t="shared" si="16"/>
        <v>0</v>
      </c>
      <c r="AE12" s="130">
        <f t="shared" si="17"/>
        <v>0</v>
      </c>
      <c r="AF12" s="131">
        <f t="shared" si="18"/>
        <v>0</v>
      </c>
      <c r="AG12" s="130">
        <f t="shared" si="19"/>
        <v>0</v>
      </c>
      <c r="AH12" s="133">
        <f t="shared" si="20"/>
        <v>0</v>
      </c>
      <c r="AI12" s="134">
        <f t="shared" si="21"/>
        <v>0</v>
      </c>
      <c r="AJ12" s="131">
        <f t="shared" si="22"/>
        <v>0</v>
      </c>
      <c r="AK12" s="135">
        <f t="shared" si="23"/>
        <v>0</v>
      </c>
      <c r="AL12" s="7"/>
    </row>
    <row r="13" spans="1:38" ht="26.1" customHeight="1">
      <c r="A13" s="21">
        <v>6</v>
      </c>
      <c r="B13" s="2"/>
      <c r="C13" s="81"/>
      <c r="D13" s="86" t="s">
        <v>49</v>
      </c>
      <c r="E13" s="53"/>
      <c r="F13" s="86" t="s">
        <v>46</v>
      </c>
      <c r="G13" s="86" t="s">
        <v>111</v>
      </c>
      <c r="H13" s="81"/>
      <c r="I13" s="86" t="s">
        <v>49</v>
      </c>
      <c r="J13" s="53"/>
      <c r="K13" s="86" t="s">
        <v>48</v>
      </c>
      <c r="L13" s="28"/>
      <c r="M13" s="29"/>
      <c r="N13" s="129">
        <f t="shared" si="0"/>
        <v>0</v>
      </c>
      <c r="O13" s="130">
        <f t="shared" si="1"/>
        <v>0</v>
      </c>
      <c r="P13" s="131">
        <f t="shared" si="2"/>
        <v>0</v>
      </c>
      <c r="Q13" s="132">
        <f t="shared" si="3"/>
        <v>0</v>
      </c>
      <c r="R13" s="133">
        <f t="shared" si="4"/>
        <v>0</v>
      </c>
      <c r="S13" s="134">
        <f t="shared" si="5"/>
        <v>0</v>
      </c>
      <c r="T13" s="131">
        <f t="shared" si="6"/>
        <v>0</v>
      </c>
      <c r="U13" s="132">
        <f t="shared" si="7"/>
        <v>0</v>
      </c>
      <c r="V13" s="133">
        <f t="shared" si="8"/>
        <v>0</v>
      </c>
      <c r="W13" s="134">
        <f t="shared" si="9"/>
        <v>0</v>
      </c>
      <c r="X13" s="131">
        <f t="shared" si="10"/>
        <v>0</v>
      </c>
      <c r="Y13" s="132">
        <f t="shared" si="11"/>
        <v>0</v>
      </c>
      <c r="Z13" s="133">
        <f t="shared" si="12"/>
        <v>0</v>
      </c>
      <c r="AA13" s="134">
        <f t="shared" si="13"/>
        <v>0</v>
      </c>
      <c r="AB13" s="131">
        <f t="shared" si="14"/>
        <v>0</v>
      </c>
      <c r="AC13" s="132">
        <f t="shared" si="15"/>
        <v>0</v>
      </c>
      <c r="AD13" s="133">
        <f t="shared" si="16"/>
        <v>0</v>
      </c>
      <c r="AE13" s="130">
        <f t="shared" si="17"/>
        <v>0</v>
      </c>
      <c r="AF13" s="131">
        <f t="shared" si="18"/>
        <v>0</v>
      </c>
      <c r="AG13" s="130">
        <f t="shared" si="19"/>
        <v>0</v>
      </c>
      <c r="AH13" s="133">
        <f t="shared" si="20"/>
        <v>0</v>
      </c>
      <c r="AI13" s="134">
        <f t="shared" si="21"/>
        <v>0</v>
      </c>
      <c r="AJ13" s="131">
        <f t="shared" si="22"/>
        <v>0</v>
      </c>
      <c r="AK13" s="135">
        <f t="shared" si="23"/>
        <v>0</v>
      </c>
      <c r="AL13" s="7"/>
    </row>
    <row r="14" spans="1:38" ht="26.1" customHeight="1">
      <c r="A14" s="21">
        <v>7</v>
      </c>
      <c r="B14" s="2"/>
      <c r="C14" s="81"/>
      <c r="D14" s="86" t="s">
        <v>49</v>
      </c>
      <c r="E14" s="53"/>
      <c r="F14" s="86" t="s">
        <v>46</v>
      </c>
      <c r="G14" s="86" t="s">
        <v>111</v>
      </c>
      <c r="H14" s="81"/>
      <c r="I14" s="86" t="s">
        <v>49</v>
      </c>
      <c r="J14" s="53"/>
      <c r="K14" s="86" t="s">
        <v>48</v>
      </c>
      <c r="L14" s="28"/>
      <c r="M14" s="29"/>
      <c r="N14" s="129">
        <f t="shared" si="0"/>
        <v>0</v>
      </c>
      <c r="O14" s="130">
        <f t="shared" si="1"/>
        <v>0</v>
      </c>
      <c r="P14" s="131">
        <f t="shared" si="2"/>
        <v>0</v>
      </c>
      <c r="Q14" s="132">
        <f t="shared" si="3"/>
        <v>0</v>
      </c>
      <c r="R14" s="133">
        <f t="shared" si="4"/>
        <v>0</v>
      </c>
      <c r="S14" s="134">
        <f t="shared" si="5"/>
        <v>0</v>
      </c>
      <c r="T14" s="131">
        <f t="shared" si="6"/>
        <v>0</v>
      </c>
      <c r="U14" s="132">
        <f t="shared" si="7"/>
        <v>0</v>
      </c>
      <c r="V14" s="133">
        <f t="shared" si="8"/>
        <v>0</v>
      </c>
      <c r="W14" s="134">
        <f t="shared" si="9"/>
        <v>0</v>
      </c>
      <c r="X14" s="131">
        <f t="shared" si="10"/>
        <v>0</v>
      </c>
      <c r="Y14" s="132">
        <f t="shared" si="11"/>
        <v>0</v>
      </c>
      <c r="Z14" s="133">
        <f t="shared" si="12"/>
        <v>0</v>
      </c>
      <c r="AA14" s="134">
        <f t="shared" si="13"/>
        <v>0</v>
      </c>
      <c r="AB14" s="131">
        <f t="shared" si="14"/>
        <v>0</v>
      </c>
      <c r="AC14" s="132">
        <f t="shared" si="15"/>
        <v>0</v>
      </c>
      <c r="AD14" s="133">
        <f t="shared" si="16"/>
        <v>0</v>
      </c>
      <c r="AE14" s="130">
        <f t="shared" si="17"/>
        <v>0</v>
      </c>
      <c r="AF14" s="131">
        <f t="shared" si="18"/>
        <v>0</v>
      </c>
      <c r="AG14" s="130">
        <f t="shared" si="19"/>
        <v>0</v>
      </c>
      <c r="AH14" s="133">
        <f t="shared" si="20"/>
        <v>0</v>
      </c>
      <c r="AI14" s="134">
        <f t="shared" si="21"/>
        <v>0</v>
      </c>
      <c r="AJ14" s="131">
        <f t="shared" si="22"/>
        <v>0</v>
      </c>
      <c r="AK14" s="135">
        <f t="shared" si="23"/>
        <v>0</v>
      </c>
      <c r="AL14" s="7"/>
    </row>
    <row r="15" spans="1:38" ht="26.1" customHeight="1">
      <c r="A15" s="21">
        <v>8</v>
      </c>
      <c r="B15" s="2"/>
      <c r="C15" s="81"/>
      <c r="D15" s="86" t="s">
        <v>49</v>
      </c>
      <c r="E15" s="53"/>
      <c r="F15" s="86" t="s">
        <v>46</v>
      </c>
      <c r="G15" s="86" t="s">
        <v>111</v>
      </c>
      <c r="H15" s="81"/>
      <c r="I15" s="86" t="s">
        <v>49</v>
      </c>
      <c r="J15" s="53"/>
      <c r="K15" s="86" t="s">
        <v>48</v>
      </c>
      <c r="L15" s="28"/>
      <c r="M15" s="29"/>
      <c r="N15" s="129">
        <f t="shared" si="0"/>
        <v>0</v>
      </c>
      <c r="O15" s="130">
        <f t="shared" si="1"/>
        <v>0</v>
      </c>
      <c r="P15" s="131">
        <f t="shared" si="2"/>
        <v>0</v>
      </c>
      <c r="Q15" s="132">
        <f t="shared" si="3"/>
        <v>0</v>
      </c>
      <c r="R15" s="133">
        <f t="shared" si="4"/>
        <v>0</v>
      </c>
      <c r="S15" s="134">
        <f t="shared" si="5"/>
        <v>0</v>
      </c>
      <c r="T15" s="131">
        <f t="shared" si="6"/>
        <v>0</v>
      </c>
      <c r="U15" s="132">
        <f t="shared" si="7"/>
        <v>0</v>
      </c>
      <c r="V15" s="133">
        <f t="shared" si="8"/>
        <v>0</v>
      </c>
      <c r="W15" s="134">
        <f t="shared" si="9"/>
        <v>0</v>
      </c>
      <c r="X15" s="131">
        <f t="shared" si="10"/>
        <v>0</v>
      </c>
      <c r="Y15" s="132">
        <f t="shared" si="11"/>
        <v>0</v>
      </c>
      <c r="Z15" s="133">
        <f t="shared" si="12"/>
        <v>0</v>
      </c>
      <c r="AA15" s="134">
        <f t="shared" si="13"/>
        <v>0</v>
      </c>
      <c r="AB15" s="131">
        <f t="shared" si="14"/>
        <v>0</v>
      </c>
      <c r="AC15" s="132">
        <f t="shared" si="15"/>
        <v>0</v>
      </c>
      <c r="AD15" s="133">
        <f t="shared" si="16"/>
        <v>0</v>
      </c>
      <c r="AE15" s="130">
        <f t="shared" si="17"/>
        <v>0</v>
      </c>
      <c r="AF15" s="131">
        <f t="shared" si="18"/>
        <v>0</v>
      </c>
      <c r="AG15" s="130">
        <f t="shared" si="19"/>
        <v>0</v>
      </c>
      <c r="AH15" s="133">
        <f t="shared" si="20"/>
        <v>0</v>
      </c>
      <c r="AI15" s="134">
        <f t="shared" si="21"/>
        <v>0</v>
      </c>
      <c r="AJ15" s="131">
        <f t="shared" si="22"/>
        <v>0</v>
      </c>
      <c r="AK15" s="135">
        <f t="shared" si="23"/>
        <v>0</v>
      </c>
      <c r="AL15" s="7"/>
    </row>
    <row r="16" spans="1:38" ht="26.1" customHeight="1">
      <c r="A16" s="21">
        <v>9</v>
      </c>
      <c r="B16" s="2"/>
      <c r="C16" s="81"/>
      <c r="D16" s="86" t="s">
        <v>49</v>
      </c>
      <c r="E16" s="53"/>
      <c r="F16" s="86" t="s">
        <v>46</v>
      </c>
      <c r="G16" s="86" t="s">
        <v>111</v>
      </c>
      <c r="H16" s="81"/>
      <c r="I16" s="86" t="s">
        <v>49</v>
      </c>
      <c r="J16" s="53"/>
      <c r="K16" s="86" t="s">
        <v>48</v>
      </c>
      <c r="L16" s="28"/>
      <c r="M16" s="29"/>
      <c r="N16" s="129">
        <f t="shared" si="0"/>
        <v>0</v>
      </c>
      <c r="O16" s="130">
        <f t="shared" si="1"/>
        <v>0</v>
      </c>
      <c r="P16" s="131">
        <f t="shared" si="2"/>
        <v>0</v>
      </c>
      <c r="Q16" s="132">
        <f t="shared" si="3"/>
        <v>0</v>
      </c>
      <c r="R16" s="133">
        <f t="shared" si="4"/>
        <v>0</v>
      </c>
      <c r="S16" s="134">
        <f t="shared" si="5"/>
        <v>0</v>
      </c>
      <c r="T16" s="131">
        <f t="shared" si="6"/>
        <v>0</v>
      </c>
      <c r="U16" s="132">
        <f t="shared" si="7"/>
        <v>0</v>
      </c>
      <c r="V16" s="133">
        <f t="shared" si="8"/>
        <v>0</v>
      </c>
      <c r="W16" s="134">
        <f t="shared" si="9"/>
        <v>0</v>
      </c>
      <c r="X16" s="131">
        <f t="shared" si="10"/>
        <v>0</v>
      </c>
      <c r="Y16" s="132">
        <f t="shared" si="11"/>
        <v>0</v>
      </c>
      <c r="Z16" s="133">
        <f t="shared" si="12"/>
        <v>0</v>
      </c>
      <c r="AA16" s="134">
        <f t="shared" si="13"/>
        <v>0</v>
      </c>
      <c r="AB16" s="131">
        <f t="shared" si="14"/>
        <v>0</v>
      </c>
      <c r="AC16" s="132">
        <f t="shared" si="15"/>
        <v>0</v>
      </c>
      <c r="AD16" s="133">
        <f t="shared" si="16"/>
        <v>0</v>
      </c>
      <c r="AE16" s="130">
        <f t="shared" si="17"/>
        <v>0</v>
      </c>
      <c r="AF16" s="131">
        <f t="shared" si="18"/>
        <v>0</v>
      </c>
      <c r="AG16" s="130">
        <f t="shared" si="19"/>
        <v>0</v>
      </c>
      <c r="AH16" s="133">
        <f t="shared" si="20"/>
        <v>0</v>
      </c>
      <c r="AI16" s="134">
        <f t="shared" si="21"/>
        <v>0</v>
      </c>
      <c r="AJ16" s="131">
        <f t="shared" si="22"/>
        <v>0</v>
      </c>
      <c r="AK16" s="135">
        <f t="shared" si="23"/>
        <v>0</v>
      </c>
      <c r="AL16" s="7"/>
    </row>
    <row r="17" spans="1:38" ht="26.1" customHeight="1">
      <c r="A17" s="215">
        <v>10</v>
      </c>
      <c r="B17" s="2"/>
      <c r="C17" s="81"/>
      <c r="D17" s="86" t="s">
        <v>49</v>
      </c>
      <c r="E17" s="53"/>
      <c r="F17" s="86" t="s">
        <v>46</v>
      </c>
      <c r="G17" s="86" t="s">
        <v>47</v>
      </c>
      <c r="H17" s="81"/>
      <c r="I17" s="86" t="s">
        <v>49</v>
      </c>
      <c r="J17" s="53"/>
      <c r="K17" s="86" t="s">
        <v>48</v>
      </c>
      <c r="L17" s="28"/>
      <c r="M17" s="29"/>
      <c r="N17" s="129">
        <f t="shared" si="0"/>
        <v>0</v>
      </c>
      <c r="O17" s="130">
        <f t="shared" si="1"/>
        <v>0</v>
      </c>
      <c r="P17" s="131">
        <f t="shared" si="2"/>
        <v>0</v>
      </c>
      <c r="Q17" s="132">
        <f t="shared" si="3"/>
        <v>0</v>
      </c>
      <c r="R17" s="133">
        <f t="shared" si="4"/>
        <v>0</v>
      </c>
      <c r="S17" s="134">
        <f t="shared" si="5"/>
        <v>0</v>
      </c>
      <c r="T17" s="131">
        <f t="shared" si="6"/>
        <v>0</v>
      </c>
      <c r="U17" s="132">
        <f t="shared" si="7"/>
        <v>0</v>
      </c>
      <c r="V17" s="133">
        <f t="shared" si="8"/>
        <v>0</v>
      </c>
      <c r="W17" s="134">
        <f t="shared" si="9"/>
        <v>0</v>
      </c>
      <c r="X17" s="131">
        <f t="shared" si="10"/>
        <v>0</v>
      </c>
      <c r="Y17" s="132">
        <f t="shared" si="11"/>
        <v>0</v>
      </c>
      <c r="Z17" s="133">
        <f t="shared" si="12"/>
        <v>0</v>
      </c>
      <c r="AA17" s="134">
        <f t="shared" si="13"/>
        <v>0</v>
      </c>
      <c r="AB17" s="131">
        <f t="shared" si="14"/>
        <v>0</v>
      </c>
      <c r="AC17" s="132">
        <f t="shared" si="15"/>
        <v>0</v>
      </c>
      <c r="AD17" s="133">
        <f t="shared" si="16"/>
        <v>0</v>
      </c>
      <c r="AE17" s="130">
        <f t="shared" si="17"/>
        <v>0</v>
      </c>
      <c r="AF17" s="131">
        <f t="shared" si="18"/>
        <v>0</v>
      </c>
      <c r="AG17" s="130">
        <f t="shared" si="19"/>
        <v>0</v>
      </c>
      <c r="AH17" s="133">
        <f t="shared" si="20"/>
        <v>0</v>
      </c>
      <c r="AI17" s="134">
        <f t="shared" si="21"/>
        <v>0</v>
      </c>
      <c r="AJ17" s="131">
        <f t="shared" si="22"/>
        <v>0</v>
      </c>
      <c r="AK17" s="135">
        <f t="shared" si="23"/>
        <v>0</v>
      </c>
      <c r="AL17" s="219"/>
    </row>
    <row r="18" spans="1:38" ht="26.1" customHeight="1">
      <c r="A18" s="215">
        <v>11</v>
      </c>
      <c r="B18" s="2"/>
      <c r="C18" s="81"/>
      <c r="D18" s="86" t="s">
        <v>49</v>
      </c>
      <c r="E18" s="53"/>
      <c r="F18" s="86" t="s">
        <v>46</v>
      </c>
      <c r="G18" s="86" t="s">
        <v>47</v>
      </c>
      <c r="H18" s="81"/>
      <c r="I18" s="86" t="s">
        <v>49</v>
      </c>
      <c r="J18" s="53"/>
      <c r="K18" s="86" t="s">
        <v>48</v>
      </c>
      <c r="L18" s="28"/>
      <c r="M18" s="29"/>
      <c r="N18" s="129">
        <f t="shared" si="0"/>
        <v>0</v>
      </c>
      <c r="O18" s="130">
        <f t="shared" si="1"/>
        <v>0</v>
      </c>
      <c r="P18" s="131">
        <f t="shared" si="2"/>
        <v>0</v>
      </c>
      <c r="Q18" s="132">
        <f t="shared" si="3"/>
        <v>0</v>
      </c>
      <c r="R18" s="133">
        <f t="shared" si="4"/>
        <v>0</v>
      </c>
      <c r="S18" s="134">
        <f t="shared" si="5"/>
        <v>0</v>
      </c>
      <c r="T18" s="131">
        <f t="shared" si="6"/>
        <v>0</v>
      </c>
      <c r="U18" s="132">
        <f t="shared" si="7"/>
        <v>0</v>
      </c>
      <c r="V18" s="133">
        <f t="shared" si="8"/>
        <v>0</v>
      </c>
      <c r="W18" s="134">
        <f t="shared" si="9"/>
        <v>0</v>
      </c>
      <c r="X18" s="131">
        <f t="shared" si="10"/>
        <v>0</v>
      </c>
      <c r="Y18" s="132">
        <f t="shared" si="11"/>
        <v>0</v>
      </c>
      <c r="Z18" s="133">
        <f t="shared" si="12"/>
        <v>0</v>
      </c>
      <c r="AA18" s="134">
        <f t="shared" si="13"/>
        <v>0</v>
      </c>
      <c r="AB18" s="131">
        <f t="shared" si="14"/>
        <v>0</v>
      </c>
      <c r="AC18" s="132">
        <f t="shared" si="15"/>
        <v>0</v>
      </c>
      <c r="AD18" s="133">
        <f t="shared" si="16"/>
        <v>0</v>
      </c>
      <c r="AE18" s="130">
        <f t="shared" si="17"/>
        <v>0</v>
      </c>
      <c r="AF18" s="131">
        <f t="shared" si="18"/>
        <v>0</v>
      </c>
      <c r="AG18" s="130">
        <f t="shared" si="19"/>
        <v>0</v>
      </c>
      <c r="AH18" s="133">
        <f t="shared" si="20"/>
        <v>0</v>
      </c>
      <c r="AI18" s="134">
        <f t="shared" si="21"/>
        <v>0</v>
      </c>
      <c r="AJ18" s="131">
        <f t="shared" si="22"/>
        <v>0</v>
      </c>
      <c r="AK18" s="135">
        <f t="shared" si="23"/>
        <v>0</v>
      </c>
      <c r="AL18" s="219"/>
    </row>
    <row r="19" spans="1:38" ht="26.1" customHeight="1">
      <c r="A19" s="215">
        <v>12</v>
      </c>
      <c r="B19" s="2"/>
      <c r="C19" s="81"/>
      <c r="D19" s="86" t="s">
        <v>49</v>
      </c>
      <c r="E19" s="53"/>
      <c r="F19" s="86" t="s">
        <v>46</v>
      </c>
      <c r="G19" s="86" t="s">
        <v>47</v>
      </c>
      <c r="H19" s="81"/>
      <c r="I19" s="86" t="s">
        <v>49</v>
      </c>
      <c r="J19" s="53"/>
      <c r="K19" s="86" t="s">
        <v>48</v>
      </c>
      <c r="L19" s="28"/>
      <c r="M19" s="29"/>
      <c r="N19" s="129">
        <f t="shared" si="0"/>
        <v>0</v>
      </c>
      <c r="O19" s="130">
        <f t="shared" si="1"/>
        <v>0</v>
      </c>
      <c r="P19" s="131">
        <f t="shared" si="2"/>
        <v>0</v>
      </c>
      <c r="Q19" s="132">
        <f t="shared" si="3"/>
        <v>0</v>
      </c>
      <c r="R19" s="133">
        <f t="shared" si="4"/>
        <v>0</v>
      </c>
      <c r="S19" s="134">
        <f t="shared" si="5"/>
        <v>0</v>
      </c>
      <c r="T19" s="131">
        <f t="shared" si="6"/>
        <v>0</v>
      </c>
      <c r="U19" s="132">
        <f t="shared" si="7"/>
        <v>0</v>
      </c>
      <c r="V19" s="133">
        <f t="shared" si="8"/>
        <v>0</v>
      </c>
      <c r="W19" s="134">
        <f t="shared" si="9"/>
        <v>0</v>
      </c>
      <c r="X19" s="131">
        <f t="shared" si="10"/>
        <v>0</v>
      </c>
      <c r="Y19" s="132">
        <f t="shared" si="11"/>
        <v>0</v>
      </c>
      <c r="Z19" s="133">
        <f t="shared" si="12"/>
        <v>0</v>
      </c>
      <c r="AA19" s="134">
        <f t="shared" si="13"/>
        <v>0</v>
      </c>
      <c r="AB19" s="131">
        <f t="shared" si="14"/>
        <v>0</v>
      </c>
      <c r="AC19" s="132">
        <f t="shared" si="15"/>
        <v>0</v>
      </c>
      <c r="AD19" s="133">
        <f t="shared" si="16"/>
        <v>0</v>
      </c>
      <c r="AE19" s="130">
        <f t="shared" si="17"/>
        <v>0</v>
      </c>
      <c r="AF19" s="131">
        <f t="shared" si="18"/>
        <v>0</v>
      </c>
      <c r="AG19" s="130">
        <f t="shared" si="19"/>
        <v>0</v>
      </c>
      <c r="AH19" s="133">
        <f t="shared" si="20"/>
        <v>0</v>
      </c>
      <c r="AI19" s="134">
        <f t="shared" si="21"/>
        <v>0</v>
      </c>
      <c r="AJ19" s="131">
        <f t="shared" si="22"/>
        <v>0</v>
      </c>
      <c r="AK19" s="135">
        <f t="shared" si="23"/>
        <v>0</v>
      </c>
      <c r="AL19" s="219"/>
    </row>
    <row r="20" spans="1:38" ht="26.1" customHeight="1">
      <c r="A20" s="215">
        <v>13</v>
      </c>
      <c r="B20" s="2"/>
      <c r="C20" s="81"/>
      <c r="D20" s="86" t="s">
        <v>49</v>
      </c>
      <c r="E20" s="53"/>
      <c r="F20" s="86" t="s">
        <v>46</v>
      </c>
      <c r="G20" s="86" t="s">
        <v>47</v>
      </c>
      <c r="H20" s="81"/>
      <c r="I20" s="86" t="s">
        <v>49</v>
      </c>
      <c r="J20" s="53"/>
      <c r="K20" s="86" t="s">
        <v>48</v>
      </c>
      <c r="L20" s="28"/>
      <c r="M20" s="29"/>
      <c r="N20" s="129">
        <f t="shared" si="0"/>
        <v>0</v>
      </c>
      <c r="O20" s="130">
        <f t="shared" si="1"/>
        <v>0</v>
      </c>
      <c r="P20" s="131">
        <f t="shared" si="2"/>
        <v>0</v>
      </c>
      <c r="Q20" s="132">
        <f t="shared" si="3"/>
        <v>0</v>
      </c>
      <c r="R20" s="133">
        <f t="shared" si="4"/>
        <v>0</v>
      </c>
      <c r="S20" s="134">
        <f t="shared" si="5"/>
        <v>0</v>
      </c>
      <c r="T20" s="131">
        <f t="shared" si="6"/>
        <v>0</v>
      </c>
      <c r="U20" s="132">
        <f t="shared" si="7"/>
        <v>0</v>
      </c>
      <c r="V20" s="133">
        <f t="shared" si="8"/>
        <v>0</v>
      </c>
      <c r="W20" s="134">
        <f t="shared" si="9"/>
        <v>0</v>
      </c>
      <c r="X20" s="131">
        <f t="shared" si="10"/>
        <v>0</v>
      </c>
      <c r="Y20" s="132">
        <f t="shared" si="11"/>
        <v>0</v>
      </c>
      <c r="Z20" s="133">
        <f t="shared" si="12"/>
        <v>0</v>
      </c>
      <c r="AA20" s="134">
        <f t="shared" si="13"/>
        <v>0</v>
      </c>
      <c r="AB20" s="131">
        <f t="shared" si="14"/>
        <v>0</v>
      </c>
      <c r="AC20" s="132">
        <f t="shared" si="15"/>
        <v>0</v>
      </c>
      <c r="AD20" s="133">
        <f t="shared" si="16"/>
        <v>0</v>
      </c>
      <c r="AE20" s="130">
        <f t="shared" si="17"/>
        <v>0</v>
      </c>
      <c r="AF20" s="131">
        <f t="shared" si="18"/>
        <v>0</v>
      </c>
      <c r="AG20" s="130">
        <f t="shared" si="19"/>
        <v>0</v>
      </c>
      <c r="AH20" s="133">
        <f t="shared" si="20"/>
        <v>0</v>
      </c>
      <c r="AI20" s="134">
        <f t="shared" si="21"/>
        <v>0</v>
      </c>
      <c r="AJ20" s="131">
        <f t="shared" si="22"/>
        <v>0</v>
      </c>
      <c r="AK20" s="135">
        <f t="shared" si="23"/>
        <v>0</v>
      </c>
      <c r="AL20" s="219"/>
    </row>
    <row r="21" spans="1:38" ht="26.1" customHeight="1">
      <c r="A21" s="215">
        <v>14</v>
      </c>
      <c r="B21" s="2"/>
      <c r="C21" s="81"/>
      <c r="D21" s="86" t="s">
        <v>49</v>
      </c>
      <c r="E21" s="53"/>
      <c r="F21" s="86" t="s">
        <v>46</v>
      </c>
      <c r="G21" s="86" t="s">
        <v>47</v>
      </c>
      <c r="H21" s="81"/>
      <c r="I21" s="86" t="s">
        <v>49</v>
      </c>
      <c r="J21" s="53"/>
      <c r="K21" s="86" t="s">
        <v>48</v>
      </c>
      <c r="L21" s="28"/>
      <c r="M21" s="29"/>
      <c r="N21" s="129">
        <f t="shared" si="0"/>
        <v>0</v>
      </c>
      <c r="O21" s="130">
        <f t="shared" si="1"/>
        <v>0</v>
      </c>
      <c r="P21" s="131">
        <f t="shared" si="2"/>
        <v>0</v>
      </c>
      <c r="Q21" s="132">
        <f t="shared" si="3"/>
        <v>0</v>
      </c>
      <c r="R21" s="133">
        <f t="shared" si="4"/>
        <v>0</v>
      </c>
      <c r="S21" s="134">
        <f t="shared" si="5"/>
        <v>0</v>
      </c>
      <c r="T21" s="131">
        <f t="shared" si="6"/>
        <v>0</v>
      </c>
      <c r="U21" s="132">
        <f t="shared" si="7"/>
        <v>0</v>
      </c>
      <c r="V21" s="133">
        <f t="shared" si="8"/>
        <v>0</v>
      </c>
      <c r="W21" s="134">
        <f t="shared" si="9"/>
        <v>0</v>
      </c>
      <c r="X21" s="131">
        <f t="shared" si="10"/>
        <v>0</v>
      </c>
      <c r="Y21" s="132">
        <f t="shared" si="11"/>
        <v>0</v>
      </c>
      <c r="Z21" s="133">
        <f t="shared" si="12"/>
        <v>0</v>
      </c>
      <c r="AA21" s="134">
        <f t="shared" si="13"/>
        <v>0</v>
      </c>
      <c r="AB21" s="131">
        <f t="shared" si="14"/>
        <v>0</v>
      </c>
      <c r="AC21" s="132">
        <f t="shared" si="15"/>
        <v>0</v>
      </c>
      <c r="AD21" s="133">
        <f t="shared" si="16"/>
        <v>0</v>
      </c>
      <c r="AE21" s="130">
        <f t="shared" si="17"/>
        <v>0</v>
      </c>
      <c r="AF21" s="131">
        <f t="shared" si="18"/>
        <v>0</v>
      </c>
      <c r="AG21" s="130">
        <f t="shared" si="19"/>
        <v>0</v>
      </c>
      <c r="AH21" s="133">
        <f t="shared" si="20"/>
        <v>0</v>
      </c>
      <c r="AI21" s="134">
        <f t="shared" si="21"/>
        <v>0</v>
      </c>
      <c r="AJ21" s="131">
        <f t="shared" si="22"/>
        <v>0</v>
      </c>
      <c r="AK21" s="135">
        <f t="shared" si="23"/>
        <v>0</v>
      </c>
      <c r="AL21" s="219"/>
    </row>
    <row r="22" spans="1:38" ht="26.1" customHeight="1">
      <c r="A22" s="215">
        <v>15</v>
      </c>
      <c r="B22" s="2"/>
      <c r="C22" s="81"/>
      <c r="D22" s="86" t="s">
        <v>49</v>
      </c>
      <c r="E22" s="53"/>
      <c r="F22" s="86" t="s">
        <v>46</v>
      </c>
      <c r="G22" s="86" t="s">
        <v>47</v>
      </c>
      <c r="H22" s="81"/>
      <c r="I22" s="86" t="s">
        <v>49</v>
      </c>
      <c r="J22" s="53"/>
      <c r="K22" s="86" t="s">
        <v>48</v>
      </c>
      <c r="L22" s="28"/>
      <c r="M22" s="29"/>
      <c r="N22" s="129">
        <f t="shared" si="0"/>
        <v>0</v>
      </c>
      <c r="O22" s="130">
        <f t="shared" si="1"/>
        <v>0</v>
      </c>
      <c r="P22" s="131">
        <f t="shared" si="2"/>
        <v>0</v>
      </c>
      <c r="Q22" s="132">
        <f t="shared" si="3"/>
        <v>0</v>
      </c>
      <c r="R22" s="133">
        <f t="shared" si="4"/>
        <v>0</v>
      </c>
      <c r="S22" s="134">
        <f t="shared" si="5"/>
        <v>0</v>
      </c>
      <c r="T22" s="131">
        <f t="shared" si="6"/>
        <v>0</v>
      </c>
      <c r="U22" s="132">
        <f t="shared" si="7"/>
        <v>0</v>
      </c>
      <c r="V22" s="133">
        <f t="shared" si="8"/>
        <v>0</v>
      </c>
      <c r="W22" s="134">
        <f t="shared" si="9"/>
        <v>0</v>
      </c>
      <c r="X22" s="131">
        <f t="shared" si="10"/>
        <v>0</v>
      </c>
      <c r="Y22" s="132">
        <f t="shared" si="11"/>
        <v>0</v>
      </c>
      <c r="Z22" s="133">
        <f t="shared" si="12"/>
        <v>0</v>
      </c>
      <c r="AA22" s="134">
        <f t="shared" si="13"/>
        <v>0</v>
      </c>
      <c r="AB22" s="131">
        <f t="shared" si="14"/>
        <v>0</v>
      </c>
      <c r="AC22" s="132">
        <f t="shared" si="15"/>
        <v>0</v>
      </c>
      <c r="AD22" s="133">
        <f t="shared" si="16"/>
        <v>0</v>
      </c>
      <c r="AE22" s="130">
        <f t="shared" si="17"/>
        <v>0</v>
      </c>
      <c r="AF22" s="131">
        <f t="shared" si="18"/>
        <v>0</v>
      </c>
      <c r="AG22" s="130">
        <f t="shared" si="19"/>
        <v>0</v>
      </c>
      <c r="AH22" s="133">
        <f t="shared" si="20"/>
        <v>0</v>
      </c>
      <c r="AI22" s="134">
        <f t="shared" si="21"/>
        <v>0</v>
      </c>
      <c r="AJ22" s="131">
        <f t="shared" si="22"/>
        <v>0</v>
      </c>
      <c r="AK22" s="135">
        <f t="shared" si="23"/>
        <v>0</v>
      </c>
      <c r="AL22" s="219"/>
    </row>
    <row r="23" spans="1:38" ht="26.1" customHeight="1">
      <c r="A23" s="215">
        <v>16</v>
      </c>
      <c r="B23" s="2"/>
      <c r="C23" s="81"/>
      <c r="D23" s="86" t="s">
        <v>49</v>
      </c>
      <c r="E23" s="53"/>
      <c r="F23" s="86" t="s">
        <v>46</v>
      </c>
      <c r="G23" s="86" t="s">
        <v>47</v>
      </c>
      <c r="H23" s="81"/>
      <c r="I23" s="86" t="s">
        <v>49</v>
      </c>
      <c r="J23" s="53"/>
      <c r="K23" s="86" t="s">
        <v>48</v>
      </c>
      <c r="L23" s="28"/>
      <c r="M23" s="29"/>
      <c r="N23" s="129">
        <f t="shared" si="0"/>
        <v>0</v>
      </c>
      <c r="O23" s="130">
        <f t="shared" si="1"/>
        <v>0</v>
      </c>
      <c r="P23" s="131">
        <f t="shared" si="2"/>
        <v>0</v>
      </c>
      <c r="Q23" s="132">
        <f t="shared" si="3"/>
        <v>0</v>
      </c>
      <c r="R23" s="133">
        <f t="shared" si="4"/>
        <v>0</v>
      </c>
      <c r="S23" s="134">
        <f t="shared" si="5"/>
        <v>0</v>
      </c>
      <c r="T23" s="131">
        <f t="shared" si="6"/>
        <v>0</v>
      </c>
      <c r="U23" s="132">
        <f t="shared" si="7"/>
        <v>0</v>
      </c>
      <c r="V23" s="133">
        <f t="shared" si="8"/>
        <v>0</v>
      </c>
      <c r="W23" s="134">
        <f t="shared" si="9"/>
        <v>0</v>
      </c>
      <c r="X23" s="131">
        <f t="shared" si="10"/>
        <v>0</v>
      </c>
      <c r="Y23" s="132">
        <f t="shared" si="11"/>
        <v>0</v>
      </c>
      <c r="Z23" s="133">
        <f t="shared" si="12"/>
        <v>0</v>
      </c>
      <c r="AA23" s="134">
        <f t="shared" si="13"/>
        <v>0</v>
      </c>
      <c r="AB23" s="131">
        <f t="shared" si="14"/>
        <v>0</v>
      </c>
      <c r="AC23" s="132">
        <f t="shared" si="15"/>
        <v>0</v>
      </c>
      <c r="AD23" s="133">
        <f t="shared" si="16"/>
        <v>0</v>
      </c>
      <c r="AE23" s="130">
        <f t="shared" si="17"/>
        <v>0</v>
      </c>
      <c r="AF23" s="131">
        <f t="shared" si="18"/>
        <v>0</v>
      </c>
      <c r="AG23" s="130">
        <f t="shared" si="19"/>
        <v>0</v>
      </c>
      <c r="AH23" s="133">
        <f t="shared" si="20"/>
        <v>0</v>
      </c>
      <c r="AI23" s="134">
        <f t="shared" si="21"/>
        <v>0</v>
      </c>
      <c r="AJ23" s="131">
        <f t="shared" si="22"/>
        <v>0</v>
      </c>
      <c r="AK23" s="135">
        <f t="shared" si="23"/>
        <v>0</v>
      </c>
      <c r="AL23" s="219"/>
    </row>
    <row r="24" spans="1:38" ht="26.1" customHeight="1">
      <c r="A24" s="215">
        <v>17</v>
      </c>
      <c r="B24" s="2"/>
      <c r="C24" s="81"/>
      <c r="D24" s="86" t="s">
        <v>49</v>
      </c>
      <c r="E24" s="53"/>
      <c r="F24" s="86" t="s">
        <v>46</v>
      </c>
      <c r="G24" s="86" t="s">
        <v>47</v>
      </c>
      <c r="H24" s="81"/>
      <c r="I24" s="86" t="s">
        <v>49</v>
      </c>
      <c r="J24" s="53"/>
      <c r="K24" s="86" t="s">
        <v>48</v>
      </c>
      <c r="L24" s="28"/>
      <c r="M24" s="29"/>
      <c r="N24" s="129">
        <f t="shared" si="0"/>
        <v>0</v>
      </c>
      <c r="O24" s="130">
        <f t="shared" si="1"/>
        <v>0</v>
      </c>
      <c r="P24" s="131">
        <f t="shared" si="2"/>
        <v>0</v>
      </c>
      <c r="Q24" s="132">
        <f t="shared" si="3"/>
        <v>0</v>
      </c>
      <c r="R24" s="133">
        <f t="shared" si="4"/>
        <v>0</v>
      </c>
      <c r="S24" s="134">
        <f t="shared" si="5"/>
        <v>0</v>
      </c>
      <c r="T24" s="131">
        <f t="shared" si="6"/>
        <v>0</v>
      </c>
      <c r="U24" s="132">
        <f t="shared" si="7"/>
        <v>0</v>
      </c>
      <c r="V24" s="133">
        <f t="shared" si="8"/>
        <v>0</v>
      </c>
      <c r="W24" s="134">
        <f t="shared" si="9"/>
        <v>0</v>
      </c>
      <c r="X24" s="131">
        <f t="shared" si="10"/>
        <v>0</v>
      </c>
      <c r="Y24" s="132">
        <f t="shared" si="11"/>
        <v>0</v>
      </c>
      <c r="Z24" s="133">
        <f t="shared" si="12"/>
        <v>0</v>
      </c>
      <c r="AA24" s="134">
        <f t="shared" si="13"/>
        <v>0</v>
      </c>
      <c r="AB24" s="131">
        <f t="shared" si="14"/>
        <v>0</v>
      </c>
      <c r="AC24" s="132">
        <f t="shared" si="15"/>
        <v>0</v>
      </c>
      <c r="AD24" s="133">
        <f t="shared" si="16"/>
        <v>0</v>
      </c>
      <c r="AE24" s="130">
        <f t="shared" si="17"/>
        <v>0</v>
      </c>
      <c r="AF24" s="131">
        <f t="shared" si="18"/>
        <v>0</v>
      </c>
      <c r="AG24" s="130">
        <f t="shared" si="19"/>
        <v>0</v>
      </c>
      <c r="AH24" s="133">
        <f t="shared" si="20"/>
        <v>0</v>
      </c>
      <c r="AI24" s="134">
        <f t="shared" si="21"/>
        <v>0</v>
      </c>
      <c r="AJ24" s="131">
        <f t="shared" si="22"/>
        <v>0</v>
      </c>
      <c r="AK24" s="135">
        <f t="shared" si="23"/>
        <v>0</v>
      </c>
      <c r="AL24" s="219"/>
    </row>
    <row r="25" spans="1:38" ht="26.1" customHeight="1">
      <c r="A25" s="215">
        <v>18</v>
      </c>
      <c r="B25" s="2"/>
      <c r="C25" s="81"/>
      <c r="D25" s="86" t="s">
        <v>49</v>
      </c>
      <c r="E25" s="53"/>
      <c r="F25" s="86" t="s">
        <v>46</v>
      </c>
      <c r="G25" s="86" t="s">
        <v>47</v>
      </c>
      <c r="H25" s="81"/>
      <c r="I25" s="86" t="s">
        <v>49</v>
      </c>
      <c r="J25" s="53"/>
      <c r="K25" s="86" t="s">
        <v>48</v>
      </c>
      <c r="L25" s="28"/>
      <c r="M25" s="29"/>
      <c r="N25" s="129">
        <f t="shared" si="0"/>
        <v>0</v>
      </c>
      <c r="O25" s="130">
        <f t="shared" si="1"/>
        <v>0</v>
      </c>
      <c r="P25" s="131">
        <f t="shared" si="2"/>
        <v>0</v>
      </c>
      <c r="Q25" s="132">
        <f t="shared" si="3"/>
        <v>0</v>
      </c>
      <c r="R25" s="133">
        <f t="shared" si="4"/>
        <v>0</v>
      </c>
      <c r="S25" s="134">
        <f t="shared" si="5"/>
        <v>0</v>
      </c>
      <c r="T25" s="131">
        <f t="shared" si="6"/>
        <v>0</v>
      </c>
      <c r="U25" s="132">
        <f t="shared" si="7"/>
        <v>0</v>
      </c>
      <c r="V25" s="133">
        <f t="shared" si="8"/>
        <v>0</v>
      </c>
      <c r="W25" s="134">
        <f t="shared" si="9"/>
        <v>0</v>
      </c>
      <c r="X25" s="131">
        <f t="shared" si="10"/>
        <v>0</v>
      </c>
      <c r="Y25" s="132">
        <f t="shared" si="11"/>
        <v>0</v>
      </c>
      <c r="Z25" s="133">
        <f t="shared" si="12"/>
        <v>0</v>
      </c>
      <c r="AA25" s="134">
        <f t="shared" si="13"/>
        <v>0</v>
      </c>
      <c r="AB25" s="131">
        <f t="shared" si="14"/>
        <v>0</v>
      </c>
      <c r="AC25" s="132">
        <f t="shared" si="15"/>
        <v>0</v>
      </c>
      <c r="AD25" s="133">
        <f t="shared" si="16"/>
        <v>0</v>
      </c>
      <c r="AE25" s="130">
        <f t="shared" si="17"/>
        <v>0</v>
      </c>
      <c r="AF25" s="131">
        <f t="shared" si="18"/>
        <v>0</v>
      </c>
      <c r="AG25" s="130">
        <f t="shared" si="19"/>
        <v>0</v>
      </c>
      <c r="AH25" s="133">
        <f t="shared" si="20"/>
        <v>0</v>
      </c>
      <c r="AI25" s="134">
        <f t="shared" si="21"/>
        <v>0</v>
      </c>
      <c r="AJ25" s="131">
        <f t="shared" si="22"/>
        <v>0</v>
      </c>
      <c r="AK25" s="135">
        <f t="shared" si="23"/>
        <v>0</v>
      </c>
      <c r="AL25" s="219"/>
    </row>
    <row r="26" spans="1:38" ht="26.1" customHeight="1">
      <c r="A26" s="215">
        <v>19</v>
      </c>
      <c r="B26" s="2"/>
      <c r="C26" s="81"/>
      <c r="D26" s="86" t="s">
        <v>49</v>
      </c>
      <c r="E26" s="53"/>
      <c r="F26" s="86" t="s">
        <v>46</v>
      </c>
      <c r="G26" s="86" t="s">
        <v>47</v>
      </c>
      <c r="H26" s="81"/>
      <c r="I26" s="86" t="s">
        <v>49</v>
      </c>
      <c r="J26" s="53"/>
      <c r="K26" s="86" t="s">
        <v>48</v>
      </c>
      <c r="L26" s="28"/>
      <c r="M26" s="29"/>
      <c r="N26" s="129">
        <f t="shared" si="0"/>
        <v>0</v>
      </c>
      <c r="O26" s="130">
        <f t="shared" si="1"/>
        <v>0</v>
      </c>
      <c r="P26" s="131">
        <f t="shared" si="2"/>
        <v>0</v>
      </c>
      <c r="Q26" s="132">
        <f t="shared" si="3"/>
        <v>0</v>
      </c>
      <c r="R26" s="133">
        <f t="shared" si="4"/>
        <v>0</v>
      </c>
      <c r="S26" s="134">
        <f t="shared" si="5"/>
        <v>0</v>
      </c>
      <c r="T26" s="131">
        <f t="shared" si="6"/>
        <v>0</v>
      </c>
      <c r="U26" s="132">
        <f t="shared" si="7"/>
        <v>0</v>
      </c>
      <c r="V26" s="133">
        <f t="shared" si="8"/>
        <v>0</v>
      </c>
      <c r="W26" s="134">
        <f t="shared" si="9"/>
        <v>0</v>
      </c>
      <c r="X26" s="131">
        <f t="shared" si="10"/>
        <v>0</v>
      </c>
      <c r="Y26" s="132">
        <f t="shared" si="11"/>
        <v>0</v>
      </c>
      <c r="Z26" s="133">
        <f t="shared" si="12"/>
        <v>0</v>
      </c>
      <c r="AA26" s="134">
        <f t="shared" si="13"/>
        <v>0</v>
      </c>
      <c r="AB26" s="131">
        <f t="shared" si="14"/>
        <v>0</v>
      </c>
      <c r="AC26" s="132">
        <f t="shared" si="15"/>
        <v>0</v>
      </c>
      <c r="AD26" s="133">
        <f t="shared" si="16"/>
        <v>0</v>
      </c>
      <c r="AE26" s="130">
        <f t="shared" si="17"/>
        <v>0</v>
      </c>
      <c r="AF26" s="131">
        <f t="shared" si="18"/>
        <v>0</v>
      </c>
      <c r="AG26" s="130">
        <f t="shared" si="19"/>
        <v>0</v>
      </c>
      <c r="AH26" s="133">
        <f t="shared" si="20"/>
        <v>0</v>
      </c>
      <c r="AI26" s="134">
        <f t="shared" si="21"/>
        <v>0</v>
      </c>
      <c r="AJ26" s="131">
        <f t="shared" si="22"/>
        <v>0</v>
      </c>
      <c r="AK26" s="135">
        <f t="shared" si="23"/>
        <v>0</v>
      </c>
      <c r="AL26" s="219"/>
    </row>
    <row r="27" spans="1:38" ht="26.1" customHeight="1">
      <c r="A27" s="215">
        <v>20</v>
      </c>
      <c r="B27" s="2"/>
      <c r="C27" s="81"/>
      <c r="D27" s="86" t="s">
        <v>49</v>
      </c>
      <c r="E27" s="53"/>
      <c r="F27" s="86" t="s">
        <v>46</v>
      </c>
      <c r="G27" s="86" t="s">
        <v>111</v>
      </c>
      <c r="H27" s="81"/>
      <c r="I27" s="86" t="s">
        <v>49</v>
      </c>
      <c r="J27" s="53"/>
      <c r="K27" s="86" t="s">
        <v>48</v>
      </c>
      <c r="L27" s="28"/>
      <c r="M27" s="29"/>
      <c r="N27" s="129">
        <f t="shared" si="0"/>
        <v>0</v>
      </c>
      <c r="O27" s="130">
        <f t="shared" si="1"/>
        <v>0</v>
      </c>
      <c r="P27" s="131">
        <f t="shared" si="2"/>
        <v>0</v>
      </c>
      <c r="Q27" s="132">
        <f t="shared" si="3"/>
        <v>0</v>
      </c>
      <c r="R27" s="133">
        <f t="shared" si="4"/>
        <v>0</v>
      </c>
      <c r="S27" s="134">
        <f t="shared" si="5"/>
        <v>0</v>
      </c>
      <c r="T27" s="131">
        <f t="shared" si="6"/>
        <v>0</v>
      </c>
      <c r="U27" s="132">
        <f t="shared" si="7"/>
        <v>0</v>
      </c>
      <c r="V27" s="133">
        <f t="shared" si="8"/>
        <v>0</v>
      </c>
      <c r="W27" s="134">
        <f t="shared" si="9"/>
        <v>0</v>
      </c>
      <c r="X27" s="131">
        <f t="shared" si="10"/>
        <v>0</v>
      </c>
      <c r="Y27" s="132">
        <f t="shared" si="11"/>
        <v>0</v>
      </c>
      <c r="Z27" s="133">
        <f t="shared" si="12"/>
        <v>0</v>
      </c>
      <c r="AA27" s="134">
        <f t="shared" si="13"/>
        <v>0</v>
      </c>
      <c r="AB27" s="131">
        <f t="shared" si="14"/>
        <v>0</v>
      </c>
      <c r="AC27" s="132">
        <f t="shared" si="15"/>
        <v>0</v>
      </c>
      <c r="AD27" s="133">
        <f t="shared" si="16"/>
        <v>0</v>
      </c>
      <c r="AE27" s="130">
        <f t="shared" si="17"/>
        <v>0</v>
      </c>
      <c r="AF27" s="131">
        <f t="shared" si="18"/>
        <v>0</v>
      </c>
      <c r="AG27" s="130">
        <f t="shared" si="19"/>
        <v>0</v>
      </c>
      <c r="AH27" s="133">
        <f t="shared" si="20"/>
        <v>0</v>
      </c>
      <c r="AI27" s="134">
        <f t="shared" si="21"/>
        <v>0</v>
      </c>
      <c r="AJ27" s="131">
        <f t="shared" si="22"/>
        <v>0</v>
      </c>
      <c r="AK27" s="135">
        <f t="shared" si="23"/>
        <v>0</v>
      </c>
      <c r="AL27" s="7"/>
    </row>
    <row r="28" spans="1:38" ht="26.1" customHeight="1">
      <c r="A28" s="215">
        <v>21</v>
      </c>
      <c r="B28" s="2"/>
      <c r="C28" s="81"/>
      <c r="D28" s="86" t="s">
        <v>49</v>
      </c>
      <c r="E28" s="53"/>
      <c r="F28" s="86" t="s">
        <v>46</v>
      </c>
      <c r="G28" s="86" t="s">
        <v>111</v>
      </c>
      <c r="H28" s="81"/>
      <c r="I28" s="86" t="s">
        <v>49</v>
      </c>
      <c r="J28" s="53"/>
      <c r="K28" s="86" t="s">
        <v>48</v>
      </c>
      <c r="L28" s="28"/>
      <c r="M28" s="29"/>
      <c r="N28" s="129">
        <f t="shared" si="0"/>
        <v>0</v>
      </c>
      <c r="O28" s="130">
        <f t="shared" si="1"/>
        <v>0</v>
      </c>
      <c r="P28" s="131">
        <f t="shared" si="2"/>
        <v>0</v>
      </c>
      <c r="Q28" s="132">
        <f t="shared" si="3"/>
        <v>0</v>
      </c>
      <c r="R28" s="133">
        <f t="shared" si="4"/>
        <v>0</v>
      </c>
      <c r="S28" s="134">
        <f t="shared" si="5"/>
        <v>0</v>
      </c>
      <c r="T28" s="131">
        <f t="shared" si="6"/>
        <v>0</v>
      </c>
      <c r="U28" s="132">
        <f t="shared" si="7"/>
        <v>0</v>
      </c>
      <c r="V28" s="133">
        <f t="shared" si="8"/>
        <v>0</v>
      </c>
      <c r="W28" s="134">
        <f t="shared" si="9"/>
        <v>0</v>
      </c>
      <c r="X28" s="131">
        <f t="shared" si="10"/>
        <v>0</v>
      </c>
      <c r="Y28" s="132">
        <f t="shared" si="11"/>
        <v>0</v>
      </c>
      <c r="Z28" s="133">
        <f t="shared" si="12"/>
        <v>0</v>
      </c>
      <c r="AA28" s="134">
        <f t="shared" si="13"/>
        <v>0</v>
      </c>
      <c r="AB28" s="131">
        <f t="shared" si="14"/>
        <v>0</v>
      </c>
      <c r="AC28" s="132">
        <f t="shared" si="15"/>
        <v>0</v>
      </c>
      <c r="AD28" s="133">
        <f t="shared" si="16"/>
        <v>0</v>
      </c>
      <c r="AE28" s="130">
        <f t="shared" si="17"/>
        <v>0</v>
      </c>
      <c r="AF28" s="131">
        <f t="shared" si="18"/>
        <v>0</v>
      </c>
      <c r="AG28" s="130">
        <f t="shared" si="19"/>
        <v>0</v>
      </c>
      <c r="AH28" s="133">
        <f t="shared" si="20"/>
        <v>0</v>
      </c>
      <c r="AI28" s="134">
        <f t="shared" si="21"/>
        <v>0</v>
      </c>
      <c r="AJ28" s="131">
        <f t="shared" si="22"/>
        <v>0</v>
      </c>
      <c r="AK28" s="135">
        <f t="shared" si="23"/>
        <v>0</v>
      </c>
      <c r="AL28" s="7"/>
    </row>
    <row r="29" spans="1:38" ht="26.1" customHeight="1">
      <c r="A29" s="215">
        <v>22</v>
      </c>
      <c r="B29" s="2"/>
      <c r="C29" s="81"/>
      <c r="D29" s="86" t="s">
        <v>49</v>
      </c>
      <c r="E29" s="53"/>
      <c r="F29" s="86" t="s">
        <v>46</v>
      </c>
      <c r="G29" s="86" t="s">
        <v>111</v>
      </c>
      <c r="H29" s="81"/>
      <c r="I29" s="86" t="s">
        <v>49</v>
      </c>
      <c r="J29" s="53"/>
      <c r="K29" s="86" t="s">
        <v>48</v>
      </c>
      <c r="L29" s="28"/>
      <c r="M29" s="29"/>
      <c r="N29" s="129">
        <f t="shared" si="0"/>
        <v>0</v>
      </c>
      <c r="O29" s="130">
        <f t="shared" si="1"/>
        <v>0</v>
      </c>
      <c r="P29" s="131">
        <f t="shared" si="2"/>
        <v>0</v>
      </c>
      <c r="Q29" s="132">
        <f t="shared" si="3"/>
        <v>0</v>
      </c>
      <c r="R29" s="133">
        <f t="shared" si="4"/>
        <v>0</v>
      </c>
      <c r="S29" s="134">
        <f t="shared" si="5"/>
        <v>0</v>
      </c>
      <c r="T29" s="131">
        <f t="shared" si="6"/>
        <v>0</v>
      </c>
      <c r="U29" s="132">
        <f t="shared" si="7"/>
        <v>0</v>
      </c>
      <c r="V29" s="133">
        <f t="shared" si="8"/>
        <v>0</v>
      </c>
      <c r="W29" s="134">
        <f t="shared" si="9"/>
        <v>0</v>
      </c>
      <c r="X29" s="131">
        <f t="shared" si="10"/>
        <v>0</v>
      </c>
      <c r="Y29" s="132">
        <f t="shared" si="11"/>
        <v>0</v>
      </c>
      <c r="Z29" s="133">
        <f t="shared" si="12"/>
        <v>0</v>
      </c>
      <c r="AA29" s="134">
        <f t="shared" si="13"/>
        <v>0</v>
      </c>
      <c r="AB29" s="131">
        <f t="shared" si="14"/>
        <v>0</v>
      </c>
      <c r="AC29" s="132">
        <f t="shared" si="15"/>
        <v>0</v>
      </c>
      <c r="AD29" s="133">
        <f t="shared" si="16"/>
        <v>0</v>
      </c>
      <c r="AE29" s="130">
        <f t="shared" si="17"/>
        <v>0</v>
      </c>
      <c r="AF29" s="131">
        <f t="shared" si="18"/>
        <v>0</v>
      </c>
      <c r="AG29" s="130">
        <f t="shared" si="19"/>
        <v>0</v>
      </c>
      <c r="AH29" s="133">
        <f t="shared" si="20"/>
        <v>0</v>
      </c>
      <c r="AI29" s="134">
        <f t="shared" si="21"/>
        <v>0</v>
      </c>
      <c r="AJ29" s="131">
        <f t="shared" si="22"/>
        <v>0</v>
      </c>
      <c r="AK29" s="135">
        <f t="shared" si="23"/>
        <v>0</v>
      </c>
      <c r="AL29" s="7"/>
    </row>
    <row r="30" spans="1:38" ht="26.1" customHeight="1">
      <c r="A30" s="215">
        <v>23</v>
      </c>
      <c r="B30" s="2"/>
      <c r="C30" s="81"/>
      <c r="D30" s="86" t="s">
        <v>49</v>
      </c>
      <c r="E30" s="53"/>
      <c r="F30" s="86" t="s">
        <v>46</v>
      </c>
      <c r="G30" s="86" t="s">
        <v>111</v>
      </c>
      <c r="H30" s="81"/>
      <c r="I30" s="86" t="s">
        <v>49</v>
      </c>
      <c r="J30" s="53"/>
      <c r="K30" s="86" t="s">
        <v>48</v>
      </c>
      <c r="L30" s="28"/>
      <c r="M30" s="29"/>
      <c r="N30" s="129">
        <f t="shared" si="0"/>
        <v>0</v>
      </c>
      <c r="O30" s="130">
        <f t="shared" si="1"/>
        <v>0</v>
      </c>
      <c r="P30" s="131">
        <f t="shared" si="2"/>
        <v>0</v>
      </c>
      <c r="Q30" s="132">
        <f t="shared" si="3"/>
        <v>0</v>
      </c>
      <c r="R30" s="133">
        <f t="shared" si="4"/>
        <v>0</v>
      </c>
      <c r="S30" s="134">
        <f t="shared" si="5"/>
        <v>0</v>
      </c>
      <c r="T30" s="131">
        <f t="shared" si="6"/>
        <v>0</v>
      </c>
      <c r="U30" s="132">
        <f t="shared" si="7"/>
        <v>0</v>
      </c>
      <c r="V30" s="133">
        <f t="shared" si="8"/>
        <v>0</v>
      </c>
      <c r="W30" s="134">
        <f t="shared" si="9"/>
        <v>0</v>
      </c>
      <c r="X30" s="131">
        <f t="shared" si="10"/>
        <v>0</v>
      </c>
      <c r="Y30" s="132">
        <f t="shared" si="11"/>
        <v>0</v>
      </c>
      <c r="Z30" s="133">
        <f t="shared" si="12"/>
        <v>0</v>
      </c>
      <c r="AA30" s="134">
        <f t="shared" si="13"/>
        <v>0</v>
      </c>
      <c r="AB30" s="131">
        <f t="shared" si="14"/>
        <v>0</v>
      </c>
      <c r="AC30" s="132">
        <f t="shared" si="15"/>
        <v>0</v>
      </c>
      <c r="AD30" s="133">
        <f t="shared" si="16"/>
        <v>0</v>
      </c>
      <c r="AE30" s="130">
        <f t="shared" si="17"/>
        <v>0</v>
      </c>
      <c r="AF30" s="131">
        <f t="shared" si="18"/>
        <v>0</v>
      </c>
      <c r="AG30" s="130">
        <f t="shared" si="19"/>
        <v>0</v>
      </c>
      <c r="AH30" s="133">
        <f t="shared" si="20"/>
        <v>0</v>
      </c>
      <c r="AI30" s="134">
        <f t="shared" si="21"/>
        <v>0</v>
      </c>
      <c r="AJ30" s="131">
        <f t="shared" si="22"/>
        <v>0</v>
      </c>
      <c r="AK30" s="135">
        <f t="shared" si="23"/>
        <v>0</v>
      </c>
      <c r="AL30" s="7"/>
    </row>
    <row r="31" spans="1:38" ht="26.1" customHeight="1">
      <c r="A31" s="215">
        <v>24</v>
      </c>
      <c r="B31" s="2"/>
      <c r="C31" s="81"/>
      <c r="D31" s="86" t="s">
        <v>49</v>
      </c>
      <c r="E31" s="53"/>
      <c r="F31" s="86" t="s">
        <v>46</v>
      </c>
      <c r="G31" s="86" t="s">
        <v>111</v>
      </c>
      <c r="H31" s="81"/>
      <c r="I31" s="86" t="s">
        <v>49</v>
      </c>
      <c r="J31" s="53"/>
      <c r="K31" s="86" t="s">
        <v>48</v>
      </c>
      <c r="L31" s="28"/>
      <c r="M31" s="29"/>
      <c r="N31" s="129">
        <f t="shared" si="0"/>
        <v>0</v>
      </c>
      <c r="O31" s="130">
        <f t="shared" si="1"/>
        <v>0</v>
      </c>
      <c r="P31" s="131">
        <f t="shared" si="2"/>
        <v>0</v>
      </c>
      <c r="Q31" s="132">
        <f t="shared" si="3"/>
        <v>0</v>
      </c>
      <c r="R31" s="133">
        <f t="shared" si="4"/>
        <v>0</v>
      </c>
      <c r="S31" s="134">
        <f t="shared" si="5"/>
        <v>0</v>
      </c>
      <c r="T31" s="131">
        <f t="shared" si="6"/>
        <v>0</v>
      </c>
      <c r="U31" s="132">
        <f t="shared" si="7"/>
        <v>0</v>
      </c>
      <c r="V31" s="133">
        <f t="shared" si="8"/>
        <v>0</v>
      </c>
      <c r="W31" s="134">
        <f t="shared" si="9"/>
        <v>0</v>
      </c>
      <c r="X31" s="131">
        <f t="shared" si="10"/>
        <v>0</v>
      </c>
      <c r="Y31" s="132">
        <f t="shared" si="11"/>
        <v>0</v>
      </c>
      <c r="Z31" s="133">
        <f t="shared" si="12"/>
        <v>0</v>
      </c>
      <c r="AA31" s="134">
        <f t="shared" si="13"/>
        <v>0</v>
      </c>
      <c r="AB31" s="131">
        <f t="shared" si="14"/>
        <v>0</v>
      </c>
      <c r="AC31" s="132">
        <f t="shared" si="15"/>
        <v>0</v>
      </c>
      <c r="AD31" s="133">
        <f t="shared" si="16"/>
        <v>0</v>
      </c>
      <c r="AE31" s="130">
        <f t="shared" si="17"/>
        <v>0</v>
      </c>
      <c r="AF31" s="131">
        <f t="shared" si="18"/>
        <v>0</v>
      </c>
      <c r="AG31" s="130">
        <f t="shared" si="19"/>
        <v>0</v>
      </c>
      <c r="AH31" s="133">
        <f t="shared" si="20"/>
        <v>0</v>
      </c>
      <c r="AI31" s="134">
        <f t="shared" si="21"/>
        <v>0</v>
      </c>
      <c r="AJ31" s="131">
        <f t="shared" si="22"/>
        <v>0</v>
      </c>
      <c r="AK31" s="135">
        <f t="shared" si="23"/>
        <v>0</v>
      </c>
      <c r="AL31" s="7"/>
    </row>
    <row r="32" spans="1:38" ht="26.1" customHeight="1">
      <c r="A32" s="215">
        <v>25</v>
      </c>
      <c r="B32" s="2"/>
      <c r="C32" s="81"/>
      <c r="D32" s="86" t="s">
        <v>49</v>
      </c>
      <c r="E32" s="53"/>
      <c r="F32" s="86" t="s">
        <v>46</v>
      </c>
      <c r="G32" s="86" t="s">
        <v>111</v>
      </c>
      <c r="H32" s="81"/>
      <c r="I32" s="86" t="s">
        <v>49</v>
      </c>
      <c r="J32" s="53"/>
      <c r="K32" s="86" t="s">
        <v>48</v>
      </c>
      <c r="L32" s="28"/>
      <c r="M32" s="29"/>
      <c r="N32" s="129">
        <f t="shared" si="0"/>
        <v>0</v>
      </c>
      <c r="O32" s="130">
        <f t="shared" si="1"/>
        <v>0</v>
      </c>
      <c r="P32" s="131">
        <f t="shared" si="2"/>
        <v>0</v>
      </c>
      <c r="Q32" s="132">
        <f t="shared" si="3"/>
        <v>0</v>
      </c>
      <c r="R32" s="133">
        <f t="shared" si="4"/>
        <v>0</v>
      </c>
      <c r="S32" s="134">
        <f t="shared" si="5"/>
        <v>0</v>
      </c>
      <c r="T32" s="131">
        <f t="shared" si="6"/>
        <v>0</v>
      </c>
      <c r="U32" s="132">
        <f t="shared" si="7"/>
        <v>0</v>
      </c>
      <c r="V32" s="133">
        <f t="shared" si="8"/>
        <v>0</v>
      </c>
      <c r="W32" s="134">
        <f t="shared" si="9"/>
        <v>0</v>
      </c>
      <c r="X32" s="131">
        <f t="shared" si="10"/>
        <v>0</v>
      </c>
      <c r="Y32" s="132">
        <f t="shared" si="11"/>
        <v>0</v>
      </c>
      <c r="Z32" s="133">
        <f t="shared" si="12"/>
        <v>0</v>
      </c>
      <c r="AA32" s="134">
        <f t="shared" si="13"/>
        <v>0</v>
      </c>
      <c r="AB32" s="131">
        <f t="shared" si="14"/>
        <v>0</v>
      </c>
      <c r="AC32" s="132">
        <f t="shared" si="15"/>
        <v>0</v>
      </c>
      <c r="AD32" s="133">
        <f t="shared" si="16"/>
        <v>0</v>
      </c>
      <c r="AE32" s="130">
        <f t="shared" si="17"/>
        <v>0</v>
      </c>
      <c r="AF32" s="131">
        <f t="shared" si="18"/>
        <v>0</v>
      </c>
      <c r="AG32" s="130">
        <f t="shared" si="19"/>
        <v>0</v>
      </c>
      <c r="AH32" s="133">
        <f t="shared" si="20"/>
        <v>0</v>
      </c>
      <c r="AI32" s="134">
        <f t="shared" si="21"/>
        <v>0</v>
      </c>
      <c r="AJ32" s="131">
        <f t="shared" si="22"/>
        <v>0</v>
      </c>
      <c r="AK32" s="135">
        <f t="shared" si="23"/>
        <v>0</v>
      </c>
      <c r="AL32" s="7"/>
    </row>
    <row r="33" spans="1:38" ht="26.1" customHeight="1">
      <c r="A33" s="215">
        <v>26</v>
      </c>
      <c r="B33" s="2"/>
      <c r="C33" s="81"/>
      <c r="D33" s="86" t="s">
        <v>49</v>
      </c>
      <c r="E33" s="53"/>
      <c r="F33" s="86" t="s">
        <v>46</v>
      </c>
      <c r="G33" s="86" t="s">
        <v>111</v>
      </c>
      <c r="H33" s="81"/>
      <c r="I33" s="86" t="s">
        <v>49</v>
      </c>
      <c r="J33" s="53"/>
      <c r="K33" s="86" t="s">
        <v>48</v>
      </c>
      <c r="L33" s="28"/>
      <c r="M33" s="29"/>
      <c r="N33" s="129">
        <f t="shared" si="0"/>
        <v>0</v>
      </c>
      <c r="O33" s="130">
        <f t="shared" si="1"/>
        <v>0</v>
      </c>
      <c r="P33" s="131">
        <f t="shared" si="2"/>
        <v>0</v>
      </c>
      <c r="Q33" s="132">
        <f t="shared" si="3"/>
        <v>0</v>
      </c>
      <c r="R33" s="133">
        <f t="shared" si="4"/>
        <v>0</v>
      </c>
      <c r="S33" s="134">
        <f t="shared" si="5"/>
        <v>0</v>
      </c>
      <c r="T33" s="131">
        <f t="shared" si="6"/>
        <v>0</v>
      </c>
      <c r="U33" s="132">
        <f t="shared" si="7"/>
        <v>0</v>
      </c>
      <c r="V33" s="133">
        <f t="shared" si="8"/>
        <v>0</v>
      </c>
      <c r="W33" s="134">
        <f t="shared" si="9"/>
        <v>0</v>
      </c>
      <c r="X33" s="131">
        <f t="shared" si="10"/>
        <v>0</v>
      </c>
      <c r="Y33" s="132">
        <f t="shared" si="11"/>
        <v>0</v>
      </c>
      <c r="Z33" s="133">
        <f t="shared" si="12"/>
        <v>0</v>
      </c>
      <c r="AA33" s="134">
        <f t="shared" si="13"/>
        <v>0</v>
      </c>
      <c r="AB33" s="131">
        <f t="shared" si="14"/>
        <v>0</v>
      </c>
      <c r="AC33" s="132">
        <f t="shared" si="15"/>
        <v>0</v>
      </c>
      <c r="AD33" s="133">
        <f t="shared" si="16"/>
        <v>0</v>
      </c>
      <c r="AE33" s="130">
        <f t="shared" si="17"/>
        <v>0</v>
      </c>
      <c r="AF33" s="131">
        <f t="shared" si="18"/>
        <v>0</v>
      </c>
      <c r="AG33" s="130">
        <f t="shared" si="19"/>
        <v>0</v>
      </c>
      <c r="AH33" s="133">
        <f t="shared" si="20"/>
        <v>0</v>
      </c>
      <c r="AI33" s="134">
        <f t="shared" si="21"/>
        <v>0</v>
      </c>
      <c r="AJ33" s="131">
        <f t="shared" si="22"/>
        <v>0</v>
      </c>
      <c r="AK33" s="135">
        <f t="shared" si="23"/>
        <v>0</v>
      </c>
      <c r="AL33" s="7"/>
    </row>
    <row r="34" spans="1:38" ht="26.1" customHeight="1">
      <c r="A34" s="215">
        <v>27</v>
      </c>
      <c r="B34" s="2"/>
      <c r="C34" s="81"/>
      <c r="D34" s="86" t="s">
        <v>49</v>
      </c>
      <c r="E34" s="53"/>
      <c r="F34" s="86" t="s">
        <v>46</v>
      </c>
      <c r="G34" s="86" t="s">
        <v>111</v>
      </c>
      <c r="H34" s="81"/>
      <c r="I34" s="86" t="s">
        <v>49</v>
      </c>
      <c r="J34" s="53"/>
      <c r="K34" s="86" t="s">
        <v>48</v>
      </c>
      <c r="L34" s="28"/>
      <c r="M34" s="29"/>
      <c r="N34" s="129">
        <f t="shared" si="0"/>
        <v>0</v>
      </c>
      <c r="O34" s="130">
        <f t="shared" si="1"/>
        <v>0</v>
      </c>
      <c r="P34" s="131">
        <f t="shared" si="2"/>
        <v>0</v>
      </c>
      <c r="Q34" s="132">
        <f t="shared" si="3"/>
        <v>0</v>
      </c>
      <c r="R34" s="133">
        <f t="shared" si="4"/>
        <v>0</v>
      </c>
      <c r="S34" s="134">
        <f t="shared" si="5"/>
        <v>0</v>
      </c>
      <c r="T34" s="131">
        <f t="shared" si="6"/>
        <v>0</v>
      </c>
      <c r="U34" s="132">
        <f t="shared" si="7"/>
        <v>0</v>
      </c>
      <c r="V34" s="133">
        <f t="shared" si="8"/>
        <v>0</v>
      </c>
      <c r="W34" s="134">
        <f t="shared" si="9"/>
        <v>0</v>
      </c>
      <c r="X34" s="131">
        <f t="shared" si="10"/>
        <v>0</v>
      </c>
      <c r="Y34" s="132">
        <f t="shared" si="11"/>
        <v>0</v>
      </c>
      <c r="Z34" s="133">
        <f t="shared" si="12"/>
        <v>0</v>
      </c>
      <c r="AA34" s="134">
        <f t="shared" si="13"/>
        <v>0</v>
      </c>
      <c r="AB34" s="131">
        <f t="shared" si="14"/>
        <v>0</v>
      </c>
      <c r="AC34" s="132">
        <f t="shared" si="15"/>
        <v>0</v>
      </c>
      <c r="AD34" s="133">
        <f t="shared" si="16"/>
        <v>0</v>
      </c>
      <c r="AE34" s="130">
        <f t="shared" si="17"/>
        <v>0</v>
      </c>
      <c r="AF34" s="131">
        <f t="shared" si="18"/>
        <v>0</v>
      </c>
      <c r="AG34" s="130">
        <f t="shared" si="19"/>
        <v>0</v>
      </c>
      <c r="AH34" s="133">
        <f t="shared" si="20"/>
        <v>0</v>
      </c>
      <c r="AI34" s="134">
        <f t="shared" si="21"/>
        <v>0</v>
      </c>
      <c r="AJ34" s="131">
        <f t="shared" si="22"/>
        <v>0</v>
      </c>
      <c r="AK34" s="135">
        <f t="shared" si="23"/>
        <v>0</v>
      </c>
      <c r="AL34" s="7"/>
    </row>
    <row r="35" spans="1:38" ht="26.1" customHeight="1">
      <c r="A35" s="215">
        <v>28</v>
      </c>
      <c r="B35" s="2"/>
      <c r="C35" s="81"/>
      <c r="D35" s="86" t="s">
        <v>49</v>
      </c>
      <c r="E35" s="53"/>
      <c r="F35" s="86" t="s">
        <v>46</v>
      </c>
      <c r="G35" s="86" t="s">
        <v>111</v>
      </c>
      <c r="H35" s="81"/>
      <c r="I35" s="86" t="s">
        <v>49</v>
      </c>
      <c r="J35" s="53"/>
      <c r="K35" s="86" t="s">
        <v>48</v>
      </c>
      <c r="L35" s="28"/>
      <c r="M35" s="29"/>
      <c r="N35" s="129">
        <f t="shared" si="0"/>
        <v>0</v>
      </c>
      <c r="O35" s="130">
        <f t="shared" si="1"/>
        <v>0</v>
      </c>
      <c r="P35" s="131">
        <f t="shared" si="2"/>
        <v>0</v>
      </c>
      <c r="Q35" s="132">
        <f t="shared" si="3"/>
        <v>0</v>
      </c>
      <c r="R35" s="133">
        <f t="shared" si="4"/>
        <v>0</v>
      </c>
      <c r="S35" s="134">
        <f t="shared" si="5"/>
        <v>0</v>
      </c>
      <c r="T35" s="131">
        <f t="shared" si="6"/>
        <v>0</v>
      </c>
      <c r="U35" s="132">
        <f t="shared" si="7"/>
        <v>0</v>
      </c>
      <c r="V35" s="133">
        <f t="shared" si="8"/>
        <v>0</v>
      </c>
      <c r="W35" s="134">
        <f t="shared" si="9"/>
        <v>0</v>
      </c>
      <c r="X35" s="131">
        <f t="shared" si="10"/>
        <v>0</v>
      </c>
      <c r="Y35" s="132">
        <f t="shared" si="11"/>
        <v>0</v>
      </c>
      <c r="Z35" s="133">
        <f t="shared" si="12"/>
        <v>0</v>
      </c>
      <c r="AA35" s="134">
        <f t="shared" si="13"/>
        <v>0</v>
      </c>
      <c r="AB35" s="131">
        <f t="shared" si="14"/>
        <v>0</v>
      </c>
      <c r="AC35" s="132">
        <f t="shared" si="15"/>
        <v>0</v>
      </c>
      <c r="AD35" s="133">
        <f t="shared" si="16"/>
        <v>0</v>
      </c>
      <c r="AE35" s="130">
        <f t="shared" si="17"/>
        <v>0</v>
      </c>
      <c r="AF35" s="131">
        <f t="shared" si="18"/>
        <v>0</v>
      </c>
      <c r="AG35" s="130">
        <f t="shared" si="19"/>
        <v>0</v>
      </c>
      <c r="AH35" s="133">
        <f t="shared" si="20"/>
        <v>0</v>
      </c>
      <c r="AI35" s="134">
        <f t="shared" si="21"/>
        <v>0</v>
      </c>
      <c r="AJ35" s="131">
        <f t="shared" si="22"/>
        <v>0</v>
      </c>
      <c r="AK35" s="135">
        <f t="shared" si="23"/>
        <v>0</v>
      </c>
      <c r="AL35" s="7"/>
    </row>
    <row r="36" spans="1:38" ht="26.1" customHeight="1">
      <c r="A36" s="215">
        <v>29</v>
      </c>
      <c r="B36" s="2"/>
      <c r="C36" s="81"/>
      <c r="D36" s="86" t="s">
        <v>49</v>
      </c>
      <c r="E36" s="53"/>
      <c r="F36" s="86" t="s">
        <v>46</v>
      </c>
      <c r="G36" s="86" t="s">
        <v>111</v>
      </c>
      <c r="H36" s="81"/>
      <c r="I36" s="86" t="s">
        <v>49</v>
      </c>
      <c r="J36" s="53"/>
      <c r="K36" s="86" t="s">
        <v>48</v>
      </c>
      <c r="L36" s="28"/>
      <c r="M36" s="29"/>
      <c r="N36" s="129">
        <f t="shared" si="0"/>
        <v>0</v>
      </c>
      <c r="O36" s="130">
        <f t="shared" si="1"/>
        <v>0</v>
      </c>
      <c r="P36" s="131">
        <f t="shared" si="2"/>
        <v>0</v>
      </c>
      <c r="Q36" s="132">
        <f t="shared" si="3"/>
        <v>0</v>
      </c>
      <c r="R36" s="133">
        <f t="shared" si="4"/>
        <v>0</v>
      </c>
      <c r="S36" s="134">
        <f t="shared" si="5"/>
        <v>0</v>
      </c>
      <c r="T36" s="131">
        <f t="shared" si="6"/>
        <v>0</v>
      </c>
      <c r="U36" s="132">
        <f t="shared" si="7"/>
        <v>0</v>
      </c>
      <c r="V36" s="133">
        <f t="shared" si="8"/>
        <v>0</v>
      </c>
      <c r="W36" s="134">
        <f t="shared" si="9"/>
        <v>0</v>
      </c>
      <c r="X36" s="131">
        <f t="shared" si="10"/>
        <v>0</v>
      </c>
      <c r="Y36" s="132">
        <f t="shared" si="11"/>
        <v>0</v>
      </c>
      <c r="Z36" s="133">
        <f t="shared" si="12"/>
        <v>0</v>
      </c>
      <c r="AA36" s="134">
        <f t="shared" si="13"/>
        <v>0</v>
      </c>
      <c r="AB36" s="131">
        <f t="shared" si="14"/>
        <v>0</v>
      </c>
      <c r="AC36" s="132">
        <f t="shared" si="15"/>
        <v>0</v>
      </c>
      <c r="AD36" s="133">
        <f t="shared" si="16"/>
        <v>0</v>
      </c>
      <c r="AE36" s="130">
        <f t="shared" si="17"/>
        <v>0</v>
      </c>
      <c r="AF36" s="131">
        <f t="shared" si="18"/>
        <v>0</v>
      </c>
      <c r="AG36" s="130">
        <f t="shared" si="19"/>
        <v>0</v>
      </c>
      <c r="AH36" s="133">
        <f t="shared" si="20"/>
        <v>0</v>
      </c>
      <c r="AI36" s="134">
        <f t="shared" si="21"/>
        <v>0</v>
      </c>
      <c r="AJ36" s="131">
        <f t="shared" si="22"/>
        <v>0</v>
      </c>
      <c r="AK36" s="135">
        <f t="shared" si="23"/>
        <v>0</v>
      </c>
      <c r="AL36" s="7"/>
    </row>
    <row r="37" spans="1:38" ht="26.1" customHeight="1" thickBot="1">
      <c r="A37" s="215">
        <v>30</v>
      </c>
      <c r="B37" s="2"/>
      <c r="C37" s="81"/>
      <c r="D37" s="86" t="s">
        <v>49</v>
      </c>
      <c r="E37" s="53"/>
      <c r="F37" s="86" t="s">
        <v>46</v>
      </c>
      <c r="G37" s="86" t="s">
        <v>111</v>
      </c>
      <c r="H37" s="81"/>
      <c r="I37" s="86" t="s">
        <v>49</v>
      </c>
      <c r="J37" s="53"/>
      <c r="K37" s="86" t="s">
        <v>48</v>
      </c>
      <c r="L37" s="30"/>
      <c r="M37" s="31"/>
      <c r="N37" s="136">
        <f t="shared" si="0"/>
        <v>0</v>
      </c>
      <c r="O37" s="137">
        <f t="shared" si="1"/>
        <v>0</v>
      </c>
      <c r="P37" s="138">
        <f t="shared" si="2"/>
        <v>0</v>
      </c>
      <c r="Q37" s="139">
        <f t="shared" si="3"/>
        <v>0</v>
      </c>
      <c r="R37" s="140">
        <f t="shared" si="4"/>
        <v>0</v>
      </c>
      <c r="S37" s="141">
        <f t="shared" si="5"/>
        <v>0</v>
      </c>
      <c r="T37" s="138">
        <f t="shared" si="6"/>
        <v>0</v>
      </c>
      <c r="U37" s="139">
        <f t="shared" si="7"/>
        <v>0</v>
      </c>
      <c r="V37" s="140">
        <f t="shared" si="8"/>
        <v>0</v>
      </c>
      <c r="W37" s="141">
        <f t="shared" si="9"/>
        <v>0</v>
      </c>
      <c r="X37" s="138">
        <f t="shared" si="10"/>
        <v>0</v>
      </c>
      <c r="Y37" s="139">
        <f t="shared" si="11"/>
        <v>0</v>
      </c>
      <c r="Z37" s="140">
        <f t="shared" si="12"/>
        <v>0</v>
      </c>
      <c r="AA37" s="141">
        <f t="shared" si="13"/>
        <v>0</v>
      </c>
      <c r="AB37" s="138">
        <f t="shared" si="14"/>
        <v>0</v>
      </c>
      <c r="AC37" s="139">
        <f t="shared" si="15"/>
        <v>0</v>
      </c>
      <c r="AD37" s="140">
        <f t="shared" si="16"/>
        <v>0</v>
      </c>
      <c r="AE37" s="137">
        <f t="shared" si="17"/>
        <v>0</v>
      </c>
      <c r="AF37" s="138">
        <f t="shared" si="18"/>
        <v>0</v>
      </c>
      <c r="AG37" s="137">
        <f t="shared" si="19"/>
        <v>0</v>
      </c>
      <c r="AH37" s="140">
        <f t="shared" si="20"/>
        <v>0</v>
      </c>
      <c r="AI37" s="141">
        <f t="shared" si="21"/>
        <v>0</v>
      </c>
      <c r="AJ37" s="138">
        <f t="shared" si="22"/>
        <v>0</v>
      </c>
      <c r="AK37" s="142">
        <f t="shared" si="23"/>
        <v>0</v>
      </c>
      <c r="AL37" s="7"/>
    </row>
    <row r="38" spans="1:38" ht="26.1" customHeight="1" thickBot="1">
      <c r="A38" s="882" t="s">
        <v>14</v>
      </c>
      <c r="B38" s="883"/>
      <c r="C38" s="883"/>
      <c r="D38" s="883"/>
      <c r="E38" s="883"/>
      <c r="F38" s="883"/>
      <c r="G38" s="883"/>
      <c r="H38" s="883"/>
      <c r="I38" s="883"/>
      <c r="J38" s="883"/>
      <c r="K38" s="884"/>
      <c r="L38" s="885">
        <f>(SUM(L8:L37)*60+SUM(M8:M37))/60</f>
        <v>0</v>
      </c>
      <c r="M38" s="886"/>
      <c r="N38" s="871">
        <f>(SUM(N8:N37)*60+SUM(O8:O37))/60</f>
        <v>0</v>
      </c>
      <c r="O38" s="872"/>
      <c r="P38" s="871">
        <f>(SUM(P8:P37)*60+SUM(Q8:Q37))/60</f>
        <v>0</v>
      </c>
      <c r="Q38" s="872"/>
      <c r="R38" s="871">
        <f>(SUM(R8:R37)*60+SUM(S8:S37))/60</f>
        <v>0</v>
      </c>
      <c r="S38" s="872"/>
      <c r="T38" s="871">
        <f>(SUM(T8:T37)*60+SUM(U8:U37))/60</f>
        <v>0</v>
      </c>
      <c r="U38" s="872"/>
      <c r="V38" s="871">
        <f>(SUM(V8:V37)*60+SUM(W8:W37))/60</f>
        <v>0</v>
      </c>
      <c r="W38" s="872"/>
      <c r="X38" s="871">
        <f>(SUM(X8:X37)*60+SUM(Y8:Y37))/60</f>
        <v>0</v>
      </c>
      <c r="Y38" s="872"/>
      <c r="Z38" s="871">
        <f>(SUM(Z8:Z37)*60+SUM(AA8:AA37))/60</f>
        <v>0</v>
      </c>
      <c r="AA38" s="872"/>
      <c r="AB38" s="871">
        <f>(SUM(AB8:AB37)*60+SUM(AC8:AC37))/60</f>
        <v>0</v>
      </c>
      <c r="AC38" s="872"/>
      <c r="AD38" s="871">
        <f>(SUM(AD8:AD37)*60+SUM(AE8:AE37))/60</f>
        <v>0</v>
      </c>
      <c r="AE38" s="872"/>
      <c r="AF38" s="530">
        <f>(SUM(AF8:AF37)*60+SUM(AG8:AG37))/60</f>
        <v>0</v>
      </c>
      <c r="AG38" s="530"/>
      <c r="AH38" s="881">
        <f>(SUM(AH8:AH37)*60+SUM(AI8:AI37))/60</f>
        <v>0</v>
      </c>
      <c r="AI38" s="881"/>
      <c r="AJ38" s="871">
        <f>(SUM(AJ8:AJ37)*60+SUM(AK8:AK37))/60</f>
        <v>0</v>
      </c>
      <c r="AK38" s="872"/>
      <c r="AL38" s="7"/>
    </row>
    <row r="39" spans="1:38" ht="26.1" customHeight="1" thickBot="1">
      <c r="A39" s="873" t="s">
        <v>68</v>
      </c>
      <c r="B39" s="874"/>
      <c r="C39" s="874"/>
      <c r="D39" s="874"/>
      <c r="E39" s="874"/>
      <c r="F39" s="874"/>
      <c r="G39" s="874"/>
      <c r="H39" s="874"/>
      <c r="I39" s="874"/>
      <c r="J39" s="874"/>
      <c r="K39" s="875"/>
      <c r="L39" s="876"/>
      <c r="M39" s="877"/>
      <c r="N39" s="878">
        <f>$L39</f>
        <v>0</v>
      </c>
      <c r="O39" s="879"/>
      <c r="P39" s="880">
        <f>$L39</f>
        <v>0</v>
      </c>
      <c r="Q39" s="879"/>
      <c r="R39" s="880">
        <f>$L39</f>
        <v>0</v>
      </c>
      <c r="S39" s="879"/>
      <c r="T39" s="880">
        <f>$L39</f>
        <v>0</v>
      </c>
      <c r="U39" s="879"/>
      <c r="V39" s="880">
        <f>$L39</f>
        <v>0</v>
      </c>
      <c r="W39" s="879"/>
      <c r="X39" s="880">
        <f>$L39</f>
        <v>0</v>
      </c>
      <c r="Y39" s="879"/>
      <c r="Z39" s="880">
        <f>$L39</f>
        <v>0</v>
      </c>
      <c r="AA39" s="879"/>
      <c r="AB39" s="880">
        <f>$L39</f>
        <v>0</v>
      </c>
      <c r="AC39" s="879"/>
      <c r="AD39" s="880">
        <f>$L39</f>
        <v>0</v>
      </c>
      <c r="AE39" s="879"/>
      <c r="AF39" s="887">
        <f>$L39</f>
        <v>0</v>
      </c>
      <c r="AG39" s="888"/>
      <c r="AH39" s="889">
        <f>$L39</f>
        <v>0</v>
      </c>
      <c r="AI39" s="889"/>
      <c r="AJ39" s="880">
        <f>$L39</f>
        <v>0</v>
      </c>
      <c r="AK39" s="879"/>
      <c r="AL39" s="7"/>
    </row>
    <row r="40" spans="1:38" ht="25.5" customHeight="1">
      <c r="A40" s="892" t="s">
        <v>296</v>
      </c>
      <c r="B40" s="893"/>
      <c r="C40" s="893"/>
      <c r="D40" s="893"/>
      <c r="E40" s="893"/>
      <c r="F40" s="893"/>
      <c r="G40" s="893"/>
      <c r="H40" s="893"/>
      <c r="I40" s="893"/>
      <c r="J40" s="893"/>
      <c r="K40" s="894"/>
      <c r="L40" s="890">
        <f>IFERROR(L38/L39,0)</f>
        <v>0</v>
      </c>
      <c r="M40" s="891"/>
      <c r="N40" s="890">
        <f t="shared" ref="N40" si="24">IFERROR(N38/N39,0)</f>
        <v>0</v>
      </c>
      <c r="O40" s="891"/>
      <c r="P40" s="890">
        <f t="shared" ref="P40" si="25">IFERROR(P38/P39,0)</f>
        <v>0</v>
      </c>
      <c r="Q40" s="891"/>
      <c r="R40" s="890">
        <f t="shared" ref="R40" si="26">IFERROR(R38/R39,0)</f>
        <v>0</v>
      </c>
      <c r="S40" s="891"/>
      <c r="T40" s="890">
        <f t="shared" ref="T40" si="27">IFERROR(T38/T39,0)</f>
        <v>0</v>
      </c>
      <c r="U40" s="891"/>
      <c r="V40" s="890">
        <f t="shared" ref="V40" si="28">IFERROR(V38/V39,0)</f>
        <v>0</v>
      </c>
      <c r="W40" s="891"/>
      <c r="X40" s="890">
        <f t="shared" ref="X40" si="29">IFERROR(X38/X39,0)</f>
        <v>0</v>
      </c>
      <c r="Y40" s="891"/>
      <c r="Z40" s="890">
        <f t="shared" ref="Z40" si="30">IFERROR(Z38/Z39,0)</f>
        <v>0</v>
      </c>
      <c r="AA40" s="891"/>
      <c r="AB40" s="890">
        <f t="shared" ref="AB40" si="31">IFERROR(AB38/AB39,0)</f>
        <v>0</v>
      </c>
      <c r="AC40" s="891"/>
      <c r="AD40" s="890">
        <f t="shared" ref="AD40" si="32">IFERROR(AD38/AD39,0)</f>
        <v>0</v>
      </c>
      <c r="AE40" s="891"/>
      <c r="AF40" s="890">
        <f t="shared" ref="AF40" si="33">IFERROR(AF38/AF39,0)</f>
        <v>0</v>
      </c>
      <c r="AG40" s="891"/>
      <c r="AH40" s="890">
        <f t="shared" ref="AH40" si="34">IFERROR(AH38/AH39,0)</f>
        <v>0</v>
      </c>
      <c r="AI40" s="891"/>
      <c r="AJ40" s="890">
        <f t="shared" ref="AJ40" si="35">IFERROR(AJ38/AJ39,0)</f>
        <v>0</v>
      </c>
      <c r="AK40" s="891"/>
      <c r="AL40" s="7"/>
    </row>
    <row r="41" spans="1:38" ht="30.75" hidden="1" customHeight="1">
      <c r="O41" s="116">
        <f>ROUNDDOWN(SUM(N40,'様式２（専従の常勤）'!G72,'様式２（専従の常勤）'!G73),1)</f>
        <v>0</v>
      </c>
      <c r="Q41" s="116">
        <f>ROUNDDOWN(SUM(P40,'様式２（専従の常勤）'!H72,'様式２（専従の常勤）'!H73),1)</f>
        <v>0</v>
      </c>
      <c r="S41" s="116">
        <f>ROUNDDOWN(SUM(R40,'様式２（専従の常勤）'!I72,'様式２（専従の常勤）'!I73),1)</f>
        <v>0</v>
      </c>
      <c r="U41" s="116">
        <f>ROUNDDOWN(SUM(T40,'様式２（専従の常勤）'!J72,'様式２（専従の常勤）'!J73),1)</f>
        <v>0</v>
      </c>
      <c r="W41" s="116">
        <f>ROUNDDOWN(SUM(V40,'様式２（専従の常勤）'!K72,'様式２（専従の常勤）'!K73),1)</f>
        <v>0</v>
      </c>
      <c r="Y41" s="116">
        <f>ROUNDDOWN(SUM(X40,'様式２（専従の常勤）'!L72,'様式２（専従の常勤）'!L73),1)</f>
        <v>0</v>
      </c>
      <c r="AA41" s="116">
        <f>ROUNDDOWN(SUM(Z40,'様式２（専従の常勤）'!M72,'様式２（専従の常勤）'!M73),1)</f>
        <v>0</v>
      </c>
      <c r="AC41" s="116">
        <f>ROUNDDOWN(SUM(AB40,'様式２（専従の常勤）'!N72,'様式２（専従の常勤）'!N73),1)</f>
        <v>0</v>
      </c>
      <c r="AE41" s="116">
        <f>ROUNDDOWN(SUM(AD40,'様式２（専従の常勤）'!O72,'様式２（専従の常勤）'!O73),1)</f>
        <v>0</v>
      </c>
      <c r="AG41" s="116">
        <f>ROUNDDOWN(SUM(AF40,'様式２（専従の常勤）'!P72,'様式２（専従の常勤）'!P73),1)</f>
        <v>0</v>
      </c>
      <c r="AI41" s="116">
        <f>ROUNDDOWN(SUM(AH40,'様式２（専従の常勤）'!Q72,'様式２（専従の常勤）'!Q73),1)</f>
        <v>0</v>
      </c>
      <c r="AK41" s="116">
        <f>ROUNDDOWN(SUM(AJ40,'様式２（専従の常勤）'!R72,'様式２（専従の常勤）'!R73),1)</f>
        <v>0</v>
      </c>
      <c r="AL41" s="7"/>
    </row>
    <row r="42" spans="1:38" ht="16.5" customHeight="1">
      <c r="AL42" s="7"/>
    </row>
    <row r="43" spans="1:38">
      <c r="AL43" s="7"/>
    </row>
    <row r="44" spans="1:38">
      <c r="AL44" s="7"/>
    </row>
    <row r="45" spans="1:38">
      <c r="AL45" s="7"/>
    </row>
    <row r="46" spans="1:38" ht="26.1" customHeight="1" thickBot="1">
      <c r="A46" s="87" t="s">
        <v>104</v>
      </c>
      <c r="B46" s="88"/>
      <c r="C46" s="88"/>
      <c r="D46" s="88"/>
      <c r="E46" s="88"/>
      <c r="F46" s="88"/>
      <c r="G46" s="88"/>
      <c r="H46" s="88"/>
      <c r="I46" s="88"/>
      <c r="J46" s="88"/>
      <c r="K46" s="88"/>
      <c r="L46" s="89"/>
      <c r="M46" s="89"/>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7"/>
    </row>
    <row r="47" spans="1:38">
      <c r="A47" s="831" t="s">
        <v>13</v>
      </c>
      <c r="B47" s="859" t="s">
        <v>115</v>
      </c>
      <c r="C47" s="681" t="s">
        <v>45</v>
      </c>
      <c r="D47" s="681"/>
      <c r="E47" s="681"/>
      <c r="F47" s="681"/>
      <c r="G47" s="681"/>
      <c r="H47" s="681"/>
      <c r="I47" s="681"/>
      <c r="J47" s="681"/>
      <c r="K47" s="862"/>
      <c r="L47" s="866" t="s">
        <v>69</v>
      </c>
      <c r="M47" s="867"/>
      <c r="N47" s="839" t="s">
        <v>70</v>
      </c>
      <c r="O47" s="840"/>
      <c r="P47" s="840"/>
      <c r="Q47" s="840"/>
      <c r="R47" s="840"/>
      <c r="S47" s="840"/>
      <c r="T47" s="840"/>
      <c r="U47" s="840"/>
      <c r="V47" s="840"/>
      <c r="W47" s="840"/>
      <c r="X47" s="840"/>
      <c r="Y47" s="840"/>
      <c r="Z47" s="840"/>
      <c r="AA47" s="840"/>
      <c r="AB47" s="840"/>
      <c r="AC47" s="840"/>
      <c r="AD47" s="840"/>
      <c r="AE47" s="840"/>
      <c r="AF47" s="840"/>
      <c r="AG47" s="840"/>
      <c r="AH47" s="840"/>
      <c r="AI47" s="840"/>
      <c r="AJ47" s="840"/>
      <c r="AK47" s="841"/>
      <c r="AL47" s="7"/>
    </row>
    <row r="48" spans="1:38">
      <c r="A48" s="832"/>
      <c r="B48" s="860"/>
      <c r="C48" s="757"/>
      <c r="D48" s="757"/>
      <c r="E48" s="757"/>
      <c r="F48" s="757"/>
      <c r="G48" s="757"/>
      <c r="H48" s="757"/>
      <c r="I48" s="757"/>
      <c r="J48" s="757"/>
      <c r="K48" s="863"/>
      <c r="L48" s="868"/>
      <c r="M48" s="869"/>
      <c r="N48" s="855">
        <v>4</v>
      </c>
      <c r="O48" s="707"/>
      <c r="P48" s="707">
        <v>5</v>
      </c>
      <c r="Q48" s="707"/>
      <c r="R48" s="707">
        <v>6</v>
      </c>
      <c r="S48" s="707"/>
      <c r="T48" s="707">
        <v>7</v>
      </c>
      <c r="U48" s="707"/>
      <c r="V48" s="707">
        <v>8</v>
      </c>
      <c r="W48" s="707"/>
      <c r="X48" s="707">
        <v>9</v>
      </c>
      <c r="Y48" s="707"/>
      <c r="Z48" s="707">
        <v>10</v>
      </c>
      <c r="AA48" s="707"/>
      <c r="AB48" s="707">
        <v>11</v>
      </c>
      <c r="AC48" s="707"/>
      <c r="AD48" s="707">
        <v>12</v>
      </c>
      <c r="AE48" s="707"/>
      <c r="AF48" s="856">
        <v>1</v>
      </c>
      <c r="AG48" s="857"/>
      <c r="AH48" s="707">
        <v>2</v>
      </c>
      <c r="AI48" s="707"/>
      <c r="AJ48" s="707">
        <v>3</v>
      </c>
      <c r="AK48" s="870"/>
      <c r="AL48" s="7"/>
    </row>
    <row r="49" spans="1:38" ht="13.5" customHeight="1">
      <c r="A49" s="858"/>
      <c r="B49" s="861"/>
      <c r="C49" s="864"/>
      <c r="D49" s="864"/>
      <c r="E49" s="864"/>
      <c r="F49" s="864"/>
      <c r="G49" s="864"/>
      <c r="H49" s="864"/>
      <c r="I49" s="864"/>
      <c r="J49" s="864"/>
      <c r="K49" s="865"/>
      <c r="L49" s="26" t="s">
        <v>21</v>
      </c>
      <c r="M49" s="27" t="s">
        <v>22</v>
      </c>
      <c r="N49" s="83" t="s">
        <v>21</v>
      </c>
      <c r="O49" s="35" t="s">
        <v>22</v>
      </c>
      <c r="P49" s="36" t="s">
        <v>21</v>
      </c>
      <c r="Q49" s="84" t="s">
        <v>22</v>
      </c>
      <c r="R49" s="85" t="s">
        <v>21</v>
      </c>
      <c r="S49" s="35" t="s">
        <v>22</v>
      </c>
      <c r="T49" s="36" t="s">
        <v>21</v>
      </c>
      <c r="U49" s="84" t="s">
        <v>22</v>
      </c>
      <c r="V49" s="85" t="s">
        <v>21</v>
      </c>
      <c r="W49" s="35" t="s">
        <v>22</v>
      </c>
      <c r="X49" s="36" t="s">
        <v>21</v>
      </c>
      <c r="Y49" s="84" t="s">
        <v>22</v>
      </c>
      <c r="Z49" s="85" t="s">
        <v>21</v>
      </c>
      <c r="AA49" s="35" t="s">
        <v>22</v>
      </c>
      <c r="AB49" s="36" t="s">
        <v>21</v>
      </c>
      <c r="AC49" s="84" t="s">
        <v>22</v>
      </c>
      <c r="AD49" s="36" t="s">
        <v>21</v>
      </c>
      <c r="AE49" s="35" t="s">
        <v>22</v>
      </c>
      <c r="AF49" s="36" t="s">
        <v>21</v>
      </c>
      <c r="AG49" s="35" t="s">
        <v>22</v>
      </c>
      <c r="AH49" s="34" t="s">
        <v>21</v>
      </c>
      <c r="AI49" s="35" t="s">
        <v>22</v>
      </c>
      <c r="AJ49" s="36" t="s">
        <v>21</v>
      </c>
      <c r="AK49" s="47" t="s">
        <v>22</v>
      </c>
      <c r="AL49" s="7"/>
    </row>
    <row r="50" spans="1:38" ht="26.1" customHeight="1">
      <c r="A50" s="21">
        <v>1</v>
      </c>
      <c r="B50" s="2"/>
      <c r="C50" s="81"/>
      <c r="D50" s="86" t="s">
        <v>49</v>
      </c>
      <c r="E50" s="53"/>
      <c r="F50" s="86" t="s">
        <v>46</v>
      </c>
      <c r="G50" s="86" t="s">
        <v>111</v>
      </c>
      <c r="H50" s="81"/>
      <c r="I50" s="86" t="s">
        <v>49</v>
      </c>
      <c r="J50" s="53"/>
      <c r="K50" s="86" t="s">
        <v>48</v>
      </c>
      <c r="L50" s="28"/>
      <c r="M50" s="29"/>
      <c r="N50" s="32">
        <f>IF(AND($C50=$C$61,$E50=4),$L50,0)</f>
        <v>0</v>
      </c>
      <c r="O50" s="46">
        <f>IF(AND($C50=$C$61,$E50=4),$M50,0)</f>
        <v>0</v>
      </c>
      <c r="P50" s="124">
        <f>IF(AND($C50=$C$61,$E50&lt;=5,$H50=$C$61,$J50&gt;=5),$L50,IF(AND($C50=$C$61,$E50&lt;=5,$H50=$C$62,$J50&lt;=3),$L50,0))</f>
        <v>0</v>
      </c>
      <c r="Q50" s="33">
        <f>IF(AND($C50=$C$61,$E50&lt;=5,$H50=$C$61,$J50&gt;=5),$M50,IF(AND($C50=$C$61,$E50&lt;=5,$H50=$C$62,$J50&lt;=3),$M50,0))</f>
        <v>0</v>
      </c>
      <c r="R50" s="32">
        <f>IF(AND($C50=$C$61,$E50&lt;=6,$H50=$C$61,$J50&gt;=6),$L50,IF(AND($C50=$C$61,$E50&lt;=6,$H50=$C$62,$J50&lt;=3),$L50,0))</f>
        <v>0</v>
      </c>
      <c r="S50" s="46">
        <f>IF(AND($C50=$C$61,$E50&lt;=6,$H50=$C$61,$J50&gt;=6),$M50,IF(AND($C50=$C$61,$E50&lt;=6,$H50=$C$62,$J50&lt;=3),$M50,0))</f>
        <v>0</v>
      </c>
      <c r="T50" s="124">
        <f>IF(AND($C50=$C$61,$E50&lt;=7,$H50=$C$61,$J50&gt;=7),$L50,IF(AND($C50=$C$61,$E50&lt;=7,$H50=$C$62,$J50&lt;=3),$L50,0))</f>
        <v>0</v>
      </c>
      <c r="U50" s="33">
        <f>IF(AND($C50=$C$61,$E50&lt;=7,$H50=$C$61,$J50&gt;=7),$M50,IF(AND($C50=$C$61,$E50&lt;=7,$H50=$C$62,$J50&lt;=3),$M50,0))</f>
        <v>0</v>
      </c>
      <c r="V50" s="32">
        <f>IF(AND($C50=$C$61,$E50&lt;=8,$H50=$C$61,$J50&gt;=8),$L50,IF(AND($C50=$C$61,$E50&lt;=8,$H50=$C$62,$J50&lt;=3),$L50,0))</f>
        <v>0</v>
      </c>
      <c r="W50" s="46">
        <f>IF(AND($C50=$C$61,$E50&lt;=8,$H50=$C$61,$J50&gt;=8),$M50,IF(AND($C50=$C$61,$E50&lt;=8,$H50=$C$62,$J50&lt;=3),$M50,0))</f>
        <v>0</v>
      </c>
      <c r="X50" s="124">
        <f>IF(AND($C50=$C$61,$E50&lt;=9,$H50=$C$61,$J50&gt;=9),$L50,IF(AND($C50=$C$61,$E50&lt;=9,$H50=$C$62,$J50&lt;=3),$L50,0))</f>
        <v>0</v>
      </c>
      <c r="Y50" s="33">
        <f>IF(AND($C50=$C$61,$E50&lt;=9,$H50=$C$61,$J50&gt;=9),$M50,IF(AND($C50=$C$61,$E50&lt;=9,$H50=$C$62,$J50&lt;=3),$M50,0))</f>
        <v>0</v>
      </c>
      <c r="Z50" s="32">
        <f>IF(AND($C50=$C$61,$E50&lt;=10,$H50=$C$61,$J50&gt;=10),$L50,IF(AND($C50=$C$61,$E50&lt;=10,$H50=$C$62,$J50&lt;=3),$L50,0))</f>
        <v>0</v>
      </c>
      <c r="AA50" s="46">
        <f>IF(AND($C50=$C$61,$E50&lt;=10,$H50=$C$61,$J50&gt;=10),$M50,IF(AND($C50=$C$61,$E50&lt;=10,$H50=$C$62,$J50&lt;=3),$M50,0))</f>
        <v>0</v>
      </c>
      <c r="AB50" s="124">
        <f>IF(AND($C50=$C$61,$E50&lt;=11,$H50=$C$61,$J50&gt;=11),$L50,IF(AND($C50=$C$61,$E50&lt;=11,$H50=$C$62,$J50&lt;=3),$L50,0))</f>
        <v>0</v>
      </c>
      <c r="AC50" s="33">
        <f>IF(AND($C50=$C$61,$E50&lt;=11,$H50=$C$61,$J50&gt;=11),$M50,IF(AND($C50=$C$61,$E50&lt;=11,$H50=$C$62,$J50&lt;=3),$M50,0))</f>
        <v>0</v>
      </c>
      <c r="AD50" s="32">
        <f>IF(AND($C50=$C$61,$E50&lt;=12,$H50=$C$61,$J50=12),$L50,IF(AND($C50=$C$61,$E50&lt;=12,$H50=$C$62,$J50&lt;=3),$L50,0))</f>
        <v>0</v>
      </c>
      <c r="AE50" s="46">
        <f>IF(AND($C50=$C$61,$E50&lt;=12,$H50=$C$61,$J50&gt;=12),$M50,IF(AND($C50=$C$61,$E50&lt;=12,$H50=$C$62,$J50&lt;=3),$M50,0))</f>
        <v>0</v>
      </c>
      <c r="AF50" s="124">
        <f>IF(AND($C50=$C$61,$E50&lt;=12,$H50=$C$62,$J50&lt;=3),$L50,IF(AND($C50=$C$62,$E50&lt;=1,$H50=$C$62,$J50&lt;=3),$L50,0))</f>
        <v>0</v>
      </c>
      <c r="AG50" s="46">
        <f>IF(AND($C50=$C$61,$E50&lt;=12,$H50=$C$62,$J50&gt;=1),$M50,IF(AND($C50=$C$62,$E50&lt;=1,$H50=$C$62,$J50&lt;=3),$M50,0))</f>
        <v>0</v>
      </c>
      <c r="AH50" s="32">
        <f>IF(AND($C50=$C$61,$E50&lt;=12,$H50=$C$62,$J50&gt;=2),$L50,IF(AND($C50=$C$62,$E50&lt;=2,$H50=$C$62,$J50&gt;1),$L50,0))</f>
        <v>0</v>
      </c>
      <c r="AI50" s="46">
        <f>IF(AND($C50=$C$61,$E50&lt;=12,$H50=$C$62,$J50&gt;=2),$M50,IF(AND($C50=$C$62,$E50&lt;=2,$H50=$C$62,$J50&gt;1),$M50,0))</f>
        <v>0</v>
      </c>
      <c r="AJ50" s="124">
        <f>IF(AND($C50=$C$61,$E50&lt;=12,$H50=$C$62,$J50=3),$L50,IF(AND($C50=$C$62,$E50&lt;=3,$H50=$C$62,$J50=3),$L50,0))</f>
        <v>0</v>
      </c>
      <c r="AK50" s="49">
        <f>IF(AND($C50=$C$61,$E50&lt;=12,$H50=$C$62,$J50=3),$M50,IF(AND($C50=$C$62,$E50&lt;=3,$H50=$C$62,$J50=3),$M50,0))</f>
        <v>0</v>
      </c>
      <c r="AL50" s="7"/>
    </row>
    <row r="51" spans="1:38" ht="26.1" customHeight="1">
      <c r="A51" s="21">
        <v>2</v>
      </c>
      <c r="B51" s="2"/>
      <c r="C51" s="81"/>
      <c r="D51" s="86" t="s">
        <v>49</v>
      </c>
      <c r="E51" s="53"/>
      <c r="F51" s="86" t="s">
        <v>46</v>
      </c>
      <c r="G51" s="86" t="s">
        <v>111</v>
      </c>
      <c r="H51" s="81"/>
      <c r="I51" s="86" t="s">
        <v>49</v>
      </c>
      <c r="J51" s="53"/>
      <c r="K51" s="86" t="s">
        <v>48</v>
      </c>
      <c r="L51" s="28"/>
      <c r="M51" s="29"/>
      <c r="N51" s="32">
        <f>IF(AND($C51=$C$61,$E51=4),$L51,0)</f>
        <v>0</v>
      </c>
      <c r="O51" s="46">
        <f>IF(AND($C51=$C$61,$E51=4),$M51,0)</f>
        <v>0</v>
      </c>
      <c r="P51" s="124">
        <f>IF(AND($C51=$C$61,$E51&lt;=5,$H51=$C$61,$J51&gt;=5),$L51,IF(AND($C51=$C$61,$E51&lt;=5,$H51=$C$62,$J51&lt;=3),$L51,0))</f>
        <v>0</v>
      </c>
      <c r="Q51" s="33">
        <f>IF(AND($C51=$C$61,$E51&lt;=5,$H51=$C$61,$J51&gt;=5),$M51,IF(AND($C51=$C$61,$E51&lt;=5,$H51=$C$62,$J51&lt;=3),$M51,0))</f>
        <v>0</v>
      </c>
      <c r="R51" s="32">
        <f>IF(AND($C51=$C$61,$E51&lt;=6,$H51=$C$61,$J51&gt;=6),$L51,IF(AND($C51=$C$61,$E51&lt;=6,$H51=$C$62,$J51&lt;=3),$L51,0))</f>
        <v>0</v>
      </c>
      <c r="S51" s="46">
        <f>IF(AND($C51=$C$61,$E51&lt;=6,$H51=$C$61,$J51&gt;=6),$M51,IF(AND($C51=$C$61,$E51&lt;=6,$H51=$C$62,$J51&lt;=3),$M51,0))</f>
        <v>0</v>
      </c>
      <c r="T51" s="124">
        <f>IF(AND($C51=$C$61,$E51&lt;=7,$H51=$C$61,$J51&gt;=7),$L51,IF(AND($C51=$C$61,$E51&lt;=7,$H51=$C$62,$J51&lt;=3),$L51,0))</f>
        <v>0</v>
      </c>
      <c r="U51" s="33">
        <f>IF(AND($C51=$C$61,$E51&lt;=7,$H51=$C$61,$J51&gt;=7),$M51,IF(AND($C51=$C$61,$E51&lt;=7,$H51=$C$62,$J51&lt;=3),$M51,0))</f>
        <v>0</v>
      </c>
      <c r="V51" s="32">
        <f>IF(AND($C51=$C$61,$E51&lt;=8,$H51=$C$61,$J51&gt;=8),$L51,IF(AND($C51=$C$61,$E51&lt;=8,$H51=$C$62,$J51&lt;=3),$L51,0))</f>
        <v>0</v>
      </c>
      <c r="W51" s="46">
        <f>IF(AND($C51=$C$61,$E51&lt;=8,$H51=$C$61,$J51&gt;=8),$M51,IF(AND($C51=$C$61,$E51&lt;=8,$H51=$C$62,$J51&lt;=3),$M51,0))</f>
        <v>0</v>
      </c>
      <c r="X51" s="124">
        <f>IF(AND($C51=$C$61,$E51&lt;=9,$H51=$C$61,$J51&gt;=9),$L51,IF(AND($C51=$C$61,$E51&lt;=9,$H51=$C$62,$J51&lt;=3),$L51,0))</f>
        <v>0</v>
      </c>
      <c r="Y51" s="33">
        <f>IF(AND($C51=$C$61,$E51&lt;=9,$H51=$C$61,$J51&gt;=9),$M51,IF(AND($C51=$C$61,$E51&lt;=9,$H51=$C$62,$J51&lt;=3),$M51,0))</f>
        <v>0</v>
      </c>
      <c r="Z51" s="32">
        <f>IF(AND($C51=$C$61,$E51&lt;=10,$H51=$C$61,$J51&gt;=10),$L51,IF(AND($C51=$C$61,$E51&lt;=10,$H51=$C$62,$J51&lt;=3),$L51,0))</f>
        <v>0</v>
      </c>
      <c r="AA51" s="46">
        <f>IF(AND($C51=$C$61,$E51&lt;=10,$H51=$C$61,$J51&gt;=10),$M51,IF(AND($C51=$C$61,$E51&lt;=10,$H51=$C$62,$J51&lt;=3),$M51,0))</f>
        <v>0</v>
      </c>
      <c r="AB51" s="124">
        <f>IF(AND($C51=$C$61,$E51&lt;=11,$H51=$C$61,$J51&gt;=11),$L51,IF(AND($C51=$C$61,$E51&lt;=11,$H51=$C$62,$J51&lt;=3),$L51,0))</f>
        <v>0</v>
      </c>
      <c r="AC51" s="33">
        <f>IF(AND($C51=$C$61,$E51&lt;=11,$H51=$C$61,$J51&gt;=11),$M51,IF(AND($C51=$C$61,$E51&lt;=11,$H51=$C$62,$J51&lt;=3),$M51,0))</f>
        <v>0</v>
      </c>
      <c r="AD51" s="32">
        <f>IF(AND($C51=$C$61,$E51&lt;=12,$H51=$C$61,$J51=12),$L51,IF(AND($C51=$C$61,$E51&lt;=12,$H51=$C$62,$J51&lt;=3),$L51,0))</f>
        <v>0</v>
      </c>
      <c r="AE51" s="46">
        <f>IF(AND($C51=$C$61,$E51&lt;=12,$H51=$C$61,$J51&gt;=12),$M51,IF(AND($C51=$C$61,$E51&lt;=12,$H51=$C$62,$J51&lt;=3),$M51,0))</f>
        <v>0</v>
      </c>
      <c r="AF51" s="124">
        <f>IF(AND($C51=$C$61,$E51&lt;=12,$H51=$C$62,$J51&lt;=3),$L51,IF(AND($C51=$C$62,$E51&lt;=1,$H51=$C$62,$J51&lt;=3),$L51,0))</f>
        <v>0</v>
      </c>
      <c r="AG51" s="46">
        <f>IF(AND($C51=$C$61,$E51&lt;=12,$H51=$C$62,$J51&gt;=1),$M51,IF(AND($C51=$C$62,$E51&lt;=1,$H51=$C$62,$J51&lt;=3),$M51,0))</f>
        <v>0</v>
      </c>
      <c r="AH51" s="32">
        <f>IF(AND($C51=$C$61,$E51&lt;=12,$H51=$C$62,$J51&gt;=2),$L51,IF(AND($C51=$C$62,$E51&lt;=2,$H51=$C$62,$J51&gt;1),$L51,0))</f>
        <v>0</v>
      </c>
      <c r="AI51" s="46">
        <f>IF(AND($C51=$C$61,$E51&lt;=12,$H51=$C$62,$J51&gt;=2),$M51,IF(AND($C51=$C$62,$E51&lt;=2,$H51=$C$62,$J51&gt;1),$M51,0))</f>
        <v>0</v>
      </c>
      <c r="AJ51" s="124">
        <f>IF(AND($C51=$C$61,$E51&lt;=12,$H51=$C$62,$J51=3),$L51,IF(AND($C51=$C$62,$E51&lt;=3,$H51=$C$62,$J51=3),$L51,0))</f>
        <v>0</v>
      </c>
      <c r="AK51" s="49">
        <f>IF(AND($C51=$C$61,$E51&lt;=12,$H51=$C$62,$J51=3),$M51,IF(AND($C51=$C$62,$E51&lt;=3,$H51=$C$62,$J51=3),$M51,0))</f>
        <v>0</v>
      </c>
      <c r="AL51" s="7"/>
    </row>
    <row r="52" spans="1:38" ht="26.1" customHeight="1">
      <c r="A52" s="21">
        <v>3</v>
      </c>
      <c r="B52" s="2"/>
      <c r="C52" s="81"/>
      <c r="D52" s="86" t="s">
        <v>49</v>
      </c>
      <c r="E52" s="53"/>
      <c r="F52" s="86" t="s">
        <v>46</v>
      </c>
      <c r="G52" s="86" t="s">
        <v>111</v>
      </c>
      <c r="H52" s="81"/>
      <c r="I52" s="86" t="s">
        <v>49</v>
      </c>
      <c r="J52" s="53"/>
      <c r="K52" s="86" t="s">
        <v>48</v>
      </c>
      <c r="L52" s="28"/>
      <c r="M52" s="29"/>
      <c r="N52" s="32">
        <f>IF(AND($C52=$C$61,$E52=4),$L52,0)</f>
        <v>0</v>
      </c>
      <c r="O52" s="46">
        <f>IF(AND($C52=$C$61,$E52=4),$M52,0)</f>
        <v>0</v>
      </c>
      <c r="P52" s="124">
        <f>IF(AND($C52=$C$61,$E52&lt;=5,$H52=$C$61,$J52&gt;=5),$L52,IF(AND($C52=$C$61,$E52&lt;=5,$H52=$C$62,$J52&lt;=3),$L52,0))</f>
        <v>0</v>
      </c>
      <c r="Q52" s="33">
        <f>IF(AND($C52=$C$61,$E52&lt;=5,$H52=$C$61,$J52&gt;=5),$M52,IF(AND($C52=$C$61,$E52&lt;=5,$H52=$C$62,$J52&lt;=3),$M52,0))</f>
        <v>0</v>
      </c>
      <c r="R52" s="32">
        <f>IF(AND($C52=$C$61,$E52&lt;=6,$H52=$C$61,$J52&gt;=6),$L52,IF(AND($C52=$C$61,$E52&lt;=6,$H52=$C$62,$J52&lt;=3),$L52,0))</f>
        <v>0</v>
      </c>
      <c r="S52" s="46">
        <f>IF(AND($C52=$C$61,$E52&lt;=6,$H52=$C$61,$J52&gt;=6),$M52,IF(AND($C52=$C$61,$E52&lt;=6,$H52=$C$62,$J52&lt;=3),$M52,0))</f>
        <v>0</v>
      </c>
      <c r="T52" s="124">
        <f>IF(AND($C52=$C$61,$E52&lt;=7,$H52=$C$61,$J52&gt;=7),$L52,IF(AND($C52=$C$61,$E52&lt;=7,$H52=$C$62,$J52&lt;=3),$L52,0))</f>
        <v>0</v>
      </c>
      <c r="U52" s="33">
        <f>IF(AND($C52=$C$61,$E52&lt;=7,$H52=$C$61,$J52&gt;=7),$M52,IF(AND($C52=$C$61,$E52&lt;=7,$H52=$C$62,$J52&lt;=3),$M52,0))</f>
        <v>0</v>
      </c>
      <c r="V52" s="32">
        <f>IF(AND($C52=$C$61,$E52&lt;=8,$H52=$C$61,$J52&gt;=8),$L52,IF(AND($C52=$C$61,$E52&lt;=8,$H52=$C$62,$J52&lt;=3),$L52,0))</f>
        <v>0</v>
      </c>
      <c r="W52" s="46">
        <f>IF(AND($C52=$C$61,$E52&lt;=8,$H52=$C$61,$J52&gt;=8),$M52,IF(AND($C52=$C$61,$E52&lt;=8,$H52=$C$62,$J52&lt;=3),$M52,0))</f>
        <v>0</v>
      </c>
      <c r="X52" s="124">
        <f>IF(AND($C52=$C$61,$E52&lt;=9,$H52=$C$61,$J52&gt;=9),$L52,IF(AND($C52=$C$61,$E52&lt;=9,$H52=$C$62,$J52&lt;=3),$L52,0))</f>
        <v>0</v>
      </c>
      <c r="Y52" s="33">
        <f>IF(AND($C52=$C$61,$E52&lt;=9,$H52=$C$61,$J52&gt;=9),$M52,IF(AND($C52=$C$61,$E52&lt;=9,$H52=$C$62,$J52&lt;=3),$M52,0))</f>
        <v>0</v>
      </c>
      <c r="Z52" s="32">
        <f>IF(AND($C52=$C$61,$E52&lt;=10,$H52=$C$61,$J52&gt;=10),$L52,IF(AND($C52=$C$61,$E52&lt;=10,$H52=$C$62,$J52&lt;=3),$L52,0))</f>
        <v>0</v>
      </c>
      <c r="AA52" s="46">
        <f>IF(AND($C52=$C$61,$E52&lt;=10,$H52=$C$61,$J52&gt;=10),$M52,IF(AND($C52=$C$61,$E52&lt;=10,$H52=$C$62,$J52&lt;=3),$M52,0))</f>
        <v>0</v>
      </c>
      <c r="AB52" s="124">
        <f>IF(AND($C52=$C$61,$E52&lt;=11,$H52=$C$61,$J52&gt;=11),$L52,IF(AND($C52=$C$61,$E52&lt;=11,$H52=$C$62,$J52&lt;=3),$L52,0))</f>
        <v>0</v>
      </c>
      <c r="AC52" s="33">
        <f>IF(AND($C52=$C$61,$E52&lt;=11,$H52=$C$61,$J52&gt;=11),$M52,IF(AND($C52=$C$61,$E52&lt;=11,$H52=$C$62,$J52&lt;=3),$M52,0))</f>
        <v>0</v>
      </c>
      <c r="AD52" s="32">
        <f>IF(AND($C52=$C$61,$E52&lt;=12,$H52=$C$61,$J52=12),$L52,IF(AND($C52=$C$61,$E52&lt;=12,$H52=$C$62,$J52&lt;=3),$L52,0))</f>
        <v>0</v>
      </c>
      <c r="AE52" s="46">
        <f>IF(AND($C52=$C$61,$E52&lt;=12,$H52=$C$61,$J52&gt;=12),$M52,IF(AND($C52=$C$61,$E52&lt;=12,$H52=$C$62,$J52&lt;=3),$M52,0))</f>
        <v>0</v>
      </c>
      <c r="AF52" s="124">
        <f>IF(AND($C52=$C$61,$E52&lt;=12,$H52=$C$62,$J52&lt;=3),$L52,IF(AND($C52=$C$62,$E52&lt;=1,$H52=$C$62,$J52&lt;=3),$L52,0))</f>
        <v>0</v>
      </c>
      <c r="AG52" s="46">
        <f>IF(AND($C52=$C$61,$E52&lt;=12,$H52=$C$62,$J52&gt;=1),$M52,IF(AND($C52=$C$62,$E52&lt;=1,$H52=$C$62,$J52&lt;=3),$M52,0))</f>
        <v>0</v>
      </c>
      <c r="AH52" s="32">
        <f>IF(AND($C52=$C$61,$E52&lt;=12,$H52=$C$62,$J52&gt;=2),$L52,IF(AND($C52=$C$62,$E52&lt;=2,$H52=$C$62,$J52&gt;1),$L52,0))</f>
        <v>0</v>
      </c>
      <c r="AI52" s="46">
        <f>IF(AND($C52=$C$61,$E52&lt;=12,$H52=$C$62,$J52&gt;=2),$M52,IF(AND($C52=$C$62,$E52&lt;=2,$H52=$C$62,$J52&gt;1),$M52,0))</f>
        <v>0</v>
      </c>
      <c r="AJ52" s="124">
        <f>IF(AND($C52=$C$61,$E52&lt;=12,$H52=$C$62,$J52=3),$L52,IF(AND($C52=$C$62,$E52&lt;=3,$H52=$C$62,$J52=3),$L52,0))</f>
        <v>0</v>
      </c>
      <c r="AK52" s="49">
        <f>IF(AND($C52=$C$61,$E52&lt;=12,$H52=$C$62,$J52=3),$M52,IF(AND($C52=$C$62,$E52&lt;=3,$H52=$C$62,$J52=3),$M52,0))</f>
        <v>0</v>
      </c>
      <c r="AL52" s="7"/>
    </row>
    <row r="53" spans="1:38" ht="26.1" customHeight="1">
      <c r="A53" s="21">
        <v>4</v>
      </c>
      <c r="B53" s="2"/>
      <c r="C53" s="81"/>
      <c r="D53" s="86" t="s">
        <v>49</v>
      </c>
      <c r="E53" s="53"/>
      <c r="F53" s="86" t="s">
        <v>46</v>
      </c>
      <c r="G53" s="86" t="s">
        <v>111</v>
      </c>
      <c r="H53" s="81"/>
      <c r="I53" s="86" t="s">
        <v>49</v>
      </c>
      <c r="J53" s="53"/>
      <c r="K53" s="86" t="s">
        <v>48</v>
      </c>
      <c r="L53" s="28"/>
      <c r="M53" s="29"/>
      <c r="N53" s="32">
        <f>IF(AND($C53=$C$61,$E53=4),$L53,0)</f>
        <v>0</v>
      </c>
      <c r="O53" s="46">
        <f>IF(AND($C53=$C$61,$E53=4),$M53,0)</f>
        <v>0</v>
      </c>
      <c r="P53" s="124">
        <f>IF(AND($C53=$C$61,$E53&lt;=5,$H53=$C$61,$J53&gt;=5),$L53,IF(AND($C53=$C$61,$E53&lt;=5,$H53=$C$62,$J53&lt;=3),$L53,0))</f>
        <v>0</v>
      </c>
      <c r="Q53" s="33">
        <f>IF(AND($C53=$C$61,$E53&lt;=5,$H53=$C$61,$J53&gt;=5),$M53,IF(AND($C53=$C$61,$E53&lt;=5,$H53=$C$62,$J53&lt;=3),$M53,0))</f>
        <v>0</v>
      </c>
      <c r="R53" s="32">
        <f>IF(AND($C53=$C$61,$E53&lt;=6,$H53=$C$61,$J53&gt;=6),$L53,IF(AND($C53=$C$61,$E53&lt;=6,$H53=$C$62,$J53&lt;=3),$L53,0))</f>
        <v>0</v>
      </c>
      <c r="S53" s="46">
        <f>IF(AND($C53=$C$61,$E53&lt;=6,$H53=$C$61,$J53&gt;=6),$M53,IF(AND($C53=$C$61,$E53&lt;=6,$H53=$C$62,$J53&lt;=3),$M53,0))</f>
        <v>0</v>
      </c>
      <c r="T53" s="124">
        <f>IF(AND($C53=$C$61,$E53&lt;=7,$H53=$C$61,$J53&gt;=7),$L53,IF(AND($C53=$C$61,$E53&lt;=7,$H53=$C$62,$J53&lt;=3),$L53,0))</f>
        <v>0</v>
      </c>
      <c r="U53" s="33">
        <f>IF(AND($C53=$C$61,$E53&lt;=7,$H53=$C$61,$J53&gt;=7),$M53,IF(AND($C53=$C$61,$E53&lt;=7,$H53=$C$62,$J53&lt;=3),$M53,0))</f>
        <v>0</v>
      </c>
      <c r="V53" s="32">
        <f>IF(AND($C53=$C$61,$E53&lt;=8,$H53=$C$61,$J53&gt;=8),$L53,IF(AND($C53=$C$61,$E53&lt;=8,$H53=$C$62,$J53&lt;=3),$L53,0))</f>
        <v>0</v>
      </c>
      <c r="W53" s="46">
        <f>IF(AND($C53=$C$61,$E53&lt;=8,$H53=$C$61,$J53&gt;=8),$M53,IF(AND($C53=$C$61,$E53&lt;=8,$H53=$C$62,$J53&lt;=3),$M53,0))</f>
        <v>0</v>
      </c>
      <c r="X53" s="124">
        <f>IF(AND($C53=$C$61,$E53&lt;=9,$H53=$C$61,$J53&gt;=9),$L53,IF(AND($C53=$C$61,$E53&lt;=9,$H53=$C$62,$J53&lt;=3),$L53,0))</f>
        <v>0</v>
      </c>
      <c r="Y53" s="33">
        <f>IF(AND($C53=$C$61,$E53&lt;=9,$H53=$C$61,$J53&gt;=9),$M53,IF(AND($C53=$C$61,$E53&lt;=9,$H53=$C$62,$J53&lt;=3),$M53,0))</f>
        <v>0</v>
      </c>
      <c r="Z53" s="32">
        <f>IF(AND($C53=$C$61,$E53&lt;=10,$H53=$C$61,$J53&gt;=10),$L53,IF(AND($C53=$C$61,$E53&lt;=10,$H53=$C$62,$J53&lt;=3),$L53,0))</f>
        <v>0</v>
      </c>
      <c r="AA53" s="46">
        <f>IF(AND($C53=$C$61,$E53&lt;=10,$H53=$C$61,$J53&gt;=10),$M53,IF(AND($C53=$C$61,$E53&lt;=10,$H53=$C$62,$J53&lt;=3),$M53,0))</f>
        <v>0</v>
      </c>
      <c r="AB53" s="124">
        <f>IF(AND($C53=$C$61,$E53&lt;=11,$H53=$C$61,$J53&gt;=11),$L53,IF(AND($C53=$C$61,$E53&lt;=11,$H53=$C$62,$J53&lt;=3),$L53,0))</f>
        <v>0</v>
      </c>
      <c r="AC53" s="33">
        <f>IF(AND($C53=$C$61,$E53&lt;=11,$H53=$C$61,$J53&gt;=11),$M53,IF(AND($C53=$C$61,$E53&lt;=11,$H53=$C$62,$J53&lt;=3),$M53,0))</f>
        <v>0</v>
      </c>
      <c r="AD53" s="32">
        <f>IF(AND($C53=$C$61,$E53&lt;=12,$H53=$C$61,$J53=12),$L53,IF(AND($C53=$C$61,$E53&lt;=12,$H53=$C$62,$J53&lt;=3),$L53,0))</f>
        <v>0</v>
      </c>
      <c r="AE53" s="46">
        <f>IF(AND($C53=$C$61,$E53&lt;=12,$H53=$C$61,$J53&gt;=12),$M53,IF(AND($C53=$C$61,$E53&lt;=12,$H53=$C$62,$J53&lt;=3),$M53,0))</f>
        <v>0</v>
      </c>
      <c r="AF53" s="124">
        <f>IF(AND($C53=$C$61,$E53&lt;=12,$H53=$C$62,$J53&lt;=3),$L53,IF(AND($C53=$C$62,$E53&lt;=1,$H53=$C$62,$J53&lt;=3),$L53,0))</f>
        <v>0</v>
      </c>
      <c r="AG53" s="46">
        <f>IF(AND($C53=$C$61,$E53&lt;=12,$H53=$C$62,$J53&gt;=1),$M53,IF(AND($C53=$C$62,$E53&lt;=1,$H53=$C$62,$J53&lt;=3),$M53,0))</f>
        <v>0</v>
      </c>
      <c r="AH53" s="32">
        <f>IF(AND($C53=$C$61,$E53&lt;=12,$H53=$C$62,$J53&gt;=2),$L53,IF(AND($C53=$C$62,$E53&lt;=2,$H53=$C$62,$J53&gt;1),$L53,0))</f>
        <v>0</v>
      </c>
      <c r="AI53" s="46">
        <f>IF(AND($C53=$C$61,$E53&lt;=12,$H53=$C$62,$J53&gt;=2),$M53,IF(AND($C53=$C$62,$E53&lt;=2,$H53=$C$62,$J53&gt;1),$M53,0))</f>
        <v>0</v>
      </c>
      <c r="AJ53" s="124">
        <f>IF(AND($C53=$C$61,$E53&lt;=12,$H53=$C$62,$J53=3),$L53,IF(AND($C53=$C$62,$E53&lt;=3,$H53=$C$62,$J53=3),$L53,0))</f>
        <v>0</v>
      </c>
      <c r="AK53" s="49">
        <f>IF(AND($C53=$C$61,$E53&lt;=12,$H53=$C$62,$J53=3),$M53,IF(AND($C53=$C$62,$E53&lt;=3,$H53=$C$62,$J53=3),$M53,0))</f>
        <v>0</v>
      </c>
      <c r="AL53" s="7"/>
    </row>
    <row r="54" spans="1:38" ht="26.1" customHeight="1" thickBot="1">
      <c r="A54" s="21">
        <v>5</v>
      </c>
      <c r="B54" s="2"/>
      <c r="C54" s="81"/>
      <c r="D54" s="86" t="s">
        <v>49</v>
      </c>
      <c r="E54" s="53"/>
      <c r="F54" s="86" t="s">
        <v>46</v>
      </c>
      <c r="G54" s="86" t="s">
        <v>111</v>
      </c>
      <c r="H54" s="81"/>
      <c r="I54" s="86" t="s">
        <v>49</v>
      </c>
      <c r="J54" s="53"/>
      <c r="K54" s="86" t="s">
        <v>48</v>
      </c>
      <c r="L54" s="30"/>
      <c r="M54" s="31"/>
      <c r="N54" s="50">
        <f>IF(AND($C54=$C$61,$E54=4),$L54,0)</f>
        <v>0</v>
      </c>
      <c r="O54" s="123">
        <f>IF(AND($C54=$C$61,$E54=4),$M54,0)</f>
        <v>0</v>
      </c>
      <c r="P54" s="125">
        <f>IF(AND($C54=$C$61,$E54&lt;=5,$H54=$C$61,$J54&gt;=5),$L54,IF(AND($C54=$C$61,$E54&lt;=5,$H54=$C$62,$J54&lt;=3),$L54,0))</f>
        <v>0</v>
      </c>
      <c r="Q54" s="51">
        <f>IF(AND($C54=$C$61,$E54&lt;=5,$H54=$C$61,$J54&gt;=5),$M54,IF(AND($C54=$C$61,$E54&lt;=5,$H54=$C$62,$J54&lt;=3),$M54,0))</f>
        <v>0</v>
      </c>
      <c r="R54" s="50">
        <f>IF(AND($C54=$C$61,$E54&lt;=6,$H54=$C$61,$J54&gt;=6),$L54,IF(AND($C54=$C$61,$E54&lt;=6,$H54=$C$62,$J54&lt;=3),$L54,0))</f>
        <v>0</v>
      </c>
      <c r="S54" s="123">
        <f>IF(AND($C54=$C$61,$E54&lt;=6,$H54=$C$61,$J54&gt;=6),$M54,IF(AND($C54=$C$61,$E54&lt;=6,$H54=$C$62,$J54&lt;=3),$M54,0))</f>
        <v>0</v>
      </c>
      <c r="T54" s="125">
        <f>IF(AND($C54=$C$61,$E54&lt;=7,$H54=$C$61,$J54&gt;=7),$L54,IF(AND($C54=$C$61,$E54&lt;=7,$H54=$C$62,$J54&lt;=3),$L54,0))</f>
        <v>0</v>
      </c>
      <c r="U54" s="51">
        <f>IF(AND($C54=$C$61,$E54&lt;=7,$H54=$C$61,$J54&gt;=7),$M54,IF(AND($C54=$C$61,$E54&lt;=7,$H54=$C$62,$J54&lt;=3),$M54,0))</f>
        <v>0</v>
      </c>
      <c r="V54" s="50">
        <f>IF(AND($C54=$C$61,$E54&lt;=8,$H54=$C$61,$J54&gt;=8),$L54,IF(AND($C54=$C$61,$E54&lt;=8,$H54=$C$62,$J54&lt;=3),$L54,0))</f>
        <v>0</v>
      </c>
      <c r="W54" s="123">
        <f>IF(AND($C54=$C$61,$E54&lt;=8,$H54=$C$61,$J54&gt;=8),$M54,IF(AND($C54=$C$61,$E54&lt;=8,$H54=$C$62,$J54&lt;=3),$M54,0))</f>
        <v>0</v>
      </c>
      <c r="X54" s="125">
        <f>IF(AND($C54=$C$61,$E54&lt;=9,$H54=$C$61,$J54&gt;=9),$L54,IF(AND($C54=$C$61,$E54&lt;=9,$H54=$C$62,$J54&lt;=3),$L54,0))</f>
        <v>0</v>
      </c>
      <c r="Y54" s="51">
        <f>IF(AND($C54=$C$61,$E54&lt;=9,$H54=$C$61,$J54&gt;=9),$M54,IF(AND($C54=$C$61,$E54&lt;=9,$H54=$C$62,$J54&lt;=3),$M54,0))</f>
        <v>0</v>
      </c>
      <c r="Z54" s="50">
        <f>IF(AND($C54=$C$61,$E54&lt;=10,$H54=$C$61,$J54&gt;=10),$L54,IF(AND($C54=$C$61,$E54&lt;=10,$H54=$C$62,$J54&lt;=3),$L54,0))</f>
        <v>0</v>
      </c>
      <c r="AA54" s="123">
        <f>IF(AND($C54=$C$61,$E54&lt;=10,$H54=$C$61,$J54&gt;=10),$M54,IF(AND($C54=$C$61,$E54&lt;=10,$H54=$C$62,$J54&lt;=3),$M54,0))</f>
        <v>0</v>
      </c>
      <c r="AB54" s="125">
        <f>IF(AND($C54=$C$61,$E54&lt;=11,$H54=$C$61,$J54&gt;=11),$L54,IF(AND($C54=$C$61,$E54&lt;=11,$H54=$C$62,$J54&lt;=3),$L54,0))</f>
        <v>0</v>
      </c>
      <c r="AC54" s="51">
        <f>IF(AND($C54=$C$61,$E54&lt;=11,$H54=$C$61,$J54&gt;=11),$M54,IF(AND($C54=$C$61,$E54&lt;=11,$H54=$C$62,$J54&lt;=3),$M54,0))</f>
        <v>0</v>
      </c>
      <c r="AD54" s="50">
        <f>IF(AND($C54=$C$61,$E54&lt;=12,$H54=$C$61,$J54=12),$L54,IF(AND($C54=$C$61,$E54&lt;=12,$H54=$C$62,$J54&lt;=3),$L54,0))</f>
        <v>0</v>
      </c>
      <c r="AE54" s="123">
        <f>IF(AND($C54=$C$61,$E54&lt;=12,$H54=$C$61,$J54&gt;=12),$M54,IF(AND($C54=$C$61,$E54&lt;=12,$H54=$C$62,$J54&lt;=3),$M54,0))</f>
        <v>0</v>
      </c>
      <c r="AF54" s="126">
        <f>IF(AND($C54=$C$61,$E54&lt;=12,$H54=$C$62,$J54&lt;=3),$L54,IF(AND($C54=$C$62,$E54&lt;=1,$H54=$C$62,$J54&lt;=3),$L54,0))</f>
        <v>0</v>
      </c>
      <c r="AG54" s="127">
        <f>IF(AND($C54=$C$61,$E54&lt;=12,$H54=$C$62,$J54&gt;=1),$M54,IF(AND($C54=$C$62,$E54&lt;=1,$H54=$C$62,$J54&lt;=3),$M54,0))</f>
        <v>0</v>
      </c>
      <c r="AH54" s="50">
        <f>IF(AND($C54=$C$61,$E54&lt;=12,$H54=$C$62,$J54&gt;=2),$L54,IF(AND($C54=$C$62,$E54&lt;=2,$H54=$C$62,$J54&gt;1),$L54,0))</f>
        <v>0</v>
      </c>
      <c r="AI54" s="123">
        <f>IF(AND($C54=$C$61,$E54&lt;=12,$H54=$C$62,$J54&gt;=2),$M54,IF(AND($C54=$C$62,$E54&lt;=2,$H54=$C$62,$J54&gt;1),$M54,0))</f>
        <v>0</v>
      </c>
      <c r="AJ54" s="125">
        <f>IF(AND($C54=$C$61,$E54&lt;=12,$H54=$C$62,$J54=3),$L54,IF(AND($C54=$C$62,$E54&lt;=3,$H54=$C$62,$J54=3),$L54,0))</f>
        <v>0</v>
      </c>
      <c r="AK54" s="52">
        <f>IF(AND($C54=$C$61,$E54&lt;=12,$H54=$C$62,$J54=3),$M54,IF(AND($C54=$C$62,$E54&lt;=3,$H54=$C$62,$J54=3),$M54,0))</f>
        <v>0</v>
      </c>
      <c r="AL54" s="7"/>
    </row>
    <row r="55" spans="1:38" ht="26.1" customHeight="1" thickBot="1">
      <c r="A55" s="882" t="s">
        <v>14</v>
      </c>
      <c r="B55" s="883"/>
      <c r="C55" s="883"/>
      <c r="D55" s="883"/>
      <c r="E55" s="883"/>
      <c r="F55" s="883"/>
      <c r="G55" s="883"/>
      <c r="H55" s="883"/>
      <c r="I55" s="883"/>
      <c r="J55" s="883"/>
      <c r="K55" s="884"/>
      <c r="L55" s="885">
        <f>(SUM(L50:L54)*60+SUM(M50:M54))/60</f>
        <v>0</v>
      </c>
      <c r="M55" s="886"/>
      <c r="N55" s="871">
        <f>(SUM(N50:N54)*60+SUM(O50:O54))/60</f>
        <v>0</v>
      </c>
      <c r="O55" s="872"/>
      <c r="P55" s="871">
        <f>(SUM(P50:P54)*60+SUM(Q50:Q54))/60</f>
        <v>0</v>
      </c>
      <c r="Q55" s="872"/>
      <c r="R55" s="871">
        <f>(SUM(R50:R54)*60+SUM(S50:S54))/60</f>
        <v>0</v>
      </c>
      <c r="S55" s="872"/>
      <c r="T55" s="871">
        <f>(SUM(T50:T54)*60+SUM(U50:U54))/60</f>
        <v>0</v>
      </c>
      <c r="U55" s="872"/>
      <c r="V55" s="871">
        <f>(SUM(V50:V54)*60+SUM(W50:W54))/60</f>
        <v>0</v>
      </c>
      <c r="W55" s="872"/>
      <c r="X55" s="871">
        <f>(SUM(X50:X54)*60+SUM(Y50:Y54))/60</f>
        <v>0</v>
      </c>
      <c r="Y55" s="872"/>
      <c r="Z55" s="871">
        <f>(SUM(Z50:Z54)*60+SUM(AA50:AA54))/60</f>
        <v>0</v>
      </c>
      <c r="AA55" s="872"/>
      <c r="AB55" s="871">
        <f>(SUM(AB50:AB54)*60+SUM(AC50:AC54))/60</f>
        <v>0</v>
      </c>
      <c r="AC55" s="872"/>
      <c r="AD55" s="871">
        <f>(SUM(AD50:AD54)*60+SUM(AE50:AE54))/60</f>
        <v>0</v>
      </c>
      <c r="AE55" s="872"/>
      <c r="AF55" s="896">
        <f>(SUM(AF50:AF54)*60+SUM(AG50:AG54))/60</f>
        <v>0</v>
      </c>
      <c r="AG55" s="896"/>
      <c r="AH55" s="895">
        <f>(SUM(AH50:AH54)*60+SUM(AI50:AI54))/60</f>
        <v>0</v>
      </c>
      <c r="AI55" s="872"/>
      <c r="AJ55" s="871">
        <f>(SUM(AJ50:AJ54)*60+SUM(AK50:AK54))/60</f>
        <v>0</v>
      </c>
      <c r="AK55" s="872"/>
      <c r="AL55" s="7"/>
    </row>
    <row r="56" spans="1:38" ht="26.1" customHeight="1" thickBot="1">
      <c r="A56" s="873" t="s">
        <v>68</v>
      </c>
      <c r="B56" s="874"/>
      <c r="C56" s="874"/>
      <c r="D56" s="874"/>
      <c r="E56" s="874"/>
      <c r="F56" s="874"/>
      <c r="G56" s="874"/>
      <c r="H56" s="874"/>
      <c r="I56" s="874"/>
      <c r="J56" s="874"/>
      <c r="K56" s="875"/>
      <c r="L56" s="876"/>
      <c r="M56" s="877"/>
      <c r="N56" s="878">
        <f>$L56</f>
        <v>0</v>
      </c>
      <c r="O56" s="879"/>
      <c r="P56" s="880">
        <f>$L56</f>
        <v>0</v>
      </c>
      <c r="Q56" s="879"/>
      <c r="R56" s="880">
        <f>$L56</f>
        <v>0</v>
      </c>
      <c r="S56" s="879"/>
      <c r="T56" s="880">
        <f>$L56</f>
        <v>0</v>
      </c>
      <c r="U56" s="879"/>
      <c r="V56" s="880">
        <f>$L56</f>
        <v>0</v>
      </c>
      <c r="W56" s="879"/>
      <c r="X56" s="880">
        <f>$L56</f>
        <v>0</v>
      </c>
      <c r="Y56" s="879"/>
      <c r="Z56" s="880">
        <f>$L56</f>
        <v>0</v>
      </c>
      <c r="AA56" s="879"/>
      <c r="AB56" s="880">
        <f>$L56</f>
        <v>0</v>
      </c>
      <c r="AC56" s="879"/>
      <c r="AD56" s="880">
        <f>$L56</f>
        <v>0</v>
      </c>
      <c r="AE56" s="879"/>
      <c r="AF56" s="897">
        <f>$L56</f>
        <v>0</v>
      </c>
      <c r="AG56" s="897"/>
      <c r="AH56" s="878">
        <f>$L56</f>
        <v>0</v>
      </c>
      <c r="AI56" s="879"/>
      <c r="AJ56" s="880">
        <f>$L56</f>
        <v>0</v>
      </c>
      <c r="AK56" s="879"/>
      <c r="AL56" s="7"/>
    </row>
    <row r="57" spans="1:38" ht="26.1" customHeight="1">
      <c r="A57" s="892" t="s">
        <v>296</v>
      </c>
      <c r="B57" s="893"/>
      <c r="C57" s="893"/>
      <c r="D57" s="893"/>
      <c r="E57" s="893"/>
      <c r="F57" s="893"/>
      <c r="G57" s="893"/>
      <c r="H57" s="893"/>
      <c r="I57" s="893"/>
      <c r="J57" s="893"/>
      <c r="K57" s="894"/>
      <c r="L57" s="890">
        <f>IFERROR(L55/L56,0)</f>
        <v>0</v>
      </c>
      <c r="M57" s="891"/>
      <c r="N57" s="890">
        <f t="shared" ref="N57" si="36">IFERROR(N55/N56,0)</f>
        <v>0</v>
      </c>
      <c r="O57" s="891"/>
      <c r="P57" s="890">
        <f t="shared" ref="P57" si="37">IFERROR(P55/P56,0)</f>
        <v>0</v>
      </c>
      <c r="Q57" s="891"/>
      <c r="R57" s="890">
        <f t="shared" ref="R57" si="38">IFERROR(R55/R56,0)</f>
        <v>0</v>
      </c>
      <c r="S57" s="891"/>
      <c r="T57" s="890">
        <f t="shared" ref="T57" si="39">IFERROR(T55/T56,0)</f>
        <v>0</v>
      </c>
      <c r="U57" s="891"/>
      <c r="V57" s="890">
        <f t="shared" ref="V57" si="40">IFERROR(V55/V56,0)</f>
        <v>0</v>
      </c>
      <c r="W57" s="891"/>
      <c r="X57" s="890">
        <f t="shared" ref="X57" si="41">IFERROR(X55/X56,0)</f>
        <v>0</v>
      </c>
      <c r="Y57" s="891"/>
      <c r="Z57" s="890">
        <f t="shared" ref="Z57" si="42">IFERROR(Z55/Z56,0)</f>
        <v>0</v>
      </c>
      <c r="AA57" s="891"/>
      <c r="AB57" s="890">
        <f t="shared" ref="AB57" si="43">IFERROR(AB55/AB56,0)</f>
        <v>0</v>
      </c>
      <c r="AC57" s="891"/>
      <c r="AD57" s="890">
        <f t="shared" ref="AD57" si="44">IFERROR(AD55/AD56,0)</f>
        <v>0</v>
      </c>
      <c r="AE57" s="891"/>
      <c r="AF57" s="890">
        <f t="shared" ref="AF57" si="45">IFERROR(AF55/AF56,0)</f>
        <v>0</v>
      </c>
      <c r="AG57" s="891"/>
      <c r="AH57" s="890">
        <f t="shared" ref="AH57" si="46">IFERROR(AH55/AH56,0)</f>
        <v>0</v>
      </c>
      <c r="AI57" s="891"/>
      <c r="AJ57" s="890">
        <f t="shared" ref="AJ57" si="47">IFERROR(AJ55/AJ56,0)</f>
        <v>0</v>
      </c>
      <c r="AK57" s="891"/>
      <c r="AL57" s="7"/>
    </row>
    <row r="58" spans="1:38">
      <c r="AL58" s="7"/>
    </row>
    <row r="59" spans="1:38">
      <c r="AL59" s="7"/>
    </row>
    <row r="60" spans="1:38">
      <c r="AL60" s="7"/>
    </row>
    <row r="61" spans="1:38">
      <c r="C61" s="1">
        <v>2024</v>
      </c>
    </row>
    <row r="62" spans="1:38">
      <c r="C62" s="1">
        <v>2025</v>
      </c>
    </row>
    <row r="64" spans="1:38">
      <c r="D64" s="1">
        <v>4</v>
      </c>
    </row>
    <row r="65" spans="4:4">
      <c r="D65" s="1">
        <v>5</v>
      </c>
    </row>
    <row r="66" spans="4:4">
      <c r="D66" s="1">
        <v>6</v>
      </c>
    </row>
    <row r="67" spans="4:4">
      <c r="D67" s="1">
        <v>7</v>
      </c>
    </row>
    <row r="68" spans="4:4">
      <c r="D68" s="1">
        <v>8</v>
      </c>
    </row>
    <row r="69" spans="4:4">
      <c r="D69" s="1">
        <v>9</v>
      </c>
    </row>
    <row r="70" spans="4:4">
      <c r="D70" s="1">
        <v>10</v>
      </c>
    </row>
    <row r="71" spans="4:4">
      <c r="D71" s="1">
        <v>11</v>
      </c>
    </row>
    <row r="72" spans="4:4">
      <c r="D72" s="1">
        <v>12</v>
      </c>
    </row>
    <row r="73" spans="4:4">
      <c r="D73" s="1">
        <v>1</v>
      </c>
    </row>
    <row r="74" spans="4:4">
      <c r="D74" s="1">
        <v>2</v>
      </c>
    </row>
    <row r="75" spans="4:4">
      <c r="D75" s="1">
        <v>3</v>
      </c>
    </row>
  </sheetData>
  <sheetProtection algorithmName="SHA-512" hashValue="ccae6LFksHI7wjUwjpOqcOIyNR5U0hiT0F6OfcpphY+Xlt5OznkjM1eNVwqSbww0x86qKJdGNOlvMFDKJMGM1Q==" saltValue="b7h/Kl9xfc0BETkmInGqvw==" spinCount="100000" sheet="1" objects="1" scenarios="1"/>
  <mergeCells count="123">
    <mergeCell ref="AD57:AE57"/>
    <mergeCell ref="AH57:AI57"/>
    <mergeCell ref="AJ57:AK57"/>
    <mergeCell ref="AH56:AI56"/>
    <mergeCell ref="AJ56:AK56"/>
    <mergeCell ref="AD56:AE56"/>
    <mergeCell ref="AF56:AG56"/>
    <mergeCell ref="AF57:AG57"/>
    <mergeCell ref="A57:K57"/>
    <mergeCell ref="L57:M57"/>
    <mergeCell ref="N57:O57"/>
    <mergeCell ref="P57:Q57"/>
    <mergeCell ref="R57:S57"/>
    <mergeCell ref="T57:U57"/>
    <mergeCell ref="V57:W57"/>
    <mergeCell ref="X57:Y57"/>
    <mergeCell ref="V56:W56"/>
    <mergeCell ref="X56:Y56"/>
    <mergeCell ref="Z56:AA56"/>
    <mergeCell ref="AB56:AC56"/>
    <mergeCell ref="Z57:AA57"/>
    <mergeCell ref="AB57:AC57"/>
    <mergeCell ref="A56:K56"/>
    <mergeCell ref="L56:M56"/>
    <mergeCell ref="N56:O56"/>
    <mergeCell ref="P56:Q56"/>
    <mergeCell ref="R56:S56"/>
    <mergeCell ref="T56:U56"/>
    <mergeCell ref="AD55:AE55"/>
    <mergeCell ref="AH55:AI55"/>
    <mergeCell ref="AJ55:AK55"/>
    <mergeCell ref="AH48:AI48"/>
    <mergeCell ref="AJ48:AK48"/>
    <mergeCell ref="AD48:AE48"/>
    <mergeCell ref="AF48:AG48"/>
    <mergeCell ref="AF55:AG55"/>
    <mergeCell ref="Z48:AA48"/>
    <mergeCell ref="AB48:AC48"/>
    <mergeCell ref="Z55:AA55"/>
    <mergeCell ref="AB55:AC55"/>
    <mergeCell ref="A55:K55"/>
    <mergeCell ref="L55:M55"/>
    <mergeCell ref="N55:O55"/>
    <mergeCell ref="P55:Q55"/>
    <mergeCell ref="R55:S55"/>
    <mergeCell ref="T55:U55"/>
    <mergeCell ref="V55:W55"/>
    <mergeCell ref="X55:Y55"/>
    <mergeCell ref="V48:W48"/>
    <mergeCell ref="X48:Y48"/>
    <mergeCell ref="AJ40:AK40"/>
    <mergeCell ref="A47:A49"/>
    <mergeCell ref="B47:B49"/>
    <mergeCell ref="C47:K49"/>
    <mergeCell ref="L47:M48"/>
    <mergeCell ref="N47:AK47"/>
    <mergeCell ref="N48:O48"/>
    <mergeCell ref="P48:Q48"/>
    <mergeCell ref="R48:S48"/>
    <mergeCell ref="T48:U48"/>
    <mergeCell ref="AD40:AE40"/>
    <mergeCell ref="AH40:AI40"/>
    <mergeCell ref="A40:K40"/>
    <mergeCell ref="L40:M40"/>
    <mergeCell ref="N40:O40"/>
    <mergeCell ref="P40:Q40"/>
    <mergeCell ref="R40:S40"/>
    <mergeCell ref="AB39:AC39"/>
    <mergeCell ref="AD39:AE39"/>
    <mergeCell ref="AF40:AG40"/>
    <mergeCell ref="V40:W40"/>
    <mergeCell ref="T39:U39"/>
    <mergeCell ref="V39:W39"/>
    <mergeCell ref="X40:Y40"/>
    <mergeCell ref="Z40:AA40"/>
    <mergeCell ref="AB40:AC40"/>
    <mergeCell ref="T40:U40"/>
    <mergeCell ref="AJ38:AK38"/>
    <mergeCell ref="A39:K39"/>
    <mergeCell ref="L39:M39"/>
    <mergeCell ref="N39:O39"/>
    <mergeCell ref="P39:Q39"/>
    <mergeCell ref="R39:S39"/>
    <mergeCell ref="AJ39:AK39"/>
    <mergeCell ref="V38:W38"/>
    <mergeCell ref="X38:Y38"/>
    <mergeCell ref="Z38:AA38"/>
    <mergeCell ref="AH38:AI38"/>
    <mergeCell ref="A38:K38"/>
    <mergeCell ref="L38:M38"/>
    <mergeCell ref="N38:O38"/>
    <mergeCell ref="P38:Q38"/>
    <mergeCell ref="R38:S38"/>
    <mergeCell ref="T38:U38"/>
    <mergeCell ref="AF38:AG38"/>
    <mergeCell ref="AF39:AG39"/>
    <mergeCell ref="AB38:AC38"/>
    <mergeCell ref="AD38:AE38"/>
    <mergeCell ref="AH39:AI39"/>
    <mergeCell ref="X39:Y39"/>
    <mergeCell ref="Z39:AA39"/>
    <mergeCell ref="AH6:AI6"/>
    <mergeCell ref="A5:A7"/>
    <mergeCell ref="B5:B7"/>
    <mergeCell ref="C5:K7"/>
    <mergeCell ref="L5:M6"/>
    <mergeCell ref="N5:AK5"/>
    <mergeCell ref="AJ6:AK6"/>
    <mergeCell ref="R6:S6"/>
    <mergeCell ref="T6:U6"/>
    <mergeCell ref="V6:W6"/>
    <mergeCell ref="A2:B2"/>
    <mergeCell ref="C2:M2"/>
    <mergeCell ref="T2:W2"/>
    <mergeCell ref="N3:Q3"/>
    <mergeCell ref="T3:W3"/>
    <mergeCell ref="X6:Y6"/>
    <mergeCell ref="N6:O6"/>
    <mergeCell ref="P6:Q6"/>
    <mergeCell ref="AF6:AG6"/>
    <mergeCell ref="Z6:AA6"/>
    <mergeCell ref="AB6:AC6"/>
    <mergeCell ref="AD6:AE6"/>
  </mergeCells>
  <phoneticPr fontId="2"/>
  <dataValidations disablePrompts="1" count="4">
    <dataValidation type="list" allowBlank="1" showInputMessage="1" showErrorMessage="1" sqref="C50:C54 H50:H54 C8:C37 H8:H37" xr:uid="{00000000-0002-0000-0400-000000000000}">
      <formula1>$C$61:$C$62</formula1>
    </dataValidation>
    <dataValidation type="list" allowBlank="1" showInputMessage="1" showErrorMessage="1" sqref="E50:E54 J50:J54 E8:E37 J8:J37" xr:uid="{00000000-0002-0000-0400-000001000000}">
      <formula1>$D$64:$D$75</formula1>
    </dataValidation>
    <dataValidation type="list" allowBlank="1" showInputMessage="1" showErrorMessage="1" sqref="C46 H46" xr:uid="{00000000-0002-0000-0400-000002000000}">
      <formula1>$C$55:$C$56</formula1>
    </dataValidation>
    <dataValidation type="list" allowBlank="1" showInputMessage="1" showErrorMessage="1" sqref="E46 J46" xr:uid="{00000000-0002-0000-0400-000003000000}">
      <formula1>$D$58:$D$71</formula1>
    </dataValidation>
  </dataValidations>
  <pageMargins left="0.62992125984251968" right="0.31496062992125984" top="0.82677165354330717" bottom="0.43307086614173229" header="0.51181102362204722" footer="0.27559055118110237"/>
  <pageSetup paperSize="9" scale="39" fitToWidth="0" pageOrder="overThenDown" orientation="landscape" r:id="rId1"/>
  <headerFooter alignWithMargins="0">
    <oddHeader>&amp;L&amp;"ＭＳ Ｐゴシック,太字"&amp;22 令和６年度　保育施設職員配置状況確認書（様式３（非常勤保育士等））</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52"/>
  <sheetViews>
    <sheetView view="pageBreakPreview" topLeftCell="C22" zoomScale="75" zoomScaleNormal="75" zoomScaleSheetLayoutView="75" workbookViewId="0">
      <selection activeCell="P31" sqref="P31:Q31"/>
    </sheetView>
  </sheetViews>
  <sheetFormatPr defaultRowHeight="13.5"/>
  <cols>
    <col min="1" max="1" width="4.5" style="1" customWidth="1"/>
    <col min="2" max="2" width="17.375" style="1" customWidth="1"/>
    <col min="3" max="3" width="5.625" style="1" bestFit="1" customWidth="1"/>
    <col min="4" max="8" width="3.625" style="1" bestFit="1" customWidth="1"/>
    <col min="9" max="9" width="5.25" style="1" bestFit="1" customWidth="1"/>
    <col min="10" max="11" width="3.625" style="1" customWidth="1"/>
    <col min="12" max="13" width="3.625" style="1" bestFit="1" customWidth="1"/>
    <col min="14" max="14" width="7.625" style="1" customWidth="1"/>
    <col min="15" max="15" width="3.625" style="1" customWidth="1"/>
    <col min="16" max="16" width="7.625" style="1" customWidth="1"/>
    <col min="17" max="17" width="5" style="1" customWidth="1"/>
    <col min="18" max="18" width="7.625" style="1" customWidth="1"/>
    <col min="19" max="19" width="5" style="1" customWidth="1"/>
    <col min="20" max="20" width="7.625" style="1" customWidth="1"/>
    <col min="21" max="21" width="5" style="1" customWidth="1"/>
    <col min="22" max="22" width="7.625" style="1" customWidth="1"/>
    <col min="23" max="23" width="5" style="1" customWidth="1"/>
    <col min="24" max="24" width="7.625" style="1" customWidth="1"/>
    <col min="25" max="25" width="5" style="1" customWidth="1"/>
    <col min="26" max="26" width="7.625" style="1" customWidth="1"/>
    <col min="27" max="27" width="5" style="1" customWidth="1"/>
    <col min="28" max="28" width="7.625" style="1" customWidth="1"/>
    <col min="29" max="29" width="5" style="1" customWidth="1"/>
    <col min="30" max="30" width="7.625" style="1" customWidth="1"/>
    <col min="31" max="31" width="3.75" style="1" customWidth="1"/>
    <col min="32" max="32" width="7.625" style="1" customWidth="1"/>
    <col min="33" max="33" width="5" style="1" customWidth="1"/>
    <col min="34" max="34" width="7.625" style="1" customWidth="1"/>
    <col min="35" max="35" width="5" style="1" customWidth="1"/>
    <col min="36" max="36" width="7.625" style="1" customWidth="1"/>
    <col min="37" max="37" width="5" style="1" customWidth="1"/>
    <col min="38" max="38" width="7.625" style="1" customWidth="1"/>
    <col min="39" max="39" width="5" style="1" customWidth="1"/>
    <col min="40" max="40" width="8.125" style="1" customWidth="1"/>
    <col min="41" max="50" width="7.25" style="1" customWidth="1"/>
    <col min="51" max="51" width="10.375" style="1" customWidth="1"/>
    <col min="52" max="52" width="17.375" style="1" customWidth="1"/>
    <col min="53" max="16384" width="9" style="1"/>
  </cols>
  <sheetData>
    <row r="1" spans="1:40" ht="18" customHeight="1" thickBot="1">
      <c r="A1" s="8"/>
      <c r="B1" s="9"/>
      <c r="C1" s="10"/>
      <c r="D1" s="10"/>
      <c r="E1" s="10"/>
      <c r="F1" s="10"/>
      <c r="G1" s="10"/>
      <c r="H1" s="10"/>
      <c r="I1" s="10"/>
      <c r="J1" s="10"/>
      <c r="K1" s="10"/>
      <c r="L1" s="10"/>
      <c r="M1" s="10"/>
      <c r="P1" s="11"/>
      <c r="Q1" s="12"/>
      <c r="R1" s="13"/>
      <c r="S1" s="13"/>
      <c r="T1" s="13"/>
      <c r="U1" s="13"/>
      <c r="V1" s="13"/>
      <c r="W1" s="13"/>
      <c r="X1" s="13"/>
      <c r="Y1" s="13"/>
      <c r="AB1" s="14"/>
      <c r="AC1" s="14"/>
      <c r="AD1" s="15"/>
      <c r="AE1" s="15"/>
      <c r="AF1" s="14"/>
      <c r="AG1" s="14"/>
      <c r="AH1" s="14"/>
      <c r="AI1" s="14"/>
    </row>
    <row r="2" spans="1:40" ht="21.95" customHeight="1" thickTop="1" thickBot="1">
      <c r="A2" s="851" t="s">
        <v>51</v>
      </c>
      <c r="B2" s="852"/>
      <c r="C2" s="913">
        <f>様式１!C2</f>
        <v>0</v>
      </c>
      <c r="D2" s="914"/>
      <c r="E2" s="914"/>
      <c r="F2" s="914"/>
      <c r="G2" s="914"/>
      <c r="H2" s="914"/>
      <c r="I2" s="914"/>
      <c r="J2" s="914"/>
      <c r="K2" s="914"/>
      <c r="L2" s="914"/>
      <c r="M2" s="914"/>
      <c r="N2" s="914"/>
      <c r="O2" s="915"/>
      <c r="P2" s="43"/>
      <c r="Q2" s="44"/>
      <c r="R2" s="44"/>
      <c r="S2" s="44"/>
      <c r="T2" s="22"/>
      <c r="U2" s="22"/>
      <c r="V2" s="830"/>
      <c r="W2" s="830"/>
      <c r="X2" s="830"/>
      <c r="Y2" s="830"/>
      <c r="Z2" s="22"/>
      <c r="AA2" s="5"/>
      <c r="AB2" s="6"/>
      <c r="AC2" s="6"/>
      <c r="AD2" s="6"/>
      <c r="AE2" s="6"/>
      <c r="AF2" s="6"/>
      <c r="AG2" s="6"/>
      <c r="AH2" s="6"/>
      <c r="AI2" s="6"/>
      <c r="AJ2" s="6"/>
      <c r="AK2" s="6"/>
      <c r="AL2" s="6"/>
      <c r="AM2" s="6"/>
      <c r="AN2" s="6"/>
    </row>
    <row r="3" spans="1:40" ht="18" customHeight="1" thickTop="1">
      <c r="A3" s="16"/>
      <c r="B3" s="16"/>
      <c r="C3" s="16"/>
      <c r="D3" s="16"/>
      <c r="E3" s="16"/>
      <c r="F3" s="16"/>
      <c r="G3" s="16"/>
      <c r="H3" s="16"/>
      <c r="I3" s="16"/>
      <c r="J3" s="16"/>
      <c r="K3" s="16"/>
      <c r="L3" s="16"/>
      <c r="M3" s="16"/>
      <c r="P3" s="910"/>
      <c r="Q3" s="910"/>
      <c r="R3" s="910"/>
      <c r="S3" s="910"/>
      <c r="T3" s="3"/>
      <c r="U3" s="3"/>
      <c r="V3" s="910"/>
      <c r="W3" s="910"/>
      <c r="X3" s="910"/>
      <c r="Y3" s="910"/>
      <c r="Z3" s="3"/>
      <c r="AA3" s="3"/>
      <c r="AB3" s="6"/>
      <c r="AC3" s="6"/>
      <c r="AD3" s="6"/>
      <c r="AE3" s="6"/>
      <c r="AF3" s="6"/>
      <c r="AG3" s="6"/>
      <c r="AH3" s="6"/>
      <c r="AI3" s="6"/>
      <c r="AJ3" s="6"/>
      <c r="AK3" s="6"/>
      <c r="AL3" s="6"/>
      <c r="AM3" s="6"/>
      <c r="AN3" s="6"/>
    </row>
    <row r="4" spans="1:40" ht="17.25">
      <c r="A4" s="17"/>
      <c r="B4" s="907" t="s">
        <v>52</v>
      </c>
      <c r="C4" s="908"/>
      <c r="D4" s="908"/>
      <c r="E4" s="908"/>
      <c r="F4" s="908"/>
      <c r="G4" s="908"/>
      <c r="H4" s="908"/>
      <c r="I4" s="908"/>
      <c r="J4" s="908"/>
      <c r="K4" s="908"/>
      <c r="L4" s="908"/>
      <c r="M4" s="908"/>
      <c r="N4" s="908"/>
      <c r="O4" s="908"/>
      <c r="P4" s="908"/>
      <c r="Q4" s="909"/>
      <c r="R4" s="23"/>
      <c r="S4" s="23"/>
      <c r="T4" s="24"/>
      <c r="U4" s="3"/>
      <c r="V4" s="910"/>
      <c r="W4" s="910"/>
      <c r="X4" s="910"/>
      <c r="Y4" s="910"/>
      <c r="Z4" s="3"/>
      <c r="AA4" s="3"/>
      <c r="AB4" s="6"/>
      <c r="AC4" s="6"/>
      <c r="AD4" s="6"/>
      <c r="AE4" s="6"/>
      <c r="AF4" s="6"/>
      <c r="AG4" s="6"/>
      <c r="AH4" s="6"/>
      <c r="AI4" s="6"/>
      <c r="AJ4" s="6"/>
      <c r="AK4" s="6"/>
      <c r="AL4" s="6"/>
      <c r="AM4" s="6"/>
      <c r="AN4" s="6"/>
    </row>
    <row r="5" spans="1:40" ht="24.75" customHeight="1" thickBot="1">
      <c r="A5" s="18" t="s">
        <v>53</v>
      </c>
      <c r="B5" s="19"/>
      <c r="C5" s="20"/>
      <c r="D5" s="20"/>
      <c r="E5" s="20"/>
      <c r="F5" s="20"/>
      <c r="G5" s="20"/>
      <c r="H5" s="20"/>
      <c r="I5" s="20"/>
      <c r="J5" s="20"/>
      <c r="K5" s="20"/>
      <c r="L5" s="20"/>
      <c r="M5" s="20"/>
      <c r="P5" s="4"/>
      <c r="Q5" s="4"/>
      <c r="R5" s="4"/>
      <c r="S5" s="4"/>
      <c r="T5" s="4"/>
      <c r="U5" s="4"/>
      <c r="V5" s="4"/>
      <c r="W5" s="4"/>
      <c r="X5" s="4"/>
      <c r="Y5" s="4"/>
      <c r="Z5" s="4"/>
      <c r="AA5" s="4"/>
      <c r="AB5" s="4"/>
      <c r="AC5" s="4"/>
      <c r="AD5" s="4"/>
      <c r="AE5" s="4"/>
      <c r="AF5" s="4"/>
      <c r="AG5" s="4"/>
      <c r="AH5" s="4"/>
      <c r="AI5" s="4"/>
      <c r="AJ5" s="4"/>
      <c r="AK5" s="4"/>
      <c r="AL5" s="4"/>
      <c r="AM5" s="4"/>
      <c r="AN5" s="4"/>
    </row>
    <row r="6" spans="1:40" ht="28.5" customHeight="1">
      <c r="A6" s="831" t="s">
        <v>54</v>
      </c>
      <c r="B6" s="831" t="s">
        <v>55</v>
      </c>
      <c r="C6" s="911" t="s">
        <v>56</v>
      </c>
      <c r="D6" s="681"/>
      <c r="E6" s="681"/>
      <c r="F6" s="681"/>
      <c r="G6" s="681"/>
      <c r="H6" s="681"/>
      <c r="I6" s="681"/>
      <c r="J6" s="681"/>
      <c r="K6" s="681"/>
      <c r="L6" s="681"/>
      <c r="M6" s="862"/>
      <c r="N6" s="38" t="s">
        <v>57</v>
      </c>
      <c r="O6" s="39"/>
      <c r="P6" s="39"/>
      <c r="Q6" s="39"/>
      <c r="R6" s="39"/>
      <c r="S6" s="39"/>
      <c r="T6" s="39"/>
      <c r="U6" s="39"/>
      <c r="V6" s="39"/>
      <c r="W6" s="39"/>
      <c r="X6" s="39"/>
      <c r="Y6" s="39"/>
      <c r="Z6" s="39"/>
      <c r="AA6" s="39"/>
      <c r="AB6" s="39"/>
      <c r="AC6" s="39"/>
      <c r="AD6" s="39"/>
      <c r="AE6" s="39"/>
      <c r="AF6" s="39"/>
      <c r="AG6" s="39"/>
      <c r="AH6" s="39"/>
      <c r="AI6" s="39"/>
      <c r="AJ6" s="39"/>
      <c r="AK6" s="39"/>
      <c r="AL6" s="39"/>
      <c r="AM6" s="40"/>
      <c r="AN6" s="7"/>
    </row>
    <row r="7" spans="1:40" ht="27" customHeight="1">
      <c r="A7" s="832"/>
      <c r="B7" s="860"/>
      <c r="C7" s="756"/>
      <c r="D7" s="757"/>
      <c r="E7" s="757"/>
      <c r="F7" s="757"/>
      <c r="G7" s="757"/>
      <c r="H7" s="757"/>
      <c r="I7" s="757"/>
      <c r="J7" s="757"/>
      <c r="K7" s="757"/>
      <c r="L7" s="757"/>
      <c r="M7" s="863"/>
      <c r="N7" s="41"/>
      <c r="O7" s="42"/>
      <c r="P7" s="905">
        <v>4</v>
      </c>
      <c r="Q7" s="905"/>
      <c r="R7" s="905">
        <v>5</v>
      </c>
      <c r="S7" s="905"/>
      <c r="T7" s="905">
        <v>6</v>
      </c>
      <c r="U7" s="905"/>
      <c r="V7" s="905">
        <v>7</v>
      </c>
      <c r="W7" s="905"/>
      <c r="X7" s="905">
        <v>8</v>
      </c>
      <c r="Y7" s="905"/>
      <c r="Z7" s="905">
        <v>9</v>
      </c>
      <c r="AA7" s="905"/>
      <c r="AB7" s="905">
        <v>10</v>
      </c>
      <c r="AC7" s="905"/>
      <c r="AD7" s="905">
        <v>11</v>
      </c>
      <c r="AE7" s="905"/>
      <c r="AF7" s="905">
        <v>12</v>
      </c>
      <c r="AG7" s="905"/>
      <c r="AH7" s="905">
        <v>1</v>
      </c>
      <c r="AI7" s="905"/>
      <c r="AJ7" s="905">
        <v>2</v>
      </c>
      <c r="AK7" s="905"/>
      <c r="AL7" s="905">
        <v>3</v>
      </c>
      <c r="AM7" s="906"/>
      <c r="AN7" s="7"/>
    </row>
    <row r="8" spans="1:40">
      <c r="A8" s="858"/>
      <c r="B8" s="861"/>
      <c r="C8" s="912"/>
      <c r="D8" s="864"/>
      <c r="E8" s="864"/>
      <c r="F8" s="864"/>
      <c r="G8" s="864"/>
      <c r="H8" s="864"/>
      <c r="I8" s="864"/>
      <c r="J8" s="864"/>
      <c r="K8" s="864"/>
      <c r="L8" s="864"/>
      <c r="M8" s="865"/>
      <c r="N8" s="26" t="s">
        <v>58</v>
      </c>
      <c r="O8" s="27" t="s">
        <v>59</v>
      </c>
      <c r="P8" s="34" t="s">
        <v>58</v>
      </c>
      <c r="Q8" s="35" t="s">
        <v>59</v>
      </c>
      <c r="R8" s="36" t="s">
        <v>58</v>
      </c>
      <c r="S8" s="35" t="s">
        <v>59</v>
      </c>
      <c r="T8" s="36" t="s">
        <v>58</v>
      </c>
      <c r="U8" s="35" t="s">
        <v>59</v>
      </c>
      <c r="V8" s="36" t="s">
        <v>58</v>
      </c>
      <c r="W8" s="35" t="s">
        <v>59</v>
      </c>
      <c r="X8" s="36" t="s">
        <v>58</v>
      </c>
      <c r="Y8" s="35" t="s">
        <v>59</v>
      </c>
      <c r="Z8" s="36" t="s">
        <v>58</v>
      </c>
      <c r="AA8" s="35" t="s">
        <v>59</v>
      </c>
      <c r="AB8" s="36" t="s">
        <v>58</v>
      </c>
      <c r="AC8" s="35" t="s">
        <v>59</v>
      </c>
      <c r="AD8" s="36" t="s">
        <v>58</v>
      </c>
      <c r="AE8" s="35" t="s">
        <v>59</v>
      </c>
      <c r="AF8" s="36" t="s">
        <v>58</v>
      </c>
      <c r="AG8" s="35" t="s">
        <v>59</v>
      </c>
      <c r="AH8" s="36" t="s">
        <v>58</v>
      </c>
      <c r="AI8" s="35" t="s">
        <v>59</v>
      </c>
      <c r="AJ8" s="34" t="s">
        <v>58</v>
      </c>
      <c r="AK8" s="35" t="s">
        <v>59</v>
      </c>
      <c r="AL8" s="36" t="s">
        <v>58</v>
      </c>
      <c r="AM8" s="47" t="s">
        <v>59</v>
      </c>
      <c r="AN8" s="7"/>
    </row>
    <row r="9" spans="1:40" ht="26.1" customHeight="1">
      <c r="A9" s="21">
        <v>1</v>
      </c>
      <c r="B9" s="2" t="s">
        <v>23</v>
      </c>
      <c r="C9" s="25" t="s">
        <v>60</v>
      </c>
      <c r="D9" s="37"/>
      <c r="E9" s="37" t="s">
        <v>61</v>
      </c>
      <c r="F9" s="37"/>
      <c r="G9" s="37" t="s">
        <v>62</v>
      </c>
      <c r="H9" s="37" t="s">
        <v>47</v>
      </c>
      <c r="I9" s="37" t="s">
        <v>60</v>
      </c>
      <c r="J9" s="37"/>
      <c r="K9" s="37" t="s">
        <v>61</v>
      </c>
      <c r="L9" s="37"/>
      <c r="M9" s="37" t="s">
        <v>62</v>
      </c>
      <c r="N9" s="28"/>
      <c r="O9" s="29"/>
      <c r="P9" s="32">
        <f>IF(AND($D9=27,$F9=4),$N9,0)</f>
        <v>0</v>
      </c>
      <c r="Q9" s="46">
        <f>IF(AND($D9=27,$F9=4),$O9,0)</f>
        <v>0</v>
      </c>
      <c r="R9" s="45">
        <f>IF(AND($D9=27,$F9&lt;=5,$J9=27,$L9&gt;=5),$N9,IF(AND($D9=27,$F9&lt;=5,$J9=28,$L9&lt;=3),$N9,0))</f>
        <v>0</v>
      </c>
      <c r="S9" s="46">
        <f>IF(AND($D9=27,$F9&lt;=5,$J9=27,$L9&gt;=5),$O9,IF(AND($D9=27,$F9&lt;=5,$J9=28,$L9&lt;=3),$O9,0))</f>
        <v>0</v>
      </c>
      <c r="T9" s="45">
        <f>IF(AND($D9=27,$F9&lt;=6,$J9=27,$L9&gt;=6),$N9,IF(AND($D9=27,$F9&lt;=6,$J9=28,$L9&lt;=3),$N9,0))</f>
        <v>0</v>
      </c>
      <c r="U9" s="46">
        <f>IF(AND($D9=27,$F9&lt;=6,$J9=27,$L9&gt;=6),$O9,IF(AND($D9=27,$F9&lt;=6,$J9=28,$L9&lt;=3),$O9,0))</f>
        <v>0</v>
      </c>
      <c r="V9" s="45">
        <f>IF(AND($D9=27,$F9&lt;=7,$J9=27,$L9&gt;=7),$N9,IF(AND($D9=27,$F9&lt;=7,$J9=28,$L9&lt;=3),$N9,0))</f>
        <v>0</v>
      </c>
      <c r="W9" s="46">
        <f>IF(AND($D9=27,$F9&lt;=7,$J9=27,$L9&gt;=7),$O9,IF(AND($D9=27,$F9&lt;=7,$J9=28,$L9&lt;=3),$O9,0))</f>
        <v>0</v>
      </c>
      <c r="X9" s="45">
        <f>IF(AND($D9=27,$F9&lt;=8,$J9=27,$L9&gt;=8),$N9,IF(AND($D9=27,$F9&lt;=8,$J9=28,$L9&lt;=3),$N9,0))</f>
        <v>0</v>
      </c>
      <c r="Y9" s="46">
        <f>IF(AND($D9=27,$F9&lt;=8,$J9=27,$L9&gt;=8),$O9,IF(AND($D9=27,$F9&lt;=8,$J9=28,$L9&lt;=3),$O9,0))</f>
        <v>0</v>
      </c>
      <c r="Z9" s="45">
        <f>IF(AND($D9=27,$F9&lt;=9,$J9=27,$L9&gt;=9),$N9,IF(AND($D9=27,$F9&lt;=9,$J9=28,$L9&lt;=3),$N9,0))</f>
        <v>0</v>
      </c>
      <c r="AA9" s="46">
        <f>IF(AND($D9=27,$F9&lt;=9,$J9=27,$L9&gt;=9),$O9,IF(AND($D9=27,$F9&lt;=9,$J9=28,$L9&lt;=3),$O9,0))</f>
        <v>0</v>
      </c>
      <c r="AB9" s="45">
        <f>IF(AND($D9=27,$F9&lt;=10,$J9=27,$L9&gt;=10),$N9,IF(AND($D9=27,$F9&lt;=10,$J9=28,$L9&lt;=3),$N9,0))</f>
        <v>0</v>
      </c>
      <c r="AC9" s="46">
        <f>IF(AND($D9=27,$F9&lt;=10,$J9=27,$L9&gt;=10),$O9,IF(AND($D9=27,$F9&lt;=10,$J9=28,$L9&lt;=3),$O9,0))</f>
        <v>0</v>
      </c>
      <c r="AD9" s="45">
        <f>IF(AND($D9=27,$F9&lt;=11,$J9=27,$L9&gt;=11),$N9,IF(AND($D9=27,$F9&lt;=11,$J9=28,$L9&lt;=3),$N9,0))</f>
        <v>0</v>
      </c>
      <c r="AE9" s="46">
        <f>IF(AND($D9=27,$F9&lt;=11,$J9=27,$L9&gt;=11),$O9,IF(AND($D9=27,$F9&lt;=11,$J9=28,$L9&lt;=3),$O9,0))</f>
        <v>0</v>
      </c>
      <c r="AF9" s="45">
        <f>IF(AND($D9=27,$F9&lt;=12,$J9=27,$L9=12),$N9,IF(AND($D9=27,$F9&lt;=12,$J9=28,$L9&lt;=3),$N9,0))</f>
        <v>0</v>
      </c>
      <c r="AG9" s="46">
        <f>IF(AND($D9=27,$F9&lt;=12,$J9=27,$L9=12),$O9,IF(AND($D9=27,$F9&lt;=12,$J9=28,$L9&lt;=3),$O9,0))</f>
        <v>0</v>
      </c>
      <c r="AH9" s="45">
        <f>IF(AND($D9=27,$F9&lt;=12,$J9=28,$L9&lt;=3),$N9,IF(AND($D9=28,$F9=1,$J9=28,$L9&lt;=3),$N9,0))</f>
        <v>0</v>
      </c>
      <c r="AI9" s="46">
        <f>IF(AND($D9=27,$F9&lt;=12,$J9=28,$L9&lt;=3),$O9,IF(AND($D9=28,$F9=1,$J9=28,$L9&lt;=3),$O9,0))</f>
        <v>0</v>
      </c>
      <c r="AJ9" s="45">
        <f>IF(AND($D9=27,$F9&lt;=12,$J9=28,$L9&gt;=2),$N9,IF(AND($D9=28,$F9&lt;=2,$J9=28,$L9&gt;1),$N9,0))</f>
        <v>0</v>
      </c>
      <c r="AK9" s="46">
        <f>IF(AND($D9=27,$F9&lt;=12,$J9=28,$L9&gt;=2),$O9,IF(AND($D9=28,$F9&lt;=2,$J9=28,$L9&gt;1),$O9,0))</f>
        <v>0</v>
      </c>
      <c r="AL9" s="45">
        <f>IF(AND($D9=27,$F9&lt;=12,$J9=28,$L9=3),$N9,IF(AND($D9=28,$F9&lt;=3,$J9=28,$L9=3),$N9,0))</f>
        <v>0</v>
      </c>
      <c r="AM9" s="48">
        <f>IF(AND($D9=27,$F9&lt;=12,$J9=28,$L9=3),$O9,IF(AND($D9=28,$F9&lt;=3,$J9=28,$L9=3),$O9,0))</f>
        <v>0</v>
      </c>
      <c r="AN9" s="6"/>
    </row>
    <row r="10" spans="1:40" ht="26.1" customHeight="1">
      <c r="A10" s="21">
        <v>2</v>
      </c>
      <c r="B10" s="2" t="s">
        <v>24</v>
      </c>
      <c r="C10" s="25" t="s">
        <v>60</v>
      </c>
      <c r="D10" s="37"/>
      <c r="E10" s="37" t="s">
        <v>61</v>
      </c>
      <c r="F10" s="37"/>
      <c r="G10" s="37" t="s">
        <v>62</v>
      </c>
      <c r="H10" s="37" t="s">
        <v>47</v>
      </c>
      <c r="I10" s="37" t="s">
        <v>60</v>
      </c>
      <c r="J10" s="37"/>
      <c r="K10" s="37" t="s">
        <v>61</v>
      </c>
      <c r="L10" s="37"/>
      <c r="M10" s="37" t="s">
        <v>62</v>
      </c>
      <c r="N10" s="28"/>
      <c r="O10" s="29"/>
      <c r="P10" s="32">
        <f t="shared" ref="P10:P28" si="0">IF(AND($D10=27,$F10=4),$N10,0)</f>
        <v>0</v>
      </c>
      <c r="Q10" s="33">
        <f t="shared" ref="Q10:Q28" si="1">IF(AND($D10=27,$F10=4),$O10,0)</f>
        <v>0</v>
      </c>
      <c r="R10" s="32">
        <f t="shared" ref="R10:R28" si="2">IF(AND($D10=27,$F10&lt;=5,$J10=27,$L10&gt;=5),$N10,IF(AND($D10=27,$F10&lt;=5,$J10=28,$L10&lt;=3),$N10,0))</f>
        <v>0</v>
      </c>
      <c r="S10" s="33">
        <f t="shared" ref="S10:S28" si="3">IF(AND($D10=27,$F10&lt;=5,$J10=27,$L10&gt;=5),$O10,IF(AND($D10=27,$F10&lt;=5,$J10=28,$L10&lt;=3),$O10,0))</f>
        <v>0</v>
      </c>
      <c r="T10" s="32">
        <f t="shared" ref="T10:T28" si="4">IF(AND($D10=27,$F10&lt;=6,$J10=27,$L10&gt;=6),$N10,IF(AND($D10=27,$F10&lt;=6,$J10=28,$L10&lt;=3),$N10,0))</f>
        <v>0</v>
      </c>
      <c r="U10" s="33">
        <f t="shared" ref="U10:U28" si="5">IF(AND($D10=27,$F10&lt;=6,$J10=27,$L10&gt;=6),$O10,IF(AND($D10=27,$F10&lt;=6,$J10=28,$L10&lt;=3),$O10,0))</f>
        <v>0</v>
      </c>
      <c r="V10" s="32">
        <f t="shared" ref="V10:V28" si="6">IF(AND($D10=27,$F10&lt;=7,$J10=27,$L10&gt;=7),$N10,IF(AND($D10=27,$F10&lt;=7,$J10=28,$L10&lt;=3),$N10,0))</f>
        <v>0</v>
      </c>
      <c r="W10" s="33">
        <f t="shared" ref="W10:W28" si="7">IF(AND($D10=27,$F10&lt;=7,$J10=27,$L10&gt;=7),$O10,IF(AND($D10=27,$F10&lt;=7,$J10=28,$L10&lt;=3),$O10,0))</f>
        <v>0</v>
      </c>
      <c r="X10" s="32">
        <f t="shared" ref="X10:X28" si="8">IF(AND($D10=27,$F10&lt;=8,$J10=27,$L10&gt;=8),$N10,IF(AND($D10=27,$F10&lt;=8,$J10=28,$L10&lt;=3),$N10,0))</f>
        <v>0</v>
      </c>
      <c r="Y10" s="33">
        <f t="shared" ref="Y10:Y28" si="9">IF(AND($D10=27,$F10&lt;=8,$J10=27,$L10&gt;=8),$O10,IF(AND($D10=27,$F10&lt;=8,$J10=28,$L10&lt;=3),$O10,0))</f>
        <v>0</v>
      </c>
      <c r="Z10" s="32">
        <f t="shared" ref="Z10:Z28" si="10">IF(AND($D10=27,$F10&lt;=9,$J10=27,$L10&gt;=9),$N10,IF(AND($D10=27,$F10&lt;=9,$J10=28,$L10&lt;=3),$N10,0))</f>
        <v>0</v>
      </c>
      <c r="AA10" s="33">
        <f t="shared" ref="AA10:AA28" si="11">IF(AND($D10=27,$F10&lt;=9,$J10=27,$L10&gt;=9),$O10,IF(AND($D10=27,$F10&lt;=9,$J10=28,$L10&lt;=3),$O10,0))</f>
        <v>0</v>
      </c>
      <c r="AB10" s="32">
        <f t="shared" ref="AB10:AB28" si="12">IF(AND($D10=27,$F10&lt;=10,$J10=27,$L10&gt;=10),$N10,IF(AND($D10=27,$F10&lt;=10,$J10=28,$L10&lt;=3),$N10,0))</f>
        <v>0</v>
      </c>
      <c r="AC10" s="33">
        <f t="shared" ref="AC10:AC28" si="13">IF(AND($D10=27,$F10&lt;=10,$J10=27,$L10&gt;=10),$O10,IF(AND($D10=27,$F10&lt;=10,$J10=28,$L10&lt;=3),$O10,0))</f>
        <v>0</v>
      </c>
      <c r="AD10" s="32">
        <f t="shared" ref="AD10:AD28" si="14">IF(AND($D10=27,$F10&lt;=11,$J10=27,$L10&gt;=11),$N10,IF(AND($D10=27,$F10&lt;=11,$J10=28,$L10&lt;=3),$N10,0))</f>
        <v>0</v>
      </c>
      <c r="AE10" s="33">
        <f t="shared" ref="AE10:AE28" si="15">IF(AND($D10=27,$F10&lt;=11,$J10=27,$L10&gt;=11),$O10,IF(AND($D10=27,$F10&lt;=11,$J10=28,$L10&lt;=3),$O10,0))</f>
        <v>0</v>
      </c>
      <c r="AF10" s="32">
        <f t="shared" ref="AF10:AF28" si="16">IF(AND($D10=27,$F10&lt;=12,$J10=27,$L10=12),$N10,IF(AND($D10=27,$F10&lt;=12,$J10=28,$L10&lt;=3),$N10,0))</f>
        <v>0</v>
      </c>
      <c r="AG10" s="33">
        <f t="shared" ref="AG10:AG28" si="17">IF(AND($D10=27,$F10&lt;=12,$J10=27,$L10=12),$O10,IF(AND($D10=27,$F10&lt;=12,$J10=28,$L10&lt;=3),$O10,0))</f>
        <v>0</v>
      </c>
      <c r="AH10" s="32">
        <f t="shared" ref="AH10:AH28" si="18">IF(AND($D10=27,$F10&lt;=12,$J10=28,$L10&lt;=3),$N10,IF(AND($D10=28,$F10=1,$J10=28,$L10&lt;=3),$N10,0))</f>
        <v>0</v>
      </c>
      <c r="AI10" s="33">
        <f t="shared" ref="AI10:AI28" si="19">IF(AND($D10=27,$F10&lt;=12,$J10=28,$L10&lt;=3),$O10,IF(AND($D10=28,$F10=1,$J10=28,$L10&lt;=3),$O10,0))</f>
        <v>0</v>
      </c>
      <c r="AJ10" s="32">
        <f t="shared" ref="AJ10:AJ28" si="20">IF(AND($D10=27,$F10&lt;=12,$J10=28,$L10&gt;=2),$N10,IF(AND($D10=28,$F10&lt;=2,$J10=28,$L10&gt;1),$N10,0))</f>
        <v>0</v>
      </c>
      <c r="AK10" s="33">
        <f t="shared" ref="AK10:AK28" si="21">IF(AND($D10=27,$F10&lt;=12,$J10=28,$L10&gt;=2),$O10,IF(AND($D10=28,$F10&lt;=2,$J10=28,$L10&gt;1),$O10,0))</f>
        <v>0</v>
      </c>
      <c r="AL10" s="32">
        <f t="shared" ref="AL10:AL28" si="22">IF(AND($D10=27,$F10&lt;=12,$J10=28,$L10=3),$N10,IF(AND($D10=28,$F10&lt;=3,$J10=28,$L10=3),$N10,0))</f>
        <v>0</v>
      </c>
      <c r="AM10" s="49">
        <f t="shared" ref="AM10:AM28" si="23">IF(AND($D10=27,$F10&lt;=12,$J10=28,$L10=3),$O10,IF(AND($D10=28,$F10&lt;=3,$J10=28,$L10=3),$O10,0))</f>
        <v>0</v>
      </c>
      <c r="AN10" s="6"/>
    </row>
    <row r="11" spans="1:40" ht="26.1" customHeight="1">
      <c r="A11" s="21">
        <v>3</v>
      </c>
      <c r="B11" s="2" t="s">
        <v>25</v>
      </c>
      <c r="C11" s="25" t="s">
        <v>60</v>
      </c>
      <c r="D11" s="37"/>
      <c r="E11" s="37" t="s">
        <v>61</v>
      </c>
      <c r="F11" s="37"/>
      <c r="G11" s="37" t="s">
        <v>62</v>
      </c>
      <c r="H11" s="37" t="s">
        <v>47</v>
      </c>
      <c r="I11" s="37" t="s">
        <v>60</v>
      </c>
      <c r="J11" s="37"/>
      <c r="K11" s="37" t="s">
        <v>61</v>
      </c>
      <c r="L11" s="37"/>
      <c r="M11" s="37" t="s">
        <v>62</v>
      </c>
      <c r="N11" s="28"/>
      <c r="O11" s="29"/>
      <c r="P11" s="32">
        <f t="shared" si="0"/>
        <v>0</v>
      </c>
      <c r="Q11" s="33">
        <f t="shared" si="1"/>
        <v>0</v>
      </c>
      <c r="R11" s="32">
        <f t="shared" si="2"/>
        <v>0</v>
      </c>
      <c r="S11" s="33">
        <f t="shared" si="3"/>
        <v>0</v>
      </c>
      <c r="T11" s="32">
        <f t="shared" si="4"/>
        <v>0</v>
      </c>
      <c r="U11" s="33">
        <f t="shared" si="5"/>
        <v>0</v>
      </c>
      <c r="V11" s="32">
        <f t="shared" si="6"/>
        <v>0</v>
      </c>
      <c r="W11" s="33">
        <f t="shared" si="7"/>
        <v>0</v>
      </c>
      <c r="X11" s="32">
        <f t="shared" si="8"/>
        <v>0</v>
      </c>
      <c r="Y11" s="33">
        <f t="shared" si="9"/>
        <v>0</v>
      </c>
      <c r="Z11" s="32">
        <f t="shared" si="10"/>
        <v>0</v>
      </c>
      <c r="AA11" s="33">
        <f t="shared" si="11"/>
        <v>0</v>
      </c>
      <c r="AB11" s="32">
        <f t="shared" si="12"/>
        <v>0</v>
      </c>
      <c r="AC11" s="33">
        <f t="shared" si="13"/>
        <v>0</v>
      </c>
      <c r="AD11" s="32">
        <f t="shared" si="14"/>
        <v>0</v>
      </c>
      <c r="AE11" s="33">
        <f t="shared" si="15"/>
        <v>0</v>
      </c>
      <c r="AF11" s="32">
        <f t="shared" si="16"/>
        <v>0</v>
      </c>
      <c r="AG11" s="33">
        <f t="shared" si="17"/>
        <v>0</v>
      </c>
      <c r="AH11" s="32">
        <f t="shared" si="18"/>
        <v>0</v>
      </c>
      <c r="AI11" s="33">
        <f t="shared" si="19"/>
        <v>0</v>
      </c>
      <c r="AJ11" s="32">
        <f t="shared" si="20"/>
        <v>0</v>
      </c>
      <c r="AK11" s="33">
        <f t="shared" si="21"/>
        <v>0</v>
      </c>
      <c r="AL11" s="32">
        <f t="shared" si="22"/>
        <v>0</v>
      </c>
      <c r="AM11" s="49">
        <f t="shared" si="23"/>
        <v>0</v>
      </c>
      <c r="AN11" s="6"/>
    </row>
    <row r="12" spans="1:40" ht="26.1" customHeight="1">
      <c r="A12" s="21">
        <v>4</v>
      </c>
      <c r="B12" s="2" t="s">
        <v>26</v>
      </c>
      <c r="C12" s="25" t="s">
        <v>60</v>
      </c>
      <c r="D12" s="37"/>
      <c r="E12" s="37" t="s">
        <v>61</v>
      </c>
      <c r="F12" s="37"/>
      <c r="G12" s="37" t="s">
        <v>62</v>
      </c>
      <c r="H12" s="37" t="s">
        <v>47</v>
      </c>
      <c r="I12" s="37" t="s">
        <v>60</v>
      </c>
      <c r="J12" s="37"/>
      <c r="K12" s="37" t="s">
        <v>61</v>
      </c>
      <c r="L12" s="37"/>
      <c r="M12" s="37" t="s">
        <v>62</v>
      </c>
      <c r="N12" s="28"/>
      <c r="O12" s="29"/>
      <c r="P12" s="32">
        <f t="shared" si="0"/>
        <v>0</v>
      </c>
      <c r="Q12" s="33">
        <f t="shared" si="1"/>
        <v>0</v>
      </c>
      <c r="R12" s="32">
        <f t="shared" si="2"/>
        <v>0</v>
      </c>
      <c r="S12" s="33">
        <f t="shared" si="3"/>
        <v>0</v>
      </c>
      <c r="T12" s="32">
        <f t="shared" si="4"/>
        <v>0</v>
      </c>
      <c r="U12" s="33">
        <f t="shared" si="5"/>
        <v>0</v>
      </c>
      <c r="V12" s="32">
        <f t="shared" si="6"/>
        <v>0</v>
      </c>
      <c r="W12" s="33">
        <f t="shared" si="7"/>
        <v>0</v>
      </c>
      <c r="X12" s="32">
        <f t="shared" si="8"/>
        <v>0</v>
      </c>
      <c r="Y12" s="33">
        <f t="shared" si="9"/>
        <v>0</v>
      </c>
      <c r="Z12" s="32">
        <f t="shared" si="10"/>
        <v>0</v>
      </c>
      <c r="AA12" s="33">
        <f t="shared" si="11"/>
        <v>0</v>
      </c>
      <c r="AB12" s="32">
        <f t="shared" si="12"/>
        <v>0</v>
      </c>
      <c r="AC12" s="33">
        <f t="shared" si="13"/>
        <v>0</v>
      </c>
      <c r="AD12" s="32">
        <f t="shared" si="14"/>
        <v>0</v>
      </c>
      <c r="AE12" s="33">
        <f t="shared" si="15"/>
        <v>0</v>
      </c>
      <c r="AF12" s="32">
        <f t="shared" si="16"/>
        <v>0</v>
      </c>
      <c r="AG12" s="33">
        <f t="shared" si="17"/>
        <v>0</v>
      </c>
      <c r="AH12" s="32">
        <f t="shared" si="18"/>
        <v>0</v>
      </c>
      <c r="AI12" s="33">
        <f t="shared" si="19"/>
        <v>0</v>
      </c>
      <c r="AJ12" s="32">
        <f t="shared" si="20"/>
        <v>0</v>
      </c>
      <c r="AK12" s="33">
        <f t="shared" si="21"/>
        <v>0</v>
      </c>
      <c r="AL12" s="32">
        <f t="shared" si="22"/>
        <v>0</v>
      </c>
      <c r="AM12" s="49">
        <f t="shared" si="23"/>
        <v>0</v>
      </c>
      <c r="AN12" s="6"/>
    </row>
    <row r="13" spans="1:40" ht="26.1" customHeight="1">
      <c r="A13" s="21">
        <v>5</v>
      </c>
      <c r="B13" s="2" t="s">
        <v>27</v>
      </c>
      <c r="C13" s="25" t="s">
        <v>60</v>
      </c>
      <c r="D13" s="37"/>
      <c r="E13" s="37" t="s">
        <v>61</v>
      </c>
      <c r="F13" s="37"/>
      <c r="G13" s="37" t="s">
        <v>62</v>
      </c>
      <c r="H13" s="37" t="s">
        <v>47</v>
      </c>
      <c r="I13" s="37" t="s">
        <v>60</v>
      </c>
      <c r="J13" s="37"/>
      <c r="K13" s="37" t="s">
        <v>61</v>
      </c>
      <c r="L13" s="37"/>
      <c r="M13" s="37" t="s">
        <v>62</v>
      </c>
      <c r="N13" s="28"/>
      <c r="O13" s="29"/>
      <c r="P13" s="32">
        <f t="shared" si="0"/>
        <v>0</v>
      </c>
      <c r="Q13" s="33">
        <f t="shared" si="1"/>
        <v>0</v>
      </c>
      <c r="R13" s="32">
        <f t="shared" si="2"/>
        <v>0</v>
      </c>
      <c r="S13" s="33">
        <f t="shared" si="3"/>
        <v>0</v>
      </c>
      <c r="T13" s="32">
        <f t="shared" si="4"/>
        <v>0</v>
      </c>
      <c r="U13" s="33">
        <f t="shared" si="5"/>
        <v>0</v>
      </c>
      <c r="V13" s="32">
        <f t="shared" si="6"/>
        <v>0</v>
      </c>
      <c r="W13" s="33">
        <f t="shared" si="7"/>
        <v>0</v>
      </c>
      <c r="X13" s="32">
        <f t="shared" si="8"/>
        <v>0</v>
      </c>
      <c r="Y13" s="33">
        <f t="shared" si="9"/>
        <v>0</v>
      </c>
      <c r="Z13" s="32">
        <f t="shared" si="10"/>
        <v>0</v>
      </c>
      <c r="AA13" s="33">
        <f t="shared" si="11"/>
        <v>0</v>
      </c>
      <c r="AB13" s="32">
        <f t="shared" si="12"/>
        <v>0</v>
      </c>
      <c r="AC13" s="33">
        <f t="shared" si="13"/>
        <v>0</v>
      </c>
      <c r="AD13" s="32">
        <f t="shared" si="14"/>
        <v>0</v>
      </c>
      <c r="AE13" s="33">
        <f t="shared" si="15"/>
        <v>0</v>
      </c>
      <c r="AF13" s="32">
        <f t="shared" si="16"/>
        <v>0</v>
      </c>
      <c r="AG13" s="33">
        <f t="shared" si="17"/>
        <v>0</v>
      </c>
      <c r="AH13" s="32">
        <f t="shared" si="18"/>
        <v>0</v>
      </c>
      <c r="AI13" s="33">
        <f t="shared" si="19"/>
        <v>0</v>
      </c>
      <c r="AJ13" s="32">
        <f t="shared" si="20"/>
        <v>0</v>
      </c>
      <c r="AK13" s="33">
        <f t="shared" si="21"/>
        <v>0</v>
      </c>
      <c r="AL13" s="32">
        <f t="shared" si="22"/>
        <v>0</v>
      </c>
      <c r="AM13" s="49">
        <f t="shared" si="23"/>
        <v>0</v>
      </c>
      <c r="AN13" s="6"/>
    </row>
    <row r="14" spans="1:40" ht="26.1" customHeight="1">
      <c r="A14" s="21">
        <v>6</v>
      </c>
      <c r="B14" s="2" t="s">
        <v>28</v>
      </c>
      <c r="C14" s="25" t="s">
        <v>60</v>
      </c>
      <c r="D14" s="37"/>
      <c r="E14" s="37" t="s">
        <v>61</v>
      </c>
      <c r="F14" s="37"/>
      <c r="G14" s="37" t="s">
        <v>62</v>
      </c>
      <c r="H14" s="37" t="s">
        <v>47</v>
      </c>
      <c r="I14" s="37" t="s">
        <v>60</v>
      </c>
      <c r="J14" s="37"/>
      <c r="K14" s="37" t="s">
        <v>61</v>
      </c>
      <c r="L14" s="37"/>
      <c r="M14" s="37" t="s">
        <v>62</v>
      </c>
      <c r="N14" s="28"/>
      <c r="O14" s="29"/>
      <c r="P14" s="32">
        <f t="shared" si="0"/>
        <v>0</v>
      </c>
      <c r="Q14" s="33">
        <f t="shared" si="1"/>
        <v>0</v>
      </c>
      <c r="R14" s="32">
        <f t="shared" si="2"/>
        <v>0</v>
      </c>
      <c r="S14" s="33">
        <f t="shared" si="3"/>
        <v>0</v>
      </c>
      <c r="T14" s="32">
        <f t="shared" si="4"/>
        <v>0</v>
      </c>
      <c r="U14" s="33">
        <f t="shared" si="5"/>
        <v>0</v>
      </c>
      <c r="V14" s="32">
        <f t="shared" si="6"/>
        <v>0</v>
      </c>
      <c r="W14" s="33">
        <f t="shared" si="7"/>
        <v>0</v>
      </c>
      <c r="X14" s="32">
        <f t="shared" si="8"/>
        <v>0</v>
      </c>
      <c r="Y14" s="33">
        <f t="shared" si="9"/>
        <v>0</v>
      </c>
      <c r="Z14" s="32">
        <f t="shared" si="10"/>
        <v>0</v>
      </c>
      <c r="AA14" s="33">
        <f t="shared" si="11"/>
        <v>0</v>
      </c>
      <c r="AB14" s="32">
        <f t="shared" si="12"/>
        <v>0</v>
      </c>
      <c r="AC14" s="33">
        <f t="shared" si="13"/>
        <v>0</v>
      </c>
      <c r="AD14" s="32">
        <f t="shared" si="14"/>
        <v>0</v>
      </c>
      <c r="AE14" s="33">
        <f t="shared" si="15"/>
        <v>0</v>
      </c>
      <c r="AF14" s="32">
        <f t="shared" si="16"/>
        <v>0</v>
      </c>
      <c r="AG14" s="33">
        <f t="shared" si="17"/>
        <v>0</v>
      </c>
      <c r="AH14" s="32">
        <f t="shared" si="18"/>
        <v>0</v>
      </c>
      <c r="AI14" s="33">
        <f t="shared" si="19"/>
        <v>0</v>
      </c>
      <c r="AJ14" s="32">
        <f t="shared" si="20"/>
        <v>0</v>
      </c>
      <c r="AK14" s="33">
        <f t="shared" si="21"/>
        <v>0</v>
      </c>
      <c r="AL14" s="32">
        <f t="shared" si="22"/>
        <v>0</v>
      </c>
      <c r="AM14" s="49">
        <f t="shared" si="23"/>
        <v>0</v>
      </c>
      <c r="AN14" s="6"/>
    </row>
    <row r="15" spans="1:40" ht="26.1" customHeight="1">
      <c r="A15" s="21">
        <v>7</v>
      </c>
      <c r="B15" s="2" t="s">
        <v>29</v>
      </c>
      <c r="C15" s="25" t="s">
        <v>60</v>
      </c>
      <c r="D15" s="37"/>
      <c r="E15" s="37" t="s">
        <v>61</v>
      </c>
      <c r="F15" s="37"/>
      <c r="G15" s="37" t="s">
        <v>62</v>
      </c>
      <c r="H15" s="37" t="s">
        <v>47</v>
      </c>
      <c r="I15" s="37" t="s">
        <v>60</v>
      </c>
      <c r="J15" s="37"/>
      <c r="K15" s="37" t="s">
        <v>61</v>
      </c>
      <c r="L15" s="37"/>
      <c r="M15" s="37" t="s">
        <v>62</v>
      </c>
      <c r="N15" s="28"/>
      <c r="O15" s="29"/>
      <c r="P15" s="32">
        <f t="shared" si="0"/>
        <v>0</v>
      </c>
      <c r="Q15" s="33">
        <f t="shared" si="1"/>
        <v>0</v>
      </c>
      <c r="R15" s="32">
        <f t="shared" si="2"/>
        <v>0</v>
      </c>
      <c r="S15" s="33">
        <f t="shared" si="3"/>
        <v>0</v>
      </c>
      <c r="T15" s="32">
        <f t="shared" si="4"/>
        <v>0</v>
      </c>
      <c r="U15" s="33">
        <f t="shared" si="5"/>
        <v>0</v>
      </c>
      <c r="V15" s="32">
        <f t="shared" si="6"/>
        <v>0</v>
      </c>
      <c r="W15" s="33">
        <f t="shared" si="7"/>
        <v>0</v>
      </c>
      <c r="X15" s="32">
        <f t="shared" si="8"/>
        <v>0</v>
      </c>
      <c r="Y15" s="33">
        <f t="shared" si="9"/>
        <v>0</v>
      </c>
      <c r="Z15" s="32">
        <f t="shared" si="10"/>
        <v>0</v>
      </c>
      <c r="AA15" s="33">
        <f t="shared" si="11"/>
        <v>0</v>
      </c>
      <c r="AB15" s="32">
        <f t="shared" si="12"/>
        <v>0</v>
      </c>
      <c r="AC15" s="33">
        <f t="shared" si="13"/>
        <v>0</v>
      </c>
      <c r="AD15" s="32">
        <f t="shared" si="14"/>
        <v>0</v>
      </c>
      <c r="AE15" s="33">
        <f t="shared" si="15"/>
        <v>0</v>
      </c>
      <c r="AF15" s="32">
        <f t="shared" si="16"/>
        <v>0</v>
      </c>
      <c r="AG15" s="33">
        <f t="shared" si="17"/>
        <v>0</v>
      </c>
      <c r="AH15" s="32">
        <f t="shared" si="18"/>
        <v>0</v>
      </c>
      <c r="AI15" s="33">
        <f t="shared" si="19"/>
        <v>0</v>
      </c>
      <c r="AJ15" s="32">
        <f t="shared" si="20"/>
        <v>0</v>
      </c>
      <c r="AK15" s="33">
        <f t="shared" si="21"/>
        <v>0</v>
      </c>
      <c r="AL15" s="32">
        <f t="shared" si="22"/>
        <v>0</v>
      </c>
      <c r="AM15" s="49">
        <f t="shared" si="23"/>
        <v>0</v>
      </c>
      <c r="AN15" s="6"/>
    </row>
    <row r="16" spans="1:40" ht="26.1" customHeight="1">
      <c r="A16" s="21">
        <v>8</v>
      </c>
      <c r="B16" s="2" t="s">
        <v>30</v>
      </c>
      <c r="C16" s="25" t="s">
        <v>60</v>
      </c>
      <c r="D16" s="37"/>
      <c r="E16" s="37" t="s">
        <v>61</v>
      </c>
      <c r="F16" s="37"/>
      <c r="G16" s="37" t="s">
        <v>62</v>
      </c>
      <c r="H16" s="37" t="s">
        <v>47</v>
      </c>
      <c r="I16" s="37" t="s">
        <v>60</v>
      </c>
      <c r="J16" s="37"/>
      <c r="K16" s="37" t="s">
        <v>61</v>
      </c>
      <c r="L16" s="37"/>
      <c r="M16" s="37" t="s">
        <v>62</v>
      </c>
      <c r="N16" s="28"/>
      <c r="O16" s="29"/>
      <c r="P16" s="32">
        <f t="shared" si="0"/>
        <v>0</v>
      </c>
      <c r="Q16" s="33">
        <f t="shared" si="1"/>
        <v>0</v>
      </c>
      <c r="R16" s="32">
        <f t="shared" si="2"/>
        <v>0</v>
      </c>
      <c r="S16" s="33">
        <f t="shared" si="3"/>
        <v>0</v>
      </c>
      <c r="T16" s="32">
        <f t="shared" si="4"/>
        <v>0</v>
      </c>
      <c r="U16" s="33">
        <f t="shared" si="5"/>
        <v>0</v>
      </c>
      <c r="V16" s="32">
        <f t="shared" si="6"/>
        <v>0</v>
      </c>
      <c r="W16" s="33">
        <f t="shared" si="7"/>
        <v>0</v>
      </c>
      <c r="X16" s="32">
        <f t="shared" si="8"/>
        <v>0</v>
      </c>
      <c r="Y16" s="33">
        <f t="shared" si="9"/>
        <v>0</v>
      </c>
      <c r="Z16" s="32">
        <f t="shared" si="10"/>
        <v>0</v>
      </c>
      <c r="AA16" s="33">
        <f t="shared" si="11"/>
        <v>0</v>
      </c>
      <c r="AB16" s="32">
        <f t="shared" si="12"/>
        <v>0</v>
      </c>
      <c r="AC16" s="33">
        <f t="shared" si="13"/>
        <v>0</v>
      </c>
      <c r="AD16" s="32">
        <f t="shared" si="14"/>
        <v>0</v>
      </c>
      <c r="AE16" s="33">
        <f t="shared" si="15"/>
        <v>0</v>
      </c>
      <c r="AF16" s="32">
        <f t="shared" si="16"/>
        <v>0</v>
      </c>
      <c r="AG16" s="33">
        <f t="shared" si="17"/>
        <v>0</v>
      </c>
      <c r="AH16" s="32">
        <f t="shared" si="18"/>
        <v>0</v>
      </c>
      <c r="AI16" s="33">
        <f t="shared" si="19"/>
        <v>0</v>
      </c>
      <c r="AJ16" s="32">
        <f t="shared" si="20"/>
        <v>0</v>
      </c>
      <c r="AK16" s="33">
        <f t="shared" si="21"/>
        <v>0</v>
      </c>
      <c r="AL16" s="32">
        <f t="shared" si="22"/>
        <v>0</v>
      </c>
      <c r="AM16" s="49">
        <f t="shared" si="23"/>
        <v>0</v>
      </c>
      <c r="AN16" s="6"/>
    </row>
    <row r="17" spans="1:40" ht="26.1" customHeight="1">
      <c r="A17" s="21">
        <v>9</v>
      </c>
      <c r="B17" s="2" t="s">
        <v>31</v>
      </c>
      <c r="C17" s="25" t="s">
        <v>60</v>
      </c>
      <c r="D17" s="37"/>
      <c r="E17" s="37" t="s">
        <v>61</v>
      </c>
      <c r="F17" s="37"/>
      <c r="G17" s="37" t="s">
        <v>62</v>
      </c>
      <c r="H17" s="37" t="s">
        <v>47</v>
      </c>
      <c r="I17" s="37" t="s">
        <v>60</v>
      </c>
      <c r="J17" s="37"/>
      <c r="K17" s="37" t="s">
        <v>61</v>
      </c>
      <c r="L17" s="37"/>
      <c r="M17" s="37" t="s">
        <v>62</v>
      </c>
      <c r="N17" s="28"/>
      <c r="O17" s="29"/>
      <c r="P17" s="32">
        <f t="shared" si="0"/>
        <v>0</v>
      </c>
      <c r="Q17" s="33">
        <f t="shared" si="1"/>
        <v>0</v>
      </c>
      <c r="R17" s="32">
        <f t="shared" si="2"/>
        <v>0</v>
      </c>
      <c r="S17" s="33">
        <f t="shared" si="3"/>
        <v>0</v>
      </c>
      <c r="T17" s="32">
        <f t="shared" si="4"/>
        <v>0</v>
      </c>
      <c r="U17" s="33">
        <f t="shared" si="5"/>
        <v>0</v>
      </c>
      <c r="V17" s="32">
        <f t="shared" si="6"/>
        <v>0</v>
      </c>
      <c r="W17" s="33">
        <f t="shared" si="7"/>
        <v>0</v>
      </c>
      <c r="X17" s="32">
        <f t="shared" si="8"/>
        <v>0</v>
      </c>
      <c r="Y17" s="33">
        <f t="shared" si="9"/>
        <v>0</v>
      </c>
      <c r="Z17" s="32">
        <f t="shared" si="10"/>
        <v>0</v>
      </c>
      <c r="AA17" s="33">
        <f t="shared" si="11"/>
        <v>0</v>
      </c>
      <c r="AB17" s="32">
        <f t="shared" si="12"/>
        <v>0</v>
      </c>
      <c r="AC17" s="33">
        <f t="shared" si="13"/>
        <v>0</v>
      </c>
      <c r="AD17" s="32">
        <f t="shared" si="14"/>
        <v>0</v>
      </c>
      <c r="AE17" s="33">
        <f t="shared" si="15"/>
        <v>0</v>
      </c>
      <c r="AF17" s="32">
        <f t="shared" si="16"/>
        <v>0</v>
      </c>
      <c r="AG17" s="33">
        <f t="shared" si="17"/>
        <v>0</v>
      </c>
      <c r="AH17" s="32">
        <f t="shared" si="18"/>
        <v>0</v>
      </c>
      <c r="AI17" s="33">
        <f t="shared" si="19"/>
        <v>0</v>
      </c>
      <c r="AJ17" s="32">
        <f t="shared" si="20"/>
        <v>0</v>
      </c>
      <c r="AK17" s="33">
        <f t="shared" si="21"/>
        <v>0</v>
      </c>
      <c r="AL17" s="32">
        <f t="shared" si="22"/>
        <v>0</v>
      </c>
      <c r="AM17" s="49">
        <f t="shared" si="23"/>
        <v>0</v>
      </c>
      <c r="AN17" s="6"/>
    </row>
    <row r="18" spans="1:40" ht="26.1" customHeight="1">
      <c r="A18" s="21">
        <v>10</v>
      </c>
      <c r="B18" s="2" t="s">
        <v>32</v>
      </c>
      <c r="C18" s="25" t="s">
        <v>60</v>
      </c>
      <c r="D18" s="37"/>
      <c r="E18" s="37" t="s">
        <v>61</v>
      </c>
      <c r="F18" s="37"/>
      <c r="G18" s="37" t="s">
        <v>62</v>
      </c>
      <c r="H18" s="37" t="s">
        <v>47</v>
      </c>
      <c r="I18" s="37" t="s">
        <v>60</v>
      </c>
      <c r="J18" s="37"/>
      <c r="K18" s="37" t="s">
        <v>61</v>
      </c>
      <c r="L18" s="37"/>
      <c r="M18" s="37" t="s">
        <v>62</v>
      </c>
      <c r="N18" s="28"/>
      <c r="O18" s="29"/>
      <c r="P18" s="32">
        <f t="shared" si="0"/>
        <v>0</v>
      </c>
      <c r="Q18" s="33">
        <f t="shared" si="1"/>
        <v>0</v>
      </c>
      <c r="R18" s="32">
        <f t="shared" si="2"/>
        <v>0</v>
      </c>
      <c r="S18" s="33">
        <f t="shared" si="3"/>
        <v>0</v>
      </c>
      <c r="T18" s="32">
        <f t="shared" si="4"/>
        <v>0</v>
      </c>
      <c r="U18" s="33">
        <f t="shared" si="5"/>
        <v>0</v>
      </c>
      <c r="V18" s="32">
        <f t="shared" si="6"/>
        <v>0</v>
      </c>
      <c r="W18" s="33">
        <f t="shared" si="7"/>
        <v>0</v>
      </c>
      <c r="X18" s="32">
        <f t="shared" si="8"/>
        <v>0</v>
      </c>
      <c r="Y18" s="33">
        <f t="shared" si="9"/>
        <v>0</v>
      </c>
      <c r="Z18" s="32">
        <f t="shared" si="10"/>
        <v>0</v>
      </c>
      <c r="AA18" s="33">
        <f t="shared" si="11"/>
        <v>0</v>
      </c>
      <c r="AB18" s="32">
        <f t="shared" si="12"/>
        <v>0</v>
      </c>
      <c r="AC18" s="33">
        <f t="shared" si="13"/>
        <v>0</v>
      </c>
      <c r="AD18" s="32">
        <f t="shared" si="14"/>
        <v>0</v>
      </c>
      <c r="AE18" s="33">
        <f t="shared" si="15"/>
        <v>0</v>
      </c>
      <c r="AF18" s="32">
        <f t="shared" si="16"/>
        <v>0</v>
      </c>
      <c r="AG18" s="33">
        <f t="shared" si="17"/>
        <v>0</v>
      </c>
      <c r="AH18" s="32">
        <f t="shared" si="18"/>
        <v>0</v>
      </c>
      <c r="AI18" s="33">
        <f t="shared" si="19"/>
        <v>0</v>
      </c>
      <c r="AJ18" s="32">
        <f t="shared" si="20"/>
        <v>0</v>
      </c>
      <c r="AK18" s="33">
        <f t="shared" si="21"/>
        <v>0</v>
      </c>
      <c r="AL18" s="32">
        <f t="shared" si="22"/>
        <v>0</v>
      </c>
      <c r="AM18" s="49">
        <f t="shared" si="23"/>
        <v>0</v>
      </c>
      <c r="AN18" s="6"/>
    </row>
    <row r="19" spans="1:40" ht="26.1" customHeight="1">
      <c r="A19" s="21">
        <v>11</v>
      </c>
      <c r="B19" s="2" t="s">
        <v>33</v>
      </c>
      <c r="C19" s="25" t="s">
        <v>60</v>
      </c>
      <c r="D19" s="37"/>
      <c r="E19" s="37" t="s">
        <v>61</v>
      </c>
      <c r="F19" s="37"/>
      <c r="G19" s="37" t="s">
        <v>62</v>
      </c>
      <c r="H19" s="37" t="s">
        <v>47</v>
      </c>
      <c r="I19" s="37" t="s">
        <v>60</v>
      </c>
      <c r="J19" s="37"/>
      <c r="K19" s="37" t="s">
        <v>61</v>
      </c>
      <c r="L19" s="37"/>
      <c r="M19" s="37" t="s">
        <v>62</v>
      </c>
      <c r="N19" s="28"/>
      <c r="O19" s="29"/>
      <c r="P19" s="32">
        <f t="shared" si="0"/>
        <v>0</v>
      </c>
      <c r="Q19" s="33">
        <f t="shared" si="1"/>
        <v>0</v>
      </c>
      <c r="R19" s="32">
        <f t="shared" si="2"/>
        <v>0</v>
      </c>
      <c r="S19" s="33">
        <f t="shared" si="3"/>
        <v>0</v>
      </c>
      <c r="T19" s="32">
        <f t="shared" si="4"/>
        <v>0</v>
      </c>
      <c r="U19" s="33">
        <f t="shared" si="5"/>
        <v>0</v>
      </c>
      <c r="V19" s="32">
        <f t="shared" si="6"/>
        <v>0</v>
      </c>
      <c r="W19" s="33">
        <f t="shared" si="7"/>
        <v>0</v>
      </c>
      <c r="X19" s="32">
        <f t="shared" si="8"/>
        <v>0</v>
      </c>
      <c r="Y19" s="33">
        <f t="shared" si="9"/>
        <v>0</v>
      </c>
      <c r="Z19" s="32">
        <f t="shared" si="10"/>
        <v>0</v>
      </c>
      <c r="AA19" s="33">
        <f t="shared" si="11"/>
        <v>0</v>
      </c>
      <c r="AB19" s="32">
        <f t="shared" si="12"/>
        <v>0</v>
      </c>
      <c r="AC19" s="33">
        <f t="shared" si="13"/>
        <v>0</v>
      </c>
      <c r="AD19" s="32">
        <f t="shared" si="14"/>
        <v>0</v>
      </c>
      <c r="AE19" s="33">
        <f t="shared" si="15"/>
        <v>0</v>
      </c>
      <c r="AF19" s="32">
        <f t="shared" si="16"/>
        <v>0</v>
      </c>
      <c r="AG19" s="33">
        <f t="shared" si="17"/>
        <v>0</v>
      </c>
      <c r="AH19" s="32">
        <f t="shared" si="18"/>
        <v>0</v>
      </c>
      <c r="AI19" s="33">
        <f t="shared" si="19"/>
        <v>0</v>
      </c>
      <c r="AJ19" s="32">
        <f t="shared" si="20"/>
        <v>0</v>
      </c>
      <c r="AK19" s="33">
        <f t="shared" si="21"/>
        <v>0</v>
      </c>
      <c r="AL19" s="32">
        <f t="shared" si="22"/>
        <v>0</v>
      </c>
      <c r="AM19" s="49">
        <f t="shared" si="23"/>
        <v>0</v>
      </c>
      <c r="AN19" s="6"/>
    </row>
    <row r="20" spans="1:40" ht="26.1" customHeight="1">
      <c r="A20" s="21">
        <v>12</v>
      </c>
      <c r="B20" s="2" t="s">
        <v>34</v>
      </c>
      <c r="C20" s="25" t="s">
        <v>60</v>
      </c>
      <c r="D20" s="37"/>
      <c r="E20" s="37" t="s">
        <v>61</v>
      </c>
      <c r="F20" s="37"/>
      <c r="G20" s="37" t="s">
        <v>62</v>
      </c>
      <c r="H20" s="37" t="s">
        <v>47</v>
      </c>
      <c r="I20" s="37" t="s">
        <v>60</v>
      </c>
      <c r="J20" s="37"/>
      <c r="K20" s="37" t="s">
        <v>61</v>
      </c>
      <c r="L20" s="37"/>
      <c r="M20" s="37" t="s">
        <v>62</v>
      </c>
      <c r="N20" s="28"/>
      <c r="O20" s="29"/>
      <c r="P20" s="32">
        <f t="shared" si="0"/>
        <v>0</v>
      </c>
      <c r="Q20" s="33">
        <f t="shared" si="1"/>
        <v>0</v>
      </c>
      <c r="R20" s="32">
        <f t="shared" si="2"/>
        <v>0</v>
      </c>
      <c r="S20" s="33">
        <f t="shared" si="3"/>
        <v>0</v>
      </c>
      <c r="T20" s="32">
        <f t="shared" si="4"/>
        <v>0</v>
      </c>
      <c r="U20" s="33">
        <f t="shared" si="5"/>
        <v>0</v>
      </c>
      <c r="V20" s="32">
        <f t="shared" si="6"/>
        <v>0</v>
      </c>
      <c r="W20" s="33">
        <f t="shared" si="7"/>
        <v>0</v>
      </c>
      <c r="X20" s="32">
        <f t="shared" si="8"/>
        <v>0</v>
      </c>
      <c r="Y20" s="33">
        <f t="shared" si="9"/>
        <v>0</v>
      </c>
      <c r="Z20" s="32">
        <f t="shared" si="10"/>
        <v>0</v>
      </c>
      <c r="AA20" s="33">
        <f t="shared" si="11"/>
        <v>0</v>
      </c>
      <c r="AB20" s="32">
        <f t="shared" si="12"/>
        <v>0</v>
      </c>
      <c r="AC20" s="33">
        <f t="shared" si="13"/>
        <v>0</v>
      </c>
      <c r="AD20" s="32">
        <f t="shared" si="14"/>
        <v>0</v>
      </c>
      <c r="AE20" s="33">
        <f t="shared" si="15"/>
        <v>0</v>
      </c>
      <c r="AF20" s="32">
        <f t="shared" si="16"/>
        <v>0</v>
      </c>
      <c r="AG20" s="33">
        <f t="shared" si="17"/>
        <v>0</v>
      </c>
      <c r="AH20" s="32">
        <f t="shared" si="18"/>
        <v>0</v>
      </c>
      <c r="AI20" s="33">
        <f t="shared" si="19"/>
        <v>0</v>
      </c>
      <c r="AJ20" s="32">
        <f t="shared" si="20"/>
        <v>0</v>
      </c>
      <c r="AK20" s="33">
        <f t="shared" si="21"/>
        <v>0</v>
      </c>
      <c r="AL20" s="32">
        <f t="shared" si="22"/>
        <v>0</v>
      </c>
      <c r="AM20" s="49">
        <f t="shared" si="23"/>
        <v>0</v>
      </c>
      <c r="AN20" s="6"/>
    </row>
    <row r="21" spans="1:40" ht="26.1" customHeight="1">
      <c r="A21" s="21">
        <v>13</v>
      </c>
      <c r="B21" s="2" t="s">
        <v>35</v>
      </c>
      <c r="C21" s="25" t="s">
        <v>60</v>
      </c>
      <c r="D21" s="37"/>
      <c r="E21" s="37" t="s">
        <v>61</v>
      </c>
      <c r="F21" s="37"/>
      <c r="G21" s="37" t="s">
        <v>62</v>
      </c>
      <c r="H21" s="37" t="s">
        <v>47</v>
      </c>
      <c r="I21" s="37" t="s">
        <v>60</v>
      </c>
      <c r="J21" s="37"/>
      <c r="K21" s="37" t="s">
        <v>61</v>
      </c>
      <c r="L21" s="37"/>
      <c r="M21" s="37" t="s">
        <v>62</v>
      </c>
      <c r="N21" s="28"/>
      <c r="O21" s="29"/>
      <c r="P21" s="32">
        <f t="shared" si="0"/>
        <v>0</v>
      </c>
      <c r="Q21" s="33">
        <f t="shared" si="1"/>
        <v>0</v>
      </c>
      <c r="R21" s="32">
        <f t="shared" si="2"/>
        <v>0</v>
      </c>
      <c r="S21" s="33">
        <f t="shared" si="3"/>
        <v>0</v>
      </c>
      <c r="T21" s="32">
        <f t="shared" si="4"/>
        <v>0</v>
      </c>
      <c r="U21" s="33">
        <f t="shared" si="5"/>
        <v>0</v>
      </c>
      <c r="V21" s="32">
        <f t="shared" si="6"/>
        <v>0</v>
      </c>
      <c r="W21" s="33">
        <f t="shared" si="7"/>
        <v>0</v>
      </c>
      <c r="X21" s="32">
        <f t="shared" si="8"/>
        <v>0</v>
      </c>
      <c r="Y21" s="33">
        <f t="shared" si="9"/>
        <v>0</v>
      </c>
      <c r="Z21" s="32">
        <f t="shared" si="10"/>
        <v>0</v>
      </c>
      <c r="AA21" s="33">
        <f t="shared" si="11"/>
        <v>0</v>
      </c>
      <c r="AB21" s="32">
        <f t="shared" si="12"/>
        <v>0</v>
      </c>
      <c r="AC21" s="33">
        <f t="shared" si="13"/>
        <v>0</v>
      </c>
      <c r="AD21" s="32">
        <f t="shared" si="14"/>
        <v>0</v>
      </c>
      <c r="AE21" s="33">
        <f t="shared" si="15"/>
        <v>0</v>
      </c>
      <c r="AF21" s="32">
        <f t="shared" si="16"/>
        <v>0</v>
      </c>
      <c r="AG21" s="33">
        <f t="shared" si="17"/>
        <v>0</v>
      </c>
      <c r="AH21" s="32">
        <f t="shared" si="18"/>
        <v>0</v>
      </c>
      <c r="AI21" s="33">
        <f t="shared" si="19"/>
        <v>0</v>
      </c>
      <c r="AJ21" s="32">
        <f t="shared" si="20"/>
        <v>0</v>
      </c>
      <c r="AK21" s="33">
        <f t="shared" si="21"/>
        <v>0</v>
      </c>
      <c r="AL21" s="32">
        <f t="shared" si="22"/>
        <v>0</v>
      </c>
      <c r="AM21" s="49">
        <f t="shared" si="23"/>
        <v>0</v>
      </c>
      <c r="AN21" s="6"/>
    </row>
    <row r="22" spans="1:40" ht="26.1" customHeight="1">
      <c r="A22" s="21">
        <v>14</v>
      </c>
      <c r="B22" s="2" t="s">
        <v>36</v>
      </c>
      <c r="C22" s="25" t="s">
        <v>60</v>
      </c>
      <c r="D22" s="37"/>
      <c r="E22" s="37" t="s">
        <v>61</v>
      </c>
      <c r="F22" s="37"/>
      <c r="G22" s="37" t="s">
        <v>62</v>
      </c>
      <c r="H22" s="37" t="s">
        <v>47</v>
      </c>
      <c r="I22" s="37" t="s">
        <v>60</v>
      </c>
      <c r="J22" s="37"/>
      <c r="K22" s="37" t="s">
        <v>61</v>
      </c>
      <c r="L22" s="37"/>
      <c r="M22" s="37" t="s">
        <v>62</v>
      </c>
      <c r="N22" s="28"/>
      <c r="O22" s="29"/>
      <c r="P22" s="32">
        <f t="shared" si="0"/>
        <v>0</v>
      </c>
      <c r="Q22" s="33">
        <f t="shared" si="1"/>
        <v>0</v>
      </c>
      <c r="R22" s="32">
        <f t="shared" si="2"/>
        <v>0</v>
      </c>
      <c r="S22" s="33">
        <f t="shared" si="3"/>
        <v>0</v>
      </c>
      <c r="T22" s="32">
        <f t="shared" si="4"/>
        <v>0</v>
      </c>
      <c r="U22" s="33">
        <f t="shared" si="5"/>
        <v>0</v>
      </c>
      <c r="V22" s="32">
        <f t="shared" si="6"/>
        <v>0</v>
      </c>
      <c r="W22" s="33">
        <f t="shared" si="7"/>
        <v>0</v>
      </c>
      <c r="X22" s="32">
        <f t="shared" si="8"/>
        <v>0</v>
      </c>
      <c r="Y22" s="33">
        <f t="shared" si="9"/>
        <v>0</v>
      </c>
      <c r="Z22" s="32">
        <f t="shared" si="10"/>
        <v>0</v>
      </c>
      <c r="AA22" s="33">
        <f t="shared" si="11"/>
        <v>0</v>
      </c>
      <c r="AB22" s="32">
        <f t="shared" si="12"/>
        <v>0</v>
      </c>
      <c r="AC22" s="33">
        <f t="shared" si="13"/>
        <v>0</v>
      </c>
      <c r="AD22" s="32">
        <f t="shared" si="14"/>
        <v>0</v>
      </c>
      <c r="AE22" s="33">
        <f t="shared" si="15"/>
        <v>0</v>
      </c>
      <c r="AF22" s="32">
        <f t="shared" si="16"/>
        <v>0</v>
      </c>
      <c r="AG22" s="33">
        <f t="shared" si="17"/>
        <v>0</v>
      </c>
      <c r="AH22" s="32">
        <f t="shared" si="18"/>
        <v>0</v>
      </c>
      <c r="AI22" s="33">
        <f t="shared" si="19"/>
        <v>0</v>
      </c>
      <c r="AJ22" s="32">
        <f t="shared" si="20"/>
        <v>0</v>
      </c>
      <c r="AK22" s="33">
        <f t="shared" si="21"/>
        <v>0</v>
      </c>
      <c r="AL22" s="32">
        <f t="shared" si="22"/>
        <v>0</v>
      </c>
      <c r="AM22" s="49">
        <f t="shared" si="23"/>
        <v>0</v>
      </c>
      <c r="AN22" s="6"/>
    </row>
    <row r="23" spans="1:40" ht="26.1" customHeight="1">
      <c r="A23" s="21">
        <v>15</v>
      </c>
      <c r="B23" s="2" t="s">
        <v>37</v>
      </c>
      <c r="C23" s="25" t="s">
        <v>60</v>
      </c>
      <c r="D23" s="37"/>
      <c r="E23" s="37" t="s">
        <v>61</v>
      </c>
      <c r="F23" s="37"/>
      <c r="G23" s="37" t="s">
        <v>62</v>
      </c>
      <c r="H23" s="37" t="s">
        <v>47</v>
      </c>
      <c r="I23" s="37" t="s">
        <v>60</v>
      </c>
      <c r="J23" s="37"/>
      <c r="K23" s="37" t="s">
        <v>61</v>
      </c>
      <c r="L23" s="37"/>
      <c r="M23" s="37" t="s">
        <v>62</v>
      </c>
      <c r="N23" s="28"/>
      <c r="O23" s="29"/>
      <c r="P23" s="32">
        <f t="shared" si="0"/>
        <v>0</v>
      </c>
      <c r="Q23" s="33">
        <f t="shared" si="1"/>
        <v>0</v>
      </c>
      <c r="R23" s="32">
        <f t="shared" si="2"/>
        <v>0</v>
      </c>
      <c r="S23" s="33">
        <f t="shared" si="3"/>
        <v>0</v>
      </c>
      <c r="T23" s="32">
        <f t="shared" si="4"/>
        <v>0</v>
      </c>
      <c r="U23" s="33">
        <f t="shared" si="5"/>
        <v>0</v>
      </c>
      <c r="V23" s="32">
        <f t="shared" si="6"/>
        <v>0</v>
      </c>
      <c r="W23" s="33">
        <f t="shared" si="7"/>
        <v>0</v>
      </c>
      <c r="X23" s="32">
        <f t="shared" si="8"/>
        <v>0</v>
      </c>
      <c r="Y23" s="33">
        <f t="shared" si="9"/>
        <v>0</v>
      </c>
      <c r="Z23" s="32">
        <f t="shared" si="10"/>
        <v>0</v>
      </c>
      <c r="AA23" s="33">
        <f t="shared" si="11"/>
        <v>0</v>
      </c>
      <c r="AB23" s="32">
        <f t="shared" si="12"/>
        <v>0</v>
      </c>
      <c r="AC23" s="33">
        <f t="shared" si="13"/>
        <v>0</v>
      </c>
      <c r="AD23" s="32">
        <f t="shared" si="14"/>
        <v>0</v>
      </c>
      <c r="AE23" s="33">
        <f t="shared" si="15"/>
        <v>0</v>
      </c>
      <c r="AF23" s="32">
        <f t="shared" si="16"/>
        <v>0</v>
      </c>
      <c r="AG23" s="33">
        <f t="shared" si="17"/>
        <v>0</v>
      </c>
      <c r="AH23" s="32">
        <f t="shared" si="18"/>
        <v>0</v>
      </c>
      <c r="AI23" s="33">
        <f t="shared" si="19"/>
        <v>0</v>
      </c>
      <c r="AJ23" s="32">
        <f t="shared" si="20"/>
        <v>0</v>
      </c>
      <c r="AK23" s="33">
        <f t="shared" si="21"/>
        <v>0</v>
      </c>
      <c r="AL23" s="32">
        <f t="shared" si="22"/>
        <v>0</v>
      </c>
      <c r="AM23" s="49">
        <f t="shared" si="23"/>
        <v>0</v>
      </c>
      <c r="AN23" s="6"/>
    </row>
    <row r="24" spans="1:40" ht="26.1" customHeight="1">
      <c r="A24" s="21">
        <v>16</v>
      </c>
      <c r="B24" s="2" t="s">
        <v>38</v>
      </c>
      <c r="C24" s="25" t="s">
        <v>60</v>
      </c>
      <c r="D24" s="37"/>
      <c r="E24" s="37" t="s">
        <v>61</v>
      </c>
      <c r="F24" s="37"/>
      <c r="G24" s="37" t="s">
        <v>62</v>
      </c>
      <c r="H24" s="37" t="s">
        <v>47</v>
      </c>
      <c r="I24" s="37" t="s">
        <v>60</v>
      </c>
      <c r="J24" s="37"/>
      <c r="K24" s="37" t="s">
        <v>61</v>
      </c>
      <c r="L24" s="37"/>
      <c r="M24" s="37" t="s">
        <v>62</v>
      </c>
      <c r="N24" s="28"/>
      <c r="O24" s="29"/>
      <c r="P24" s="32">
        <f t="shared" si="0"/>
        <v>0</v>
      </c>
      <c r="Q24" s="33">
        <f t="shared" si="1"/>
        <v>0</v>
      </c>
      <c r="R24" s="32">
        <f t="shared" si="2"/>
        <v>0</v>
      </c>
      <c r="S24" s="33">
        <f t="shared" si="3"/>
        <v>0</v>
      </c>
      <c r="T24" s="32">
        <f t="shared" si="4"/>
        <v>0</v>
      </c>
      <c r="U24" s="33">
        <f t="shared" si="5"/>
        <v>0</v>
      </c>
      <c r="V24" s="32">
        <f t="shared" si="6"/>
        <v>0</v>
      </c>
      <c r="W24" s="33">
        <f t="shared" si="7"/>
        <v>0</v>
      </c>
      <c r="X24" s="32">
        <f t="shared" si="8"/>
        <v>0</v>
      </c>
      <c r="Y24" s="33">
        <f t="shared" si="9"/>
        <v>0</v>
      </c>
      <c r="Z24" s="32">
        <f t="shared" si="10"/>
        <v>0</v>
      </c>
      <c r="AA24" s="33">
        <f t="shared" si="11"/>
        <v>0</v>
      </c>
      <c r="AB24" s="32">
        <f t="shared" si="12"/>
        <v>0</v>
      </c>
      <c r="AC24" s="33">
        <f t="shared" si="13"/>
        <v>0</v>
      </c>
      <c r="AD24" s="32">
        <f t="shared" si="14"/>
        <v>0</v>
      </c>
      <c r="AE24" s="33">
        <f t="shared" si="15"/>
        <v>0</v>
      </c>
      <c r="AF24" s="32">
        <f t="shared" si="16"/>
        <v>0</v>
      </c>
      <c r="AG24" s="33">
        <f t="shared" si="17"/>
        <v>0</v>
      </c>
      <c r="AH24" s="32">
        <f t="shared" si="18"/>
        <v>0</v>
      </c>
      <c r="AI24" s="33">
        <f t="shared" si="19"/>
        <v>0</v>
      </c>
      <c r="AJ24" s="32">
        <f t="shared" si="20"/>
        <v>0</v>
      </c>
      <c r="AK24" s="33">
        <f t="shared" si="21"/>
        <v>0</v>
      </c>
      <c r="AL24" s="32">
        <f t="shared" si="22"/>
        <v>0</v>
      </c>
      <c r="AM24" s="49">
        <f t="shared" si="23"/>
        <v>0</v>
      </c>
      <c r="AN24" s="6"/>
    </row>
    <row r="25" spans="1:40" ht="26.1" customHeight="1">
      <c r="A25" s="21">
        <v>17</v>
      </c>
      <c r="B25" s="2" t="s">
        <v>39</v>
      </c>
      <c r="C25" s="25" t="s">
        <v>60</v>
      </c>
      <c r="D25" s="37"/>
      <c r="E25" s="37" t="s">
        <v>61</v>
      </c>
      <c r="F25" s="37"/>
      <c r="G25" s="37" t="s">
        <v>62</v>
      </c>
      <c r="H25" s="37" t="s">
        <v>47</v>
      </c>
      <c r="I25" s="37" t="s">
        <v>60</v>
      </c>
      <c r="J25" s="37"/>
      <c r="K25" s="37" t="s">
        <v>61</v>
      </c>
      <c r="L25" s="37"/>
      <c r="M25" s="37" t="s">
        <v>62</v>
      </c>
      <c r="N25" s="28"/>
      <c r="O25" s="29"/>
      <c r="P25" s="32">
        <f t="shared" si="0"/>
        <v>0</v>
      </c>
      <c r="Q25" s="33">
        <f t="shared" si="1"/>
        <v>0</v>
      </c>
      <c r="R25" s="32">
        <f t="shared" si="2"/>
        <v>0</v>
      </c>
      <c r="S25" s="33">
        <f t="shared" si="3"/>
        <v>0</v>
      </c>
      <c r="T25" s="32">
        <f t="shared" si="4"/>
        <v>0</v>
      </c>
      <c r="U25" s="33">
        <f t="shared" si="5"/>
        <v>0</v>
      </c>
      <c r="V25" s="32">
        <f t="shared" si="6"/>
        <v>0</v>
      </c>
      <c r="W25" s="33">
        <f t="shared" si="7"/>
        <v>0</v>
      </c>
      <c r="X25" s="32">
        <f>IF(AND($D25=27,$F25&lt;=8,$J25=27,$L25&gt;=8),$N25,IF(AND($D25=27,$F25&lt;=8,$J25=28,$L25&lt;=3),$N25,0))</f>
        <v>0</v>
      </c>
      <c r="Y25" s="33">
        <f t="shared" si="9"/>
        <v>0</v>
      </c>
      <c r="Z25" s="32">
        <f t="shared" si="10"/>
        <v>0</v>
      </c>
      <c r="AA25" s="33">
        <f t="shared" si="11"/>
        <v>0</v>
      </c>
      <c r="AB25" s="32">
        <f t="shared" si="12"/>
        <v>0</v>
      </c>
      <c r="AC25" s="33">
        <f t="shared" si="13"/>
        <v>0</v>
      </c>
      <c r="AD25" s="32">
        <f t="shared" si="14"/>
        <v>0</v>
      </c>
      <c r="AE25" s="33">
        <f t="shared" si="15"/>
        <v>0</v>
      </c>
      <c r="AF25" s="32">
        <f t="shared" si="16"/>
        <v>0</v>
      </c>
      <c r="AG25" s="33">
        <f t="shared" si="17"/>
        <v>0</v>
      </c>
      <c r="AH25" s="32">
        <f t="shared" si="18"/>
        <v>0</v>
      </c>
      <c r="AI25" s="33">
        <f t="shared" si="19"/>
        <v>0</v>
      </c>
      <c r="AJ25" s="32">
        <f t="shared" si="20"/>
        <v>0</v>
      </c>
      <c r="AK25" s="33">
        <f t="shared" si="21"/>
        <v>0</v>
      </c>
      <c r="AL25" s="32">
        <f t="shared" si="22"/>
        <v>0</v>
      </c>
      <c r="AM25" s="49">
        <f t="shared" si="23"/>
        <v>0</v>
      </c>
      <c r="AN25" s="6"/>
    </row>
    <row r="26" spans="1:40" ht="26.1" customHeight="1">
      <c r="A26" s="21">
        <v>18</v>
      </c>
      <c r="B26" s="2" t="s">
        <v>40</v>
      </c>
      <c r="C26" s="25" t="s">
        <v>60</v>
      </c>
      <c r="D26" s="37"/>
      <c r="E26" s="37" t="s">
        <v>61</v>
      </c>
      <c r="F26" s="37"/>
      <c r="G26" s="37" t="s">
        <v>62</v>
      </c>
      <c r="H26" s="37" t="s">
        <v>47</v>
      </c>
      <c r="I26" s="37" t="s">
        <v>60</v>
      </c>
      <c r="J26" s="37"/>
      <c r="K26" s="37" t="s">
        <v>61</v>
      </c>
      <c r="L26" s="37"/>
      <c r="M26" s="37" t="s">
        <v>62</v>
      </c>
      <c r="N26" s="28"/>
      <c r="O26" s="29"/>
      <c r="P26" s="32">
        <f t="shared" si="0"/>
        <v>0</v>
      </c>
      <c r="Q26" s="33">
        <f t="shared" si="1"/>
        <v>0</v>
      </c>
      <c r="R26" s="32">
        <f t="shared" si="2"/>
        <v>0</v>
      </c>
      <c r="S26" s="33">
        <f t="shared" si="3"/>
        <v>0</v>
      </c>
      <c r="T26" s="32">
        <f t="shared" si="4"/>
        <v>0</v>
      </c>
      <c r="U26" s="33">
        <f t="shared" si="5"/>
        <v>0</v>
      </c>
      <c r="V26" s="32">
        <f t="shared" si="6"/>
        <v>0</v>
      </c>
      <c r="W26" s="33">
        <f t="shared" si="7"/>
        <v>0</v>
      </c>
      <c r="X26" s="32">
        <f t="shared" si="8"/>
        <v>0</v>
      </c>
      <c r="Y26" s="33">
        <f t="shared" si="9"/>
        <v>0</v>
      </c>
      <c r="Z26" s="32">
        <f t="shared" si="10"/>
        <v>0</v>
      </c>
      <c r="AA26" s="33">
        <f t="shared" si="11"/>
        <v>0</v>
      </c>
      <c r="AB26" s="32">
        <f t="shared" si="12"/>
        <v>0</v>
      </c>
      <c r="AC26" s="33">
        <f t="shared" si="13"/>
        <v>0</v>
      </c>
      <c r="AD26" s="32">
        <f t="shared" si="14"/>
        <v>0</v>
      </c>
      <c r="AE26" s="33">
        <f t="shared" si="15"/>
        <v>0</v>
      </c>
      <c r="AF26" s="32">
        <f t="shared" si="16"/>
        <v>0</v>
      </c>
      <c r="AG26" s="33">
        <f t="shared" si="17"/>
        <v>0</v>
      </c>
      <c r="AH26" s="32">
        <f t="shared" si="18"/>
        <v>0</v>
      </c>
      <c r="AI26" s="33">
        <f t="shared" si="19"/>
        <v>0</v>
      </c>
      <c r="AJ26" s="32">
        <f t="shared" si="20"/>
        <v>0</v>
      </c>
      <c r="AK26" s="33">
        <f t="shared" si="21"/>
        <v>0</v>
      </c>
      <c r="AL26" s="32">
        <f t="shared" si="22"/>
        <v>0</v>
      </c>
      <c r="AM26" s="49">
        <f t="shared" si="23"/>
        <v>0</v>
      </c>
      <c r="AN26" s="6"/>
    </row>
    <row r="27" spans="1:40" ht="26.1" customHeight="1">
      <c r="A27" s="21">
        <v>19</v>
      </c>
      <c r="B27" s="2" t="s">
        <v>41</v>
      </c>
      <c r="C27" s="25" t="s">
        <v>60</v>
      </c>
      <c r="D27" s="37"/>
      <c r="E27" s="37" t="s">
        <v>61</v>
      </c>
      <c r="F27" s="37"/>
      <c r="G27" s="37" t="s">
        <v>62</v>
      </c>
      <c r="H27" s="37" t="s">
        <v>47</v>
      </c>
      <c r="I27" s="37" t="s">
        <v>60</v>
      </c>
      <c r="J27" s="37"/>
      <c r="K27" s="37" t="s">
        <v>61</v>
      </c>
      <c r="L27" s="37"/>
      <c r="M27" s="37" t="s">
        <v>62</v>
      </c>
      <c r="N27" s="28"/>
      <c r="O27" s="29"/>
      <c r="P27" s="32">
        <f t="shared" si="0"/>
        <v>0</v>
      </c>
      <c r="Q27" s="33">
        <f t="shared" si="1"/>
        <v>0</v>
      </c>
      <c r="R27" s="32">
        <f t="shared" si="2"/>
        <v>0</v>
      </c>
      <c r="S27" s="33">
        <f t="shared" si="3"/>
        <v>0</v>
      </c>
      <c r="T27" s="32">
        <f t="shared" si="4"/>
        <v>0</v>
      </c>
      <c r="U27" s="33">
        <f t="shared" si="5"/>
        <v>0</v>
      </c>
      <c r="V27" s="32">
        <f t="shared" si="6"/>
        <v>0</v>
      </c>
      <c r="W27" s="33">
        <f t="shared" si="7"/>
        <v>0</v>
      </c>
      <c r="X27" s="32">
        <f t="shared" si="8"/>
        <v>0</v>
      </c>
      <c r="Y27" s="33">
        <f t="shared" si="9"/>
        <v>0</v>
      </c>
      <c r="Z27" s="32">
        <f t="shared" si="10"/>
        <v>0</v>
      </c>
      <c r="AA27" s="33">
        <f t="shared" si="11"/>
        <v>0</v>
      </c>
      <c r="AB27" s="32">
        <f t="shared" si="12"/>
        <v>0</v>
      </c>
      <c r="AC27" s="33">
        <f t="shared" si="13"/>
        <v>0</v>
      </c>
      <c r="AD27" s="32">
        <f t="shared" si="14"/>
        <v>0</v>
      </c>
      <c r="AE27" s="33">
        <f t="shared" si="15"/>
        <v>0</v>
      </c>
      <c r="AF27" s="32">
        <f t="shared" si="16"/>
        <v>0</v>
      </c>
      <c r="AG27" s="33">
        <f t="shared" si="17"/>
        <v>0</v>
      </c>
      <c r="AH27" s="32">
        <f t="shared" si="18"/>
        <v>0</v>
      </c>
      <c r="AI27" s="33">
        <f t="shared" si="19"/>
        <v>0</v>
      </c>
      <c r="AJ27" s="32">
        <f t="shared" si="20"/>
        <v>0</v>
      </c>
      <c r="AK27" s="33">
        <f t="shared" si="21"/>
        <v>0</v>
      </c>
      <c r="AL27" s="32">
        <f t="shared" si="22"/>
        <v>0</v>
      </c>
      <c r="AM27" s="49">
        <f t="shared" si="23"/>
        <v>0</v>
      </c>
      <c r="AN27" s="6"/>
    </row>
    <row r="28" spans="1:40" ht="26.1" customHeight="1" thickBot="1">
      <c r="A28" s="21">
        <v>20</v>
      </c>
      <c r="B28" s="2" t="s">
        <v>42</v>
      </c>
      <c r="C28" s="25" t="s">
        <v>60</v>
      </c>
      <c r="D28" s="37"/>
      <c r="E28" s="37" t="s">
        <v>61</v>
      </c>
      <c r="F28" s="37"/>
      <c r="G28" s="37" t="s">
        <v>62</v>
      </c>
      <c r="H28" s="37" t="s">
        <v>47</v>
      </c>
      <c r="I28" s="37" t="s">
        <v>60</v>
      </c>
      <c r="J28" s="37"/>
      <c r="K28" s="37" t="s">
        <v>61</v>
      </c>
      <c r="L28" s="37"/>
      <c r="M28" s="37" t="s">
        <v>62</v>
      </c>
      <c r="N28" s="30"/>
      <c r="O28" s="31"/>
      <c r="P28" s="50">
        <f t="shared" si="0"/>
        <v>0</v>
      </c>
      <c r="Q28" s="51">
        <f t="shared" si="1"/>
        <v>0</v>
      </c>
      <c r="R28" s="50">
        <f t="shared" si="2"/>
        <v>0</v>
      </c>
      <c r="S28" s="51">
        <f t="shared" si="3"/>
        <v>0</v>
      </c>
      <c r="T28" s="50">
        <f t="shared" si="4"/>
        <v>0</v>
      </c>
      <c r="U28" s="51">
        <f t="shared" si="5"/>
        <v>0</v>
      </c>
      <c r="V28" s="50">
        <f t="shared" si="6"/>
        <v>0</v>
      </c>
      <c r="W28" s="51">
        <f t="shared" si="7"/>
        <v>0</v>
      </c>
      <c r="X28" s="50">
        <f t="shared" si="8"/>
        <v>0</v>
      </c>
      <c r="Y28" s="51">
        <f t="shared" si="9"/>
        <v>0</v>
      </c>
      <c r="Z28" s="50">
        <f t="shared" si="10"/>
        <v>0</v>
      </c>
      <c r="AA28" s="51">
        <f t="shared" si="11"/>
        <v>0</v>
      </c>
      <c r="AB28" s="50">
        <f t="shared" si="12"/>
        <v>0</v>
      </c>
      <c r="AC28" s="51">
        <f t="shared" si="13"/>
        <v>0</v>
      </c>
      <c r="AD28" s="50">
        <f t="shared" si="14"/>
        <v>0</v>
      </c>
      <c r="AE28" s="51">
        <f t="shared" si="15"/>
        <v>0</v>
      </c>
      <c r="AF28" s="50">
        <f t="shared" si="16"/>
        <v>0</v>
      </c>
      <c r="AG28" s="51">
        <f t="shared" si="17"/>
        <v>0</v>
      </c>
      <c r="AH28" s="50">
        <f t="shared" si="18"/>
        <v>0</v>
      </c>
      <c r="AI28" s="51">
        <f t="shared" si="19"/>
        <v>0</v>
      </c>
      <c r="AJ28" s="50">
        <f t="shared" si="20"/>
        <v>0</v>
      </c>
      <c r="AK28" s="51">
        <f t="shared" si="21"/>
        <v>0</v>
      </c>
      <c r="AL28" s="50">
        <f t="shared" si="22"/>
        <v>0</v>
      </c>
      <c r="AM28" s="52">
        <f t="shared" si="23"/>
        <v>0</v>
      </c>
      <c r="AN28" s="6"/>
    </row>
    <row r="29" spans="1:40" ht="26.1" customHeight="1" thickBot="1">
      <c r="A29" s="882" t="s">
        <v>63</v>
      </c>
      <c r="B29" s="883"/>
      <c r="C29" s="883"/>
      <c r="D29" s="883"/>
      <c r="E29" s="883"/>
      <c r="F29" s="883"/>
      <c r="G29" s="883"/>
      <c r="H29" s="883"/>
      <c r="I29" s="883"/>
      <c r="J29" s="883"/>
      <c r="K29" s="883"/>
      <c r="L29" s="883"/>
      <c r="M29" s="884"/>
      <c r="N29" s="885">
        <f>(SUM(N9:N28)*60+SUM(O9:O28))/60</f>
        <v>0</v>
      </c>
      <c r="O29" s="886"/>
      <c r="P29" s="871">
        <f>(SUM(P9:P28)*60+SUM(Q9:Q28))/60</f>
        <v>0</v>
      </c>
      <c r="Q29" s="872"/>
      <c r="R29" s="871">
        <f>(SUM(R9:R28)*60+SUM(S9:S28))/60</f>
        <v>0</v>
      </c>
      <c r="S29" s="872"/>
      <c r="T29" s="871">
        <f>(SUM(T9:T28)*60+SUM(U9:U28))/60</f>
        <v>0</v>
      </c>
      <c r="U29" s="872"/>
      <c r="V29" s="871">
        <f>(SUM(V9:V28)*60+SUM(W9:W28))/60</f>
        <v>0</v>
      </c>
      <c r="W29" s="872"/>
      <c r="X29" s="871">
        <f>(SUM(X9:X28)*60+SUM(Y9:Y28))/60</f>
        <v>0</v>
      </c>
      <c r="Y29" s="872"/>
      <c r="Z29" s="871">
        <f>(SUM(Z9:Z28)*60+SUM(AA9:AA28))/60</f>
        <v>0</v>
      </c>
      <c r="AA29" s="872"/>
      <c r="AB29" s="871">
        <f>(SUM(AB9:AB28)*60+SUM(AC9:AC28))/60</f>
        <v>0</v>
      </c>
      <c r="AC29" s="872"/>
      <c r="AD29" s="871">
        <f>(SUM(AD9:AD28)*60+SUM(AE9:AE28))/60</f>
        <v>0</v>
      </c>
      <c r="AE29" s="872"/>
      <c r="AF29" s="871">
        <f>(SUM(AF9:AF28)*60+SUM(AG9:AG28))/60</f>
        <v>0</v>
      </c>
      <c r="AG29" s="872"/>
      <c r="AH29" s="871">
        <f>(SUM(AH9:AH28)*60+SUM(AI9:AI28))/60</f>
        <v>0</v>
      </c>
      <c r="AI29" s="872"/>
      <c r="AJ29" s="895">
        <f>(SUM(AJ9:AJ28)*60+SUM(AK9:AK28))/60</f>
        <v>0</v>
      </c>
      <c r="AK29" s="872"/>
      <c r="AL29" s="871">
        <f>(SUM(AL9:AL28)*60+SUM(AM9:AM28))/60</f>
        <v>0</v>
      </c>
      <c r="AM29" s="872"/>
      <c r="AN29" s="6"/>
    </row>
    <row r="30" spans="1:40" ht="26.1" customHeight="1" thickBot="1">
      <c r="A30" s="873" t="s">
        <v>64</v>
      </c>
      <c r="B30" s="874"/>
      <c r="C30" s="874"/>
      <c r="D30" s="874"/>
      <c r="E30" s="874"/>
      <c r="F30" s="874"/>
      <c r="G30" s="874"/>
      <c r="H30" s="874"/>
      <c r="I30" s="874"/>
      <c r="J30" s="874"/>
      <c r="K30" s="874"/>
      <c r="L30" s="874"/>
      <c r="M30" s="875"/>
      <c r="N30" s="903">
        <v>173</v>
      </c>
      <c r="O30" s="904"/>
      <c r="P30" s="900">
        <f>$N30</f>
        <v>173</v>
      </c>
      <c r="Q30" s="899"/>
      <c r="R30" s="898">
        <f>$N30</f>
        <v>173</v>
      </c>
      <c r="S30" s="899"/>
      <c r="T30" s="898">
        <f>$N30</f>
        <v>173</v>
      </c>
      <c r="U30" s="899"/>
      <c r="V30" s="898">
        <f>$N30</f>
        <v>173</v>
      </c>
      <c r="W30" s="899"/>
      <c r="X30" s="898">
        <f>$N30</f>
        <v>173</v>
      </c>
      <c r="Y30" s="899"/>
      <c r="Z30" s="898">
        <f>$N30</f>
        <v>173</v>
      </c>
      <c r="AA30" s="899"/>
      <c r="AB30" s="898">
        <f>$N30</f>
        <v>173</v>
      </c>
      <c r="AC30" s="899"/>
      <c r="AD30" s="898">
        <f>$N30</f>
        <v>173</v>
      </c>
      <c r="AE30" s="899"/>
      <c r="AF30" s="898">
        <f>$N30</f>
        <v>173</v>
      </c>
      <c r="AG30" s="899"/>
      <c r="AH30" s="898">
        <f>$N30</f>
        <v>173</v>
      </c>
      <c r="AI30" s="899"/>
      <c r="AJ30" s="900">
        <f>$N30</f>
        <v>173</v>
      </c>
      <c r="AK30" s="899"/>
      <c r="AL30" s="898">
        <f>$N30</f>
        <v>173</v>
      </c>
      <c r="AM30" s="899"/>
      <c r="AN30" s="6"/>
    </row>
    <row r="31" spans="1:40" ht="26.1" customHeight="1">
      <c r="A31" s="892" t="s">
        <v>65</v>
      </c>
      <c r="B31" s="893"/>
      <c r="C31" s="893"/>
      <c r="D31" s="893"/>
      <c r="E31" s="893"/>
      <c r="F31" s="893"/>
      <c r="G31" s="893"/>
      <c r="H31" s="893"/>
      <c r="I31" s="893"/>
      <c r="J31" s="893"/>
      <c r="K31" s="893"/>
      <c r="L31" s="893"/>
      <c r="M31" s="894"/>
      <c r="N31" s="871">
        <f>IF(ISERROR(ROUNDDOWN(N29/N30,1))=FALSE,ROUNDDOWN(N29/N30,1),0)</f>
        <v>0</v>
      </c>
      <c r="O31" s="872"/>
      <c r="P31" s="901">
        <f>IF(ISERROR(ROUNDDOWN(P29/P30,1))=FALSE,ROUNDDOWN(P29/P30,1),0)</f>
        <v>0</v>
      </c>
      <c r="Q31" s="902"/>
      <c r="R31" s="898">
        <f>IF(ISERROR(ROUNDDOWN(R29/R30,1))=FALSE,ROUNDDOWN(R29/R30,1),0)</f>
        <v>0</v>
      </c>
      <c r="S31" s="899"/>
      <c r="T31" s="898">
        <f>IF(ISERROR(ROUNDDOWN(T29/T30,1))=FALSE,ROUNDDOWN(T29/T30,1),0)</f>
        <v>0</v>
      </c>
      <c r="U31" s="899"/>
      <c r="V31" s="898">
        <f>IF(ISERROR(ROUNDDOWN(V29/V30,1))=FALSE,ROUNDDOWN(V29/V30,1),0)</f>
        <v>0</v>
      </c>
      <c r="W31" s="899"/>
      <c r="X31" s="898">
        <f>IF(ISERROR(ROUNDDOWN(X29/X30,1))=FALSE,ROUNDDOWN(X29/X30,1),0)</f>
        <v>0</v>
      </c>
      <c r="Y31" s="899"/>
      <c r="Z31" s="898">
        <f>IF(ISERROR(ROUNDDOWN(Z29/Z30,1))=FALSE,ROUNDDOWN(Z29/Z30,1),0)</f>
        <v>0</v>
      </c>
      <c r="AA31" s="899"/>
      <c r="AB31" s="898">
        <f>IF(ISERROR(ROUNDDOWN(AB29/AB30,1))=FALSE,ROUNDDOWN(AB29/AB30,1),0)</f>
        <v>0</v>
      </c>
      <c r="AC31" s="899"/>
      <c r="AD31" s="898">
        <f>IF(ISERROR(ROUNDDOWN(AD29/AD30,1))=FALSE,ROUNDDOWN(AD29/AD30,1),0)</f>
        <v>0</v>
      </c>
      <c r="AE31" s="899"/>
      <c r="AF31" s="898">
        <f>IF(ISERROR(ROUNDDOWN(AF29/AF30,1))=FALSE,ROUNDDOWN(AF29/AF30,1),0)</f>
        <v>0</v>
      </c>
      <c r="AG31" s="899"/>
      <c r="AH31" s="898">
        <f>IF(ISERROR(ROUNDDOWN(AH29/AH30,1))=FALSE,ROUNDDOWN(AH29/AH30,1),0)</f>
        <v>0</v>
      </c>
      <c r="AI31" s="899"/>
      <c r="AJ31" s="900">
        <f>IF(ISERROR(ROUNDDOWN(AJ29/AJ30,1))=FALSE,ROUNDDOWN(AJ29/AJ30,1),0)</f>
        <v>0</v>
      </c>
      <c r="AK31" s="899"/>
      <c r="AL31" s="898">
        <f>IF(ISERROR(ROUNDDOWN(AL29/AL30,1))=FALSE,ROUNDDOWN(AL29/AL30,1),0)</f>
        <v>0</v>
      </c>
      <c r="AM31" s="899"/>
      <c r="AN31" s="6"/>
    </row>
    <row r="32" spans="1:40">
      <c r="AN32" s="7"/>
    </row>
    <row r="33" spans="4:40">
      <c r="AN33" s="7"/>
    </row>
    <row r="34" spans="4:40">
      <c r="AN34" s="7"/>
    </row>
    <row r="35" spans="4:40">
      <c r="AN35" s="7"/>
    </row>
    <row r="36" spans="4:40">
      <c r="AN36" s="7"/>
    </row>
    <row r="37" spans="4:40">
      <c r="AN37" s="7"/>
    </row>
    <row r="38" spans="4:40">
      <c r="D38" s="1">
        <v>27</v>
      </c>
    </row>
    <row r="39" spans="4:40">
      <c r="D39" s="1">
        <v>28</v>
      </c>
    </row>
    <row r="41" spans="4:40">
      <c r="E41" s="1">
        <v>4</v>
      </c>
    </row>
    <row r="42" spans="4:40">
      <c r="E42" s="1">
        <v>5</v>
      </c>
    </row>
    <row r="43" spans="4:40">
      <c r="E43" s="1">
        <v>6</v>
      </c>
    </row>
    <row r="44" spans="4:40">
      <c r="E44" s="1">
        <v>7</v>
      </c>
    </row>
    <row r="45" spans="4:40">
      <c r="E45" s="1">
        <v>8</v>
      </c>
    </row>
    <row r="46" spans="4:40">
      <c r="E46" s="1">
        <v>9</v>
      </c>
    </row>
    <row r="47" spans="4:40">
      <c r="E47" s="1">
        <v>10</v>
      </c>
    </row>
    <row r="48" spans="4:40">
      <c r="E48" s="1">
        <v>11</v>
      </c>
    </row>
    <row r="49" spans="5:5">
      <c r="E49" s="1">
        <v>12</v>
      </c>
    </row>
    <row r="50" spans="5:5">
      <c r="E50" s="1">
        <v>1</v>
      </c>
    </row>
    <row r="51" spans="5:5">
      <c r="E51" s="1">
        <v>2</v>
      </c>
    </row>
    <row r="52" spans="5:5">
      <c r="E52" s="1">
        <v>3</v>
      </c>
    </row>
  </sheetData>
  <mergeCells count="64">
    <mergeCell ref="A2:B2"/>
    <mergeCell ref="C2:O2"/>
    <mergeCell ref="V2:Y2"/>
    <mergeCell ref="P3:S3"/>
    <mergeCell ref="V3:Y3"/>
    <mergeCell ref="B4:Q4"/>
    <mergeCell ref="V4:Y4"/>
    <mergeCell ref="A6:A8"/>
    <mergeCell ref="B6:B8"/>
    <mergeCell ref="C6:M8"/>
    <mergeCell ref="P7:Q7"/>
    <mergeCell ref="R7:S7"/>
    <mergeCell ref="T7:U7"/>
    <mergeCell ref="V7:W7"/>
    <mergeCell ref="X7:Y7"/>
    <mergeCell ref="Z7:AA7"/>
    <mergeCell ref="AB7:AC7"/>
    <mergeCell ref="AD7:AE7"/>
    <mergeCell ref="AF7:AG7"/>
    <mergeCell ref="AH7:AI7"/>
    <mergeCell ref="AJ7:AK7"/>
    <mergeCell ref="AL7:AM7"/>
    <mergeCell ref="A29:M29"/>
    <mergeCell ref="N29:O29"/>
    <mergeCell ref="P29:Q29"/>
    <mergeCell ref="R29:S29"/>
    <mergeCell ref="T29:U29"/>
    <mergeCell ref="V29:W29"/>
    <mergeCell ref="X29:Y29"/>
    <mergeCell ref="Z29:AA29"/>
    <mergeCell ref="AB29:AC29"/>
    <mergeCell ref="AD29:AE29"/>
    <mergeCell ref="AF29:AG29"/>
    <mergeCell ref="AH29:AI29"/>
    <mergeCell ref="AJ29:AK29"/>
    <mergeCell ref="AL29:AM29"/>
    <mergeCell ref="AB30:AC30"/>
    <mergeCell ref="AD30:AE30"/>
    <mergeCell ref="A30:M30"/>
    <mergeCell ref="N30:O30"/>
    <mergeCell ref="P30:Q30"/>
    <mergeCell ref="R30:S30"/>
    <mergeCell ref="T30:U30"/>
    <mergeCell ref="AL30:AM30"/>
    <mergeCell ref="A31:M31"/>
    <mergeCell ref="N31:O31"/>
    <mergeCell ref="P31:Q31"/>
    <mergeCell ref="R31:S31"/>
    <mergeCell ref="T31:U31"/>
    <mergeCell ref="AH31:AI31"/>
    <mergeCell ref="AJ31:AK31"/>
    <mergeCell ref="AL31:AM31"/>
    <mergeCell ref="V31:W31"/>
    <mergeCell ref="X31:Y31"/>
    <mergeCell ref="Z31:AA31"/>
    <mergeCell ref="AB31:AC31"/>
    <mergeCell ref="V30:W30"/>
    <mergeCell ref="X30:Y30"/>
    <mergeCell ref="Z30:AA30"/>
    <mergeCell ref="AD31:AE31"/>
    <mergeCell ref="AF31:AG31"/>
    <mergeCell ref="AF30:AG30"/>
    <mergeCell ref="AH30:AI30"/>
    <mergeCell ref="AJ30:AK30"/>
  </mergeCells>
  <phoneticPr fontId="2"/>
  <dataValidations count="2">
    <dataValidation type="list" allowBlank="1" showInputMessage="1" showErrorMessage="1" sqref="D9:D28 J9:J28" xr:uid="{00000000-0002-0000-0700-000000000000}">
      <formula1>$D$38:$D$39</formula1>
    </dataValidation>
    <dataValidation type="list" allowBlank="1" showInputMessage="1" showErrorMessage="1" sqref="F9:F28 L9:L28" xr:uid="{00000000-0002-0000-0700-000001000000}">
      <formula1>$E$41:$E$52</formula1>
    </dataValidation>
  </dataValidations>
  <pageMargins left="0.7" right="0.7" top="0.75" bottom="0.75" header="0.3" footer="0.3"/>
  <pageSetup paperSize="9" scale="3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30</vt:i4>
      </vt:variant>
    </vt:vector>
  </HeadingPairs>
  <TitlesOfParts>
    <vt:vector size="39" baseType="lpstr">
      <vt:lpstr>【補助金算定に係る確認表】</vt:lpstr>
      <vt:lpstr>【京都市集計用】</vt:lpstr>
      <vt:lpstr>様式１</vt:lpstr>
      <vt:lpstr>(R6)年齢別配置基準</vt:lpstr>
      <vt:lpstr>様式１－１（【本園分】標準時間対応）</vt:lpstr>
      <vt:lpstr>様式１－２（【分園分】標準時間対応）</vt:lpstr>
      <vt:lpstr>様式２（専従の常勤）</vt:lpstr>
      <vt:lpstr>様式３（非専従の常勤＋非常勤）</vt:lpstr>
      <vt:lpstr>Sheet2</vt:lpstr>
      <vt:lpstr>様式１!_0歳児③4</vt:lpstr>
      <vt:lpstr>様式１!_0歳児③4分園</vt:lpstr>
      <vt:lpstr>様式１!_1歳児③4</vt:lpstr>
      <vt:lpstr>様式１!_1歳児③4分園</vt:lpstr>
      <vt:lpstr>様式１!_2歳児③4</vt:lpstr>
      <vt:lpstr>様式１!_2歳児③4分園</vt:lpstr>
      <vt:lpstr>様式１!_3歳児①4</vt:lpstr>
      <vt:lpstr>様式１!_3歳児①4分園</vt:lpstr>
      <vt:lpstr>様式１!_3歳児②4</vt:lpstr>
      <vt:lpstr>様式１!_3歳児②4分園</vt:lpstr>
      <vt:lpstr>様式１!_4歳児①4</vt:lpstr>
      <vt:lpstr>様式１!_4歳児①4分園</vt:lpstr>
      <vt:lpstr>様式１!_4歳児②4</vt:lpstr>
      <vt:lpstr>様式１!_4歳児②4分園</vt:lpstr>
      <vt:lpstr>様式１!_5歳児①4</vt:lpstr>
      <vt:lpstr>様式１!_5歳児①4分園</vt:lpstr>
      <vt:lpstr>様式１!_5歳児②4</vt:lpstr>
      <vt:lpstr>様式１!_5歳児②4分園</vt:lpstr>
      <vt:lpstr>'(R6)年齢別配置基準'!Print_Area</vt:lpstr>
      <vt:lpstr>【京都市集計用】!Print_Area</vt:lpstr>
      <vt:lpstr>【補助金算定に係る確認表】!Print_Area</vt:lpstr>
      <vt:lpstr>Sheet2!Print_Area</vt:lpstr>
      <vt:lpstr>様式１!Print_Area</vt:lpstr>
      <vt:lpstr>'様式１－１（【本園分】標準時間対応）'!Print_Area</vt:lpstr>
      <vt:lpstr>'様式１－２（【分園分】標準時間対応）'!Print_Area</vt:lpstr>
      <vt:lpstr>'様式２（専従の常勤）'!Print_Area</vt:lpstr>
      <vt:lpstr>'様式３（非専従の常勤＋非常勤）'!Print_Area</vt:lpstr>
      <vt:lpstr>様式１!Print_Titles</vt:lpstr>
      <vt:lpstr>様式１!満3歳児①4</vt:lpstr>
      <vt:lpstr>様式１!満3歳児①4分園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河田 修</dc:creator>
  <cp:lastModifiedBy>Kyoto</cp:lastModifiedBy>
  <cp:lastPrinted>2024-02-13T04:25:20Z</cp:lastPrinted>
  <dcterms:created xsi:type="dcterms:W3CDTF">2004-04-07T04:46:17Z</dcterms:created>
  <dcterms:modified xsi:type="dcterms:W3CDTF">2024-08-01T00:29:20Z</dcterms:modified>
</cp:coreProperties>
</file>