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omments6.xml" ContentType="application/vnd.openxmlformats-officedocument.spreadsheetml.comments+xml"/>
  <Override PartName="/xl/drawings/drawing3.xml" ContentType="application/vnd.openxmlformats-officedocument.drawing+xml"/>
  <Override PartName="/xl/comments7.xml" ContentType="application/vnd.openxmlformats-officedocument.spreadsheetml.comments+xml"/>
  <Override PartName="/xl/drawings/drawing4.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58_職員配置確認\R08\00_配置状況確認書【様式】\決裁用（ロック後）\"/>
    </mc:Choice>
  </mc:AlternateContent>
  <xr:revisionPtr revIDLastSave="0" documentId="13_ncr:1_{2A410A66-70FB-40AD-B85C-7F422AF9C83D}" xr6:coauthVersionLast="47" xr6:coauthVersionMax="47" xr10:uidLastSave="{00000000-0000-0000-0000-000000000000}"/>
  <bookViews>
    <workbookView xWindow="-120" yWindow="-120" windowWidth="29040" windowHeight="15720" tabRatio="726" firstSheet="2" activeTab="2" xr2:uid="{BD76F20E-015C-47AF-A494-E98D25D00FA8}"/>
  </bookViews>
  <sheets>
    <sheet name="【京都市集計】" sheetId="77" r:id="rId1"/>
    <sheet name="【補助金算定に係る確認表】" sheetId="73" r:id="rId2"/>
    <sheet name="様式１" sheetId="64" r:id="rId3"/>
    <sheet name="加算等適用状況" sheetId="74" r:id="rId4"/>
    <sheet name="様式１－１（【本園分】標準時間対応）" sheetId="71" r:id="rId5"/>
    <sheet name="様式１－２（【分園分】標準時間対応）" sheetId="72" r:id="rId6"/>
    <sheet name="様式２（専従の常勤）" sheetId="69" r:id="rId7"/>
    <sheet name="様式３（非専従の常勤＋非常勤）" sheetId="68" r:id="rId8"/>
    <sheet name="参考_歳児別配置基準" sheetId="76" r:id="rId9"/>
    <sheet name="職員一覧" sheetId="79" state="hidden" r:id="rId10"/>
    <sheet name="Sheet2" sheetId="67" state="hidden" r:id="rId11"/>
  </sheets>
  <definedNames>
    <definedName name="_xlnm.Print_Area" localSheetId="0">【京都市集計】!$A$1:$AP$13</definedName>
    <definedName name="_xlnm.Print_Area" localSheetId="1">【補助金算定に係る確認表】!$B$1:$AG$25</definedName>
    <definedName name="_xlnm.Print_Area" localSheetId="10">Sheet2!$A$1:$AM$35</definedName>
    <definedName name="_xlnm.Print_Area" localSheetId="3">加算等適用状況!$A$1:$N$25</definedName>
    <definedName name="_xlnm.Print_Area" localSheetId="8">参考_歳児別配置基準!$A$1:$H$121</definedName>
    <definedName name="_xlnm.Print_Area" localSheetId="2">様式１!$A$1:$BJ$54</definedName>
    <definedName name="_xlnm.Print_Area" localSheetId="4">'様式１－１（【本園分】標準時間対応）'!$A$1:$AZ$30</definedName>
    <definedName name="_xlnm.Print_Area" localSheetId="5">'様式１－２（【分園分】標準時間対応）'!$A$1:$AZ$30</definedName>
    <definedName name="_xlnm.Print_Area" localSheetId="6">'様式２（専従の常勤）'!$A$1:$R$88</definedName>
    <definedName name="_xlnm.Print_Area" localSheetId="7">'様式３（非専従の常勤＋非常勤）'!$A$1:$AK$55</definedName>
    <definedName name="_xlnm.Print_Titles" localSheetId="2">様式１!$3:$6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77" l="1"/>
  <c r="A4" i="77"/>
  <c r="A5" i="77"/>
  <c r="A6" i="77"/>
  <c r="A7" i="77"/>
  <c r="A8" i="77"/>
  <c r="A9" i="77"/>
  <c r="A10" i="77"/>
  <c r="A11" i="77"/>
  <c r="A12" i="77"/>
  <c r="A13" i="77"/>
  <c r="A2" i="77"/>
  <c r="G96" i="79"/>
  <c r="E96" i="79"/>
  <c r="C96" i="79"/>
  <c r="A96" i="79"/>
  <c r="N96" i="79" s="1"/>
  <c r="A95" i="79"/>
  <c r="N95" i="79" s="1"/>
  <c r="A94" i="79"/>
  <c r="N94" i="79" s="1"/>
  <c r="M93" i="79"/>
  <c r="K93" i="79"/>
  <c r="G93" i="79"/>
  <c r="E93" i="79"/>
  <c r="C93" i="79"/>
  <c r="A93" i="79"/>
  <c r="N93" i="79" s="1"/>
  <c r="B92" i="79"/>
  <c r="N92" i="79"/>
  <c r="K92" i="79"/>
  <c r="H92" i="79"/>
  <c r="F92" i="79"/>
  <c r="C92" i="79"/>
  <c r="A92" i="79"/>
  <c r="M92" i="79" s="1"/>
  <c r="H91" i="79"/>
  <c r="A91" i="79"/>
  <c r="N91" i="79" s="1"/>
  <c r="H90" i="79"/>
  <c r="A90" i="79"/>
  <c r="M90" i="79" s="1"/>
  <c r="H89" i="79"/>
  <c r="G89" i="79"/>
  <c r="A89" i="79"/>
  <c r="N89" i="79" s="1"/>
  <c r="H88" i="79"/>
  <c r="A88" i="79"/>
  <c r="M88" i="79" s="1"/>
  <c r="N87" i="79"/>
  <c r="M87" i="79"/>
  <c r="L87" i="79"/>
  <c r="K87" i="79"/>
  <c r="J87" i="79"/>
  <c r="I87" i="79"/>
  <c r="H87" i="79"/>
  <c r="G87" i="79"/>
  <c r="F87" i="79"/>
  <c r="E87" i="79"/>
  <c r="D87" i="79"/>
  <c r="C87" i="79"/>
  <c r="B87" i="79"/>
  <c r="A87" i="79"/>
  <c r="M86" i="79"/>
  <c r="K86" i="79"/>
  <c r="G86" i="79"/>
  <c r="E86" i="79"/>
  <c r="C86" i="79"/>
  <c r="A86" i="79"/>
  <c r="N86" i="79" s="1"/>
  <c r="M85" i="79"/>
  <c r="K85" i="79"/>
  <c r="H85" i="79"/>
  <c r="E85" i="79"/>
  <c r="C85" i="79"/>
  <c r="A85" i="79"/>
  <c r="N85" i="79" s="1"/>
  <c r="A84" i="79"/>
  <c r="N84" i="79" s="1"/>
  <c r="G83" i="79"/>
  <c r="A83" i="79"/>
  <c r="N83" i="79" s="1"/>
  <c r="N82" i="79"/>
  <c r="M82" i="79"/>
  <c r="L82" i="79"/>
  <c r="K82" i="79"/>
  <c r="J82" i="79"/>
  <c r="I82" i="79"/>
  <c r="H82" i="79"/>
  <c r="G82" i="79"/>
  <c r="F82" i="79"/>
  <c r="E82" i="79"/>
  <c r="D82" i="79"/>
  <c r="C82" i="79"/>
  <c r="B82" i="79"/>
  <c r="A82" i="79"/>
  <c r="H81" i="79"/>
  <c r="A81" i="79"/>
  <c r="N81" i="79" s="1"/>
  <c r="N80" i="79"/>
  <c r="G80" i="79"/>
  <c r="F80" i="79"/>
  <c r="A80" i="79"/>
  <c r="L80" i="79" s="1"/>
  <c r="M79" i="79"/>
  <c r="L79" i="79"/>
  <c r="E79" i="79"/>
  <c r="D79" i="79"/>
  <c r="A79" i="79"/>
  <c r="J79" i="79" s="1"/>
  <c r="M78" i="79"/>
  <c r="K78" i="79"/>
  <c r="J78" i="79"/>
  <c r="G78" i="79"/>
  <c r="E78" i="79"/>
  <c r="C78" i="79"/>
  <c r="B78" i="79"/>
  <c r="A78" i="79"/>
  <c r="H78" i="79" s="1"/>
  <c r="H77" i="79"/>
  <c r="A77" i="79"/>
  <c r="N77" i="79" s="1"/>
  <c r="N76" i="79"/>
  <c r="G76" i="79"/>
  <c r="F76" i="79"/>
  <c r="A76" i="79"/>
  <c r="L76" i="79" s="1"/>
  <c r="M75" i="79"/>
  <c r="L75" i="79"/>
  <c r="E75" i="79"/>
  <c r="D75" i="79"/>
  <c r="A75" i="79"/>
  <c r="J75" i="79" s="1"/>
  <c r="M74" i="79"/>
  <c r="K74" i="79"/>
  <c r="J74" i="79"/>
  <c r="G74" i="79"/>
  <c r="E74" i="79"/>
  <c r="C74" i="79"/>
  <c r="B74" i="79"/>
  <c r="A74" i="79"/>
  <c r="H74" i="79" s="1"/>
  <c r="H73" i="79"/>
  <c r="A73" i="79"/>
  <c r="N73" i="79" s="1"/>
  <c r="N72" i="79"/>
  <c r="G72" i="79"/>
  <c r="F72" i="79"/>
  <c r="A72" i="79"/>
  <c r="L72" i="79" s="1"/>
  <c r="M71" i="79"/>
  <c r="L71" i="79"/>
  <c r="G71" i="79"/>
  <c r="E71" i="79"/>
  <c r="D71" i="79"/>
  <c r="A71" i="79"/>
  <c r="J71" i="79" s="1"/>
  <c r="M70" i="79"/>
  <c r="K70" i="79"/>
  <c r="J70" i="79"/>
  <c r="G70" i="79"/>
  <c r="E70" i="79"/>
  <c r="C70" i="79"/>
  <c r="B70" i="79"/>
  <c r="A70" i="79"/>
  <c r="H70" i="79" s="1"/>
  <c r="H69" i="79"/>
  <c r="A69" i="79"/>
  <c r="N69" i="79" s="1"/>
  <c r="N68" i="79"/>
  <c r="G68" i="79"/>
  <c r="F68" i="79"/>
  <c r="A68" i="79"/>
  <c r="L68" i="79" s="1"/>
  <c r="M67" i="79"/>
  <c r="L67" i="79"/>
  <c r="G67" i="79"/>
  <c r="E67" i="79"/>
  <c r="D67" i="79"/>
  <c r="A67" i="79"/>
  <c r="J67" i="79" s="1"/>
  <c r="M66" i="79"/>
  <c r="K66" i="79"/>
  <c r="J66" i="79"/>
  <c r="G66" i="79"/>
  <c r="E66" i="79"/>
  <c r="C66" i="79"/>
  <c r="B66" i="79"/>
  <c r="A66" i="79"/>
  <c r="H66" i="79" s="1"/>
  <c r="H65" i="79"/>
  <c r="A65" i="79"/>
  <c r="N65" i="79" s="1"/>
  <c r="N64" i="79"/>
  <c r="G64" i="79"/>
  <c r="F64" i="79"/>
  <c r="A64" i="79"/>
  <c r="L64" i="79" s="1"/>
  <c r="M63" i="79"/>
  <c r="L63" i="79"/>
  <c r="G63" i="79"/>
  <c r="E63" i="79"/>
  <c r="D63" i="79"/>
  <c r="A63" i="79"/>
  <c r="J63" i="79" s="1"/>
  <c r="M62" i="79"/>
  <c r="K62" i="79"/>
  <c r="J62" i="79"/>
  <c r="G62" i="79"/>
  <c r="E62" i="79"/>
  <c r="C62" i="79"/>
  <c r="B62" i="79"/>
  <c r="A62" i="79"/>
  <c r="H62" i="79" s="1"/>
  <c r="H61" i="79"/>
  <c r="A61" i="79"/>
  <c r="N61" i="79" s="1"/>
  <c r="N60" i="79"/>
  <c r="G60" i="79"/>
  <c r="F60" i="79"/>
  <c r="A60" i="79"/>
  <c r="L60" i="79" s="1"/>
  <c r="M59" i="79"/>
  <c r="L59" i="79"/>
  <c r="G59" i="79"/>
  <c r="E59" i="79"/>
  <c r="D59" i="79"/>
  <c r="A59" i="79"/>
  <c r="J59" i="79" s="1"/>
  <c r="M58" i="79"/>
  <c r="K58" i="79"/>
  <c r="J58" i="79"/>
  <c r="G58" i="79"/>
  <c r="E58" i="79"/>
  <c r="C58" i="79"/>
  <c r="B58" i="79"/>
  <c r="A58" i="79"/>
  <c r="H58" i="79" s="1"/>
  <c r="H57" i="79"/>
  <c r="A57" i="79"/>
  <c r="N57" i="79" s="1"/>
  <c r="N56" i="79"/>
  <c r="G56" i="79"/>
  <c r="F56" i="79"/>
  <c r="A56" i="79"/>
  <c r="L56" i="79" s="1"/>
  <c r="M55" i="79"/>
  <c r="L55" i="79"/>
  <c r="G55" i="79"/>
  <c r="E55" i="79"/>
  <c r="D55" i="79"/>
  <c r="A55" i="79"/>
  <c r="J55" i="79" s="1"/>
  <c r="M54" i="79"/>
  <c r="K54" i="79"/>
  <c r="J54" i="79"/>
  <c r="G54" i="79"/>
  <c r="E54" i="79"/>
  <c r="C54" i="79"/>
  <c r="B54" i="79"/>
  <c r="A54" i="79"/>
  <c r="H54" i="79" s="1"/>
  <c r="H53" i="79"/>
  <c r="A53" i="79"/>
  <c r="N53" i="79" s="1"/>
  <c r="N52" i="79"/>
  <c r="M52" i="79"/>
  <c r="L52" i="79"/>
  <c r="K52" i="79"/>
  <c r="J52" i="79"/>
  <c r="I52" i="79"/>
  <c r="H52" i="79"/>
  <c r="G52" i="79"/>
  <c r="F52" i="79"/>
  <c r="E52" i="79"/>
  <c r="D52" i="79"/>
  <c r="C52" i="79"/>
  <c r="B52" i="79"/>
  <c r="A52" i="79"/>
  <c r="G51" i="79"/>
  <c r="A51" i="79"/>
  <c r="N51" i="79" s="1"/>
  <c r="M50" i="79"/>
  <c r="G50" i="79"/>
  <c r="E50" i="79"/>
  <c r="A50" i="79"/>
  <c r="L50" i="79" s="1"/>
  <c r="M49" i="79"/>
  <c r="K49" i="79"/>
  <c r="G49" i="79"/>
  <c r="E49" i="79"/>
  <c r="C49" i="79"/>
  <c r="A49" i="79"/>
  <c r="J49" i="79" s="1"/>
  <c r="A48" i="79"/>
  <c r="G47" i="79"/>
  <c r="A47" i="79"/>
  <c r="N47" i="79" s="1"/>
  <c r="M46" i="79"/>
  <c r="G46" i="79"/>
  <c r="E46" i="79"/>
  <c r="A46" i="79"/>
  <c r="L46" i="79" s="1"/>
  <c r="M45" i="79"/>
  <c r="K45" i="79"/>
  <c r="G45" i="79"/>
  <c r="E45" i="79"/>
  <c r="C45" i="79"/>
  <c r="A45" i="79"/>
  <c r="J45" i="79" s="1"/>
  <c r="A44" i="79"/>
  <c r="G43" i="79"/>
  <c r="A43" i="79"/>
  <c r="N43" i="79" s="1"/>
  <c r="M42" i="79"/>
  <c r="G42" i="79"/>
  <c r="E42" i="79"/>
  <c r="A42" i="79"/>
  <c r="L42" i="79" s="1"/>
  <c r="M41" i="79"/>
  <c r="K41" i="79"/>
  <c r="G41" i="79"/>
  <c r="E41" i="79"/>
  <c r="C41" i="79"/>
  <c r="A41" i="79"/>
  <c r="J41" i="79" s="1"/>
  <c r="A40" i="79"/>
  <c r="G39" i="79"/>
  <c r="A39" i="79"/>
  <c r="N39" i="79" s="1"/>
  <c r="M38" i="79"/>
  <c r="G38" i="79"/>
  <c r="E38" i="79"/>
  <c r="A38" i="79"/>
  <c r="L38" i="79" s="1"/>
  <c r="M37" i="79"/>
  <c r="K37" i="79"/>
  <c r="G37" i="79"/>
  <c r="E37" i="79"/>
  <c r="C37" i="79"/>
  <c r="A37" i="79"/>
  <c r="J37" i="79" s="1"/>
  <c r="A36" i="79"/>
  <c r="I36" i="79" s="1"/>
  <c r="G35" i="79"/>
  <c r="A35" i="79"/>
  <c r="N35" i="79" s="1"/>
  <c r="M34" i="79"/>
  <c r="G34" i="79"/>
  <c r="E34" i="79"/>
  <c r="A34" i="79"/>
  <c r="L34" i="79" s="1"/>
  <c r="M33" i="79"/>
  <c r="K33" i="79"/>
  <c r="G33" i="79"/>
  <c r="E33" i="79"/>
  <c r="C33" i="79"/>
  <c r="A33" i="79"/>
  <c r="J33" i="79" s="1"/>
  <c r="A32" i="79"/>
  <c r="G31" i="79"/>
  <c r="A31" i="79"/>
  <c r="N31" i="79" s="1"/>
  <c r="M30" i="79"/>
  <c r="G30" i="79"/>
  <c r="E30" i="79"/>
  <c r="A30" i="79"/>
  <c r="L30" i="79" s="1"/>
  <c r="M29" i="79"/>
  <c r="K29" i="79"/>
  <c r="G29" i="79"/>
  <c r="E29" i="79"/>
  <c r="C29" i="79"/>
  <c r="A29" i="79"/>
  <c r="J29" i="79" s="1"/>
  <c r="I28" i="79"/>
  <c r="A28" i="79"/>
  <c r="I27" i="79"/>
  <c r="G27" i="79"/>
  <c r="A27" i="79"/>
  <c r="M26" i="79"/>
  <c r="G26" i="79"/>
  <c r="E26" i="79"/>
  <c r="A26" i="79"/>
  <c r="L26" i="79" s="1"/>
  <c r="M25" i="79"/>
  <c r="K25" i="79"/>
  <c r="G25" i="79"/>
  <c r="E25" i="79"/>
  <c r="C25" i="79"/>
  <c r="A25" i="79"/>
  <c r="J25" i="79" s="1"/>
  <c r="M24" i="79"/>
  <c r="K24" i="79"/>
  <c r="I24" i="79"/>
  <c r="E24" i="79"/>
  <c r="C24" i="79"/>
  <c r="A24" i="79"/>
  <c r="K23" i="79"/>
  <c r="G23" i="79"/>
  <c r="A23" i="79"/>
  <c r="M22" i="79"/>
  <c r="I22" i="79"/>
  <c r="E22" i="79"/>
  <c r="A22" i="79"/>
  <c r="M21" i="79"/>
  <c r="K21" i="79"/>
  <c r="G21" i="79"/>
  <c r="E21" i="79"/>
  <c r="C21" i="79"/>
  <c r="A21" i="79"/>
  <c r="J21" i="79" s="1"/>
  <c r="M20" i="79"/>
  <c r="I20" i="79"/>
  <c r="C20" i="79"/>
  <c r="A20" i="79"/>
  <c r="K19" i="79"/>
  <c r="A19" i="79"/>
  <c r="M18" i="79"/>
  <c r="I18" i="79"/>
  <c r="G18" i="79"/>
  <c r="E18" i="79"/>
  <c r="A18" i="79"/>
  <c r="A17" i="79"/>
  <c r="C17" i="79" s="1"/>
  <c r="K16" i="79"/>
  <c r="G16" i="79"/>
  <c r="C16" i="79"/>
  <c r="A16" i="79"/>
  <c r="M15" i="79"/>
  <c r="I15" i="79"/>
  <c r="E15" i="79"/>
  <c r="A15" i="79"/>
  <c r="M14" i="79"/>
  <c r="K14" i="79"/>
  <c r="G14" i="79"/>
  <c r="C14" i="79"/>
  <c r="A14" i="79"/>
  <c r="I13" i="79"/>
  <c r="A13" i="79"/>
  <c r="M13" i="79" s="1"/>
  <c r="M12" i="79"/>
  <c r="K12" i="79"/>
  <c r="I12" i="79"/>
  <c r="G12" i="79"/>
  <c r="C12" i="79"/>
  <c r="A12" i="79"/>
  <c r="M11" i="79"/>
  <c r="E11" i="79"/>
  <c r="A11" i="79"/>
  <c r="K11" i="79" s="1"/>
  <c r="K10" i="79"/>
  <c r="I10" i="79"/>
  <c r="G10" i="79"/>
  <c r="E10" i="79"/>
  <c r="C10" i="79"/>
  <c r="A10" i="79"/>
  <c r="M10" i="79" s="1"/>
  <c r="A9" i="79"/>
  <c r="K8" i="79"/>
  <c r="G8" i="79"/>
  <c r="C8" i="79"/>
  <c r="A8" i="79"/>
  <c r="M7" i="79"/>
  <c r="I7" i="79"/>
  <c r="E7" i="79"/>
  <c r="A7" i="79"/>
  <c r="M6" i="79"/>
  <c r="K6" i="79"/>
  <c r="G6" i="79"/>
  <c r="C6" i="79"/>
  <c r="A6" i="79"/>
  <c r="I5" i="79"/>
  <c r="A5" i="79"/>
  <c r="M5" i="79" s="1"/>
  <c r="G4" i="79"/>
  <c r="A4" i="79"/>
  <c r="B4" i="79" s="1"/>
  <c r="H3" i="79"/>
  <c r="F3" i="79"/>
  <c r="D3" i="79"/>
  <c r="A3" i="79"/>
  <c r="N2" i="79"/>
  <c r="M2" i="79"/>
  <c r="L2" i="79"/>
  <c r="K2" i="79"/>
  <c r="J2" i="79"/>
  <c r="I2" i="79"/>
  <c r="H2" i="79"/>
  <c r="G2" i="79"/>
  <c r="F2" i="79"/>
  <c r="E2" i="79"/>
  <c r="D2" i="79"/>
  <c r="C2" i="79"/>
  <c r="B2" i="79"/>
  <c r="A2" i="79"/>
  <c r="T83" i="69"/>
  <c r="U83" i="69" s="1"/>
  <c r="T82" i="69"/>
  <c r="U82" i="69" s="1"/>
  <c r="T81" i="69"/>
  <c r="U81" i="69" s="1"/>
  <c r="T80" i="69"/>
  <c r="U80" i="69" s="1"/>
  <c r="T79" i="69"/>
  <c r="U79" i="69" s="1"/>
  <c r="H96" i="79" l="1"/>
  <c r="I96" i="79"/>
  <c r="B96" i="79"/>
  <c r="J96" i="79"/>
  <c r="K96" i="79"/>
  <c r="D96" i="79"/>
  <c r="L96" i="79"/>
  <c r="M96" i="79"/>
  <c r="F96" i="79"/>
  <c r="G95" i="79"/>
  <c r="I95" i="79"/>
  <c r="B95" i="79"/>
  <c r="J95" i="79"/>
  <c r="C95" i="79"/>
  <c r="K95" i="79"/>
  <c r="D95" i="79"/>
  <c r="L95" i="79"/>
  <c r="E95" i="79"/>
  <c r="M95" i="79"/>
  <c r="H95" i="79"/>
  <c r="F95" i="79"/>
  <c r="E94" i="79"/>
  <c r="G94" i="79"/>
  <c r="I94" i="79"/>
  <c r="H94" i="79"/>
  <c r="B94" i="79"/>
  <c r="J94" i="79"/>
  <c r="C94" i="79"/>
  <c r="K94" i="79"/>
  <c r="D94" i="79"/>
  <c r="L94" i="79"/>
  <c r="M94" i="79"/>
  <c r="F94" i="79"/>
  <c r="H93" i="79"/>
  <c r="I93" i="79"/>
  <c r="B93" i="79"/>
  <c r="J93" i="79"/>
  <c r="D93" i="79"/>
  <c r="L93" i="79"/>
  <c r="F93" i="79"/>
  <c r="G92" i="79"/>
  <c r="I92" i="79"/>
  <c r="J92" i="79"/>
  <c r="D92" i="79"/>
  <c r="L92" i="79"/>
  <c r="E92" i="79"/>
  <c r="G91" i="79"/>
  <c r="I91" i="79"/>
  <c r="B91" i="79"/>
  <c r="J91" i="79"/>
  <c r="C91" i="79"/>
  <c r="K91" i="79"/>
  <c r="D91" i="79"/>
  <c r="L91" i="79"/>
  <c r="E91" i="79"/>
  <c r="M91" i="79"/>
  <c r="F91" i="79"/>
  <c r="F90" i="79"/>
  <c r="N90" i="79"/>
  <c r="G90" i="79"/>
  <c r="I90" i="79"/>
  <c r="J90" i="79"/>
  <c r="C90" i="79"/>
  <c r="K90" i="79"/>
  <c r="B90" i="79"/>
  <c r="D90" i="79"/>
  <c r="L90" i="79"/>
  <c r="E90" i="79"/>
  <c r="I89" i="79"/>
  <c r="B89" i="79"/>
  <c r="J89" i="79"/>
  <c r="C89" i="79"/>
  <c r="K89" i="79"/>
  <c r="D89" i="79"/>
  <c r="L89" i="79"/>
  <c r="E89" i="79"/>
  <c r="M89" i="79"/>
  <c r="F89" i="79"/>
  <c r="F88" i="79"/>
  <c r="N88" i="79"/>
  <c r="G88" i="79"/>
  <c r="I88" i="79"/>
  <c r="B88" i="79"/>
  <c r="J88" i="79"/>
  <c r="C88" i="79"/>
  <c r="K88" i="79"/>
  <c r="D88" i="79"/>
  <c r="L88" i="79"/>
  <c r="E88" i="79"/>
  <c r="H86" i="79"/>
  <c r="I86" i="79"/>
  <c r="B86" i="79"/>
  <c r="J86" i="79"/>
  <c r="D86" i="79"/>
  <c r="L86" i="79"/>
  <c r="F86" i="79"/>
  <c r="G85" i="79"/>
  <c r="I85" i="79"/>
  <c r="B85" i="79"/>
  <c r="J85" i="79"/>
  <c r="D85" i="79"/>
  <c r="L85" i="79"/>
  <c r="F85" i="79"/>
  <c r="G84" i="79"/>
  <c r="H84" i="79"/>
  <c r="I84" i="79"/>
  <c r="B84" i="79"/>
  <c r="J84" i="79"/>
  <c r="C84" i="79"/>
  <c r="K84" i="79"/>
  <c r="D84" i="79"/>
  <c r="L84" i="79"/>
  <c r="E84" i="79"/>
  <c r="M84" i="79"/>
  <c r="F84" i="79"/>
  <c r="H83" i="79"/>
  <c r="I83" i="79"/>
  <c r="B83" i="79"/>
  <c r="J83" i="79"/>
  <c r="C83" i="79"/>
  <c r="K83" i="79"/>
  <c r="D83" i="79"/>
  <c r="L83" i="79"/>
  <c r="E83" i="79"/>
  <c r="M83" i="79"/>
  <c r="F83" i="79"/>
  <c r="I53" i="79"/>
  <c r="E57" i="79"/>
  <c r="G53" i="79"/>
  <c r="I54" i="79"/>
  <c r="C55" i="79"/>
  <c r="K55" i="79"/>
  <c r="E56" i="79"/>
  <c r="M56" i="79"/>
  <c r="G57" i="79"/>
  <c r="I58" i="79"/>
  <c r="C59" i="79"/>
  <c r="K59" i="79"/>
  <c r="E60" i="79"/>
  <c r="M60" i="79"/>
  <c r="G61" i="79"/>
  <c r="I62" i="79"/>
  <c r="C63" i="79"/>
  <c r="K63" i="79"/>
  <c r="E64" i="79"/>
  <c r="M64" i="79"/>
  <c r="G65" i="79"/>
  <c r="I66" i="79"/>
  <c r="C67" i="79"/>
  <c r="K67" i="79"/>
  <c r="E68" i="79"/>
  <c r="M68" i="79"/>
  <c r="G69" i="79"/>
  <c r="I70" i="79"/>
  <c r="C71" i="79"/>
  <c r="K71" i="79"/>
  <c r="E72" i="79"/>
  <c r="M72" i="79"/>
  <c r="G73" i="79"/>
  <c r="I74" i="79"/>
  <c r="C75" i="79"/>
  <c r="K75" i="79"/>
  <c r="E76" i="79"/>
  <c r="M76" i="79"/>
  <c r="G77" i="79"/>
  <c r="I78" i="79"/>
  <c r="C79" i="79"/>
  <c r="K79" i="79"/>
  <c r="E80" i="79"/>
  <c r="M80" i="79"/>
  <c r="G81" i="79"/>
  <c r="I57" i="79"/>
  <c r="I61" i="79"/>
  <c r="I65" i="79"/>
  <c r="I69" i="79"/>
  <c r="I73" i="79"/>
  <c r="I77" i="79"/>
  <c r="I81" i="79"/>
  <c r="B53" i="79"/>
  <c r="J53" i="79"/>
  <c r="D54" i="79"/>
  <c r="L54" i="79"/>
  <c r="F55" i="79"/>
  <c r="N55" i="79"/>
  <c r="H56" i="79"/>
  <c r="B57" i="79"/>
  <c r="J57" i="79"/>
  <c r="D58" i="79"/>
  <c r="L58" i="79"/>
  <c r="F59" i="79"/>
  <c r="N59" i="79"/>
  <c r="H60" i="79"/>
  <c r="B61" i="79"/>
  <c r="J61" i="79"/>
  <c r="D62" i="79"/>
  <c r="L62" i="79"/>
  <c r="F63" i="79"/>
  <c r="N63" i="79"/>
  <c r="H64" i="79"/>
  <c r="B65" i="79"/>
  <c r="J65" i="79"/>
  <c r="D66" i="79"/>
  <c r="L66" i="79"/>
  <c r="F67" i="79"/>
  <c r="N67" i="79"/>
  <c r="H68" i="79"/>
  <c r="B69" i="79"/>
  <c r="J69" i="79"/>
  <c r="D70" i="79"/>
  <c r="L70" i="79"/>
  <c r="F71" i="79"/>
  <c r="N71" i="79"/>
  <c r="H72" i="79"/>
  <c r="B73" i="79"/>
  <c r="J73" i="79"/>
  <c r="D74" i="79"/>
  <c r="L74" i="79"/>
  <c r="F75" i="79"/>
  <c r="N75" i="79"/>
  <c r="H76" i="79"/>
  <c r="B77" i="79"/>
  <c r="J77" i="79"/>
  <c r="D78" i="79"/>
  <c r="L78" i="79"/>
  <c r="F79" i="79"/>
  <c r="N79" i="79"/>
  <c r="H80" i="79"/>
  <c r="B81" i="79"/>
  <c r="J81" i="79"/>
  <c r="C53" i="79"/>
  <c r="I56" i="79"/>
  <c r="C57" i="79"/>
  <c r="K57" i="79"/>
  <c r="I60" i="79"/>
  <c r="C61" i="79"/>
  <c r="K61" i="79"/>
  <c r="I64" i="79"/>
  <c r="C65" i="79"/>
  <c r="K65" i="79"/>
  <c r="I68" i="79"/>
  <c r="C69" i="79"/>
  <c r="K69" i="79"/>
  <c r="I72" i="79"/>
  <c r="C73" i="79"/>
  <c r="K73" i="79"/>
  <c r="G75" i="79"/>
  <c r="I76" i="79"/>
  <c r="C77" i="79"/>
  <c r="K77" i="79"/>
  <c r="G79" i="79"/>
  <c r="I80" i="79"/>
  <c r="C81" i="79"/>
  <c r="K81" i="79"/>
  <c r="D53" i="79"/>
  <c r="L53" i="79"/>
  <c r="F54" i="79"/>
  <c r="N54" i="79"/>
  <c r="H55" i="79"/>
  <c r="B56" i="79"/>
  <c r="J56" i="79"/>
  <c r="D57" i="79"/>
  <c r="L57" i="79"/>
  <c r="F58" i="79"/>
  <c r="N58" i="79"/>
  <c r="H59" i="79"/>
  <c r="B60" i="79"/>
  <c r="J60" i="79"/>
  <c r="D61" i="79"/>
  <c r="L61" i="79"/>
  <c r="F62" i="79"/>
  <c r="N62" i="79"/>
  <c r="H63" i="79"/>
  <c r="B64" i="79"/>
  <c r="J64" i="79"/>
  <c r="D65" i="79"/>
  <c r="L65" i="79"/>
  <c r="F66" i="79"/>
  <c r="N66" i="79"/>
  <c r="H67" i="79"/>
  <c r="B68" i="79"/>
  <c r="J68" i="79"/>
  <c r="D69" i="79"/>
  <c r="L69" i="79"/>
  <c r="F70" i="79"/>
  <c r="N70" i="79"/>
  <c r="H71" i="79"/>
  <c r="B72" i="79"/>
  <c r="J72" i="79"/>
  <c r="D73" i="79"/>
  <c r="L73" i="79"/>
  <c r="F74" i="79"/>
  <c r="N74" i="79"/>
  <c r="H75" i="79"/>
  <c r="B76" i="79"/>
  <c r="J76" i="79"/>
  <c r="D77" i="79"/>
  <c r="L77" i="79"/>
  <c r="F78" i="79"/>
  <c r="N78" i="79"/>
  <c r="H79" i="79"/>
  <c r="B80" i="79"/>
  <c r="J80" i="79"/>
  <c r="D81" i="79"/>
  <c r="L81" i="79"/>
  <c r="K53" i="79"/>
  <c r="E53" i="79"/>
  <c r="M53" i="79"/>
  <c r="I55" i="79"/>
  <c r="C56" i="79"/>
  <c r="K56" i="79"/>
  <c r="M57" i="79"/>
  <c r="I59" i="79"/>
  <c r="C60" i="79"/>
  <c r="K60" i="79"/>
  <c r="M61" i="79"/>
  <c r="I63" i="79"/>
  <c r="C64" i="79"/>
  <c r="K64" i="79"/>
  <c r="E65" i="79"/>
  <c r="M65" i="79"/>
  <c r="I67" i="79"/>
  <c r="C68" i="79"/>
  <c r="K68" i="79"/>
  <c r="E69" i="79"/>
  <c r="M69" i="79"/>
  <c r="I71" i="79"/>
  <c r="C72" i="79"/>
  <c r="K72" i="79"/>
  <c r="E73" i="79"/>
  <c r="M73" i="79"/>
  <c r="I75" i="79"/>
  <c r="C76" i="79"/>
  <c r="K76" i="79"/>
  <c r="E77" i="79"/>
  <c r="M77" i="79"/>
  <c r="I79" i="79"/>
  <c r="C80" i="79"/>
  <c r="K80" i="79"/>
  <c r="E81" i="79"/>
  <c r="M81" i="79"/>
  <c r="E61" i="79"/>
  <c r="F53" i="79"/>
  <c r="B55" i="79"/>
  <c r="D56" i="79"/>
  <c r="F57" i="79"/>
  <c r="B59" i="79"/>
  <c r="D60" i="79"/>
  <c r="F61" i="79"/>
  <c r="B63" i="79"/>
  <c r="D64" i="79"/>
  <c r="F65" i="79"/>
  <c r="B67" i="79"/>
  <c r="D68" i="79"/>
  <c r="F69" i="79"/>
  <c r="B71" i="79"/>
  <c r="D72" i="79"/>
  <c r="F73" i="79"/>
  <c r="B75" i="79"/>
  <c r="D76" i="79"/>
  <c r="F77" i="79"/>
  <c r="B79" i="79"/>
  <c r="D80" i="79"/>
  <c r="F81" i="79"/>
  <c r="J9" i="79"/>
  <c r="B9" i="79"/>
  <c r="H9" i="79"/>
  <c r="N9" i="79"/>
  <c r="F9" i="79"/>
  <c r="L9" i="79"/>
  <c r="D9" i="79"/>
  <c r="I4" i="79"/>
  <c r="K5" i="79"/>
  <c r="H8" i="79"/>
  <c r="N8" i="79"/>
  <c r="F8" i="79"/>
  <c r="L8" i="79"/>
  <c r="D8" i="79"/>
  <c r="J8" i="79"/>
  <c r="B8" i="79"/>
  <c r="C9" i="79"/>
  <c r="G11" i="79"/>
  <c r="K13" i="79"/>
  <c r="H16" i="79"/>
  <c r="N16" i="79"/>
  <c r="F16" i="79"/>
  <c r="L16" i="79"/>
  <c r="D16" i="79"/>
  <c r="J16" i="79"/>
  <c r="B16" i="79"/>
  <c r="H20" i="79"/>
  <c r="G20" i="79"/>
  <c r="N20" i="79"/>
  <c r="F20" i="79"/>
  <c r="L20" i="79"/>
  <c r="D20" i="79"/>
  <c r="J20" i="79"/>
  <c r="B20" i="79"/>
  <c r="J17" i="79"/>
  <c r="B17" i="79"/>
  <c r="H17" i="79"/>
  <c r="N17" i="79"/>
  <c r="F17" i="79"/>
  <c r="L17" i="79"/>
  <c r="D17" i="79"/>
  <c r="H36" i="79"/>
  <c r="G36" i="79"/>
  <c r="N36" i="79"/>
  <c r="F36" i="79"/>
  <c r="M36" i="79"/>
  <c r="E36" i="79"/>
  <c r="L36" i="79"/>
  <c r="D36" i="79"/>
  <c r="K36" i="79"/>
  <c r="C36" i="79"/>
  <c r="J36" i="79"/>
  <c r="B36" i="79"/>
  <c r="N3" i="79"/>
  <c r="L3" i="79"/>
  <c r="J3" i="79"/>
  <c r="K4" i="79"/>
  <c r="N7" i="79"/>
  <c r="F7" i="79"/>
  <c r="L7" i="79"/>
  <c r="D7" i="79"/>
  <c r="J7" i="79"/>
  <c r="B7" i="79"/>
  <c r="H7" i="79"/>
  <c r="I11" i="79"/>
  <c r="E17" i="79"/>
  <c r="N23" i="79"/>
  <c r="F23" i="79"/>
  <c r="M23" i="79"/>
  <c r="E23" i="79"/>
  <c r="L23" i="79"/>
  <c r="D23" i="79"/>
  <c r="J23" i="79"/>
  <c r="B23" i="79"/>
  <c r="H23" i="79"/>
  <c r="H28" i="79"/>
  <c r="G28" i="79"/>
  <c r="N28" i="79"/>
  <c r="F28" i="79"/>
  <c r="M28" i="79"/>
  <c r="E28" i="79"/>
  <c r="L28" i="79"/>
  <c r="D28" i="79"/>
  <c r="J28" i="79"/>
  <c r="B28" i="79"/>
  <c r="H32" i="79"/>
  <c r="G32" i="79"/>
  <c r="N32" i="79"/>
  <c r="F32" i="79"/>
  <c r="M32" i="79"/>
  <c r="E32" i="79"/>
  <c r="L32" i="79"/>
  <c r="D32" i="79"/>
  <c r="K32" i="79"/>
  <c r="C32" i="79"/>
  <c r="J32" i="79"/>
  <c r="B32" i="79"/>
  <c r="H48" i="79"/>
  <c r="G48" i="79"/>
  <c r="N48" i="79"/>
  <c r="F48" i="79"/>
  <c r="M48" i="79"/>
  <c r="E48" i="79"/>
  <c r="L48" i="79"/>
  <c r="D48" i="79"/>
  <c r="K48" i="79"/>
  <c r="C48" i="79"/>
  <c r="J48" i="79"/>
  <c r="B48" i="79"/>
  <c r="I3" i="79"/>
  <c r="B3" i="79"/>
  <c r="K3" i="79"/>
  <c r="E9" i="79"/>
  <c r="N15" i="79"/>
  <c r="F15" i="79"/>
  <c r="L15" i="79"/>
  <c r="D15" i="79"/>
  <c r="J15" i="79"/>
  <c r="B15" i="79"/>
  <c r="H15" i="79"/>
  <c r="C3" i="79"/>
  <c r="M3" i="79"/>
  <c r="M4" i="79"/>
  <c r="L6" i="79"/>
  <c r="D6" i="79"/>
  <c r="J6" i="79"/>
  <c r="B6" i="79"/>
  <c r="H6" i="79"/>
  <c r="N6" i="79"/>
  <c r="F6" i="79"/>
  <c r="C7" i="79"/>
  <c r="E8" i="79"/>
  <c r="G9" i="79"/>
  <c r="L14" i="79"/>
  <c r="D14" i="79"/>
  <c r="J14" i="79"/>
  <c r="B14" i="79"/>
  <c r="H14" i="79"/>
  <c r="N14" i="79"/>
  <c r="F14" i="79"/>
  <c r="C15" i="79"/>
  <c r="E16" i="79"/>
  <c r="G17" i="79"/>
  <c r="E20" i="79"/>
  <c r="C23" i="79"/>
  <c r="C28" i="79"/>
  <c r="I32" i="79"/>
  <c r="I48" i="79"/>
  <c r="J5" i="79"/>
  <c r="B5" i="79"/>
  <c r="H5" i="79"/>
  <c r="N5" i="79"/>
  <c r="F5" i="79"/>
  <c r="L5" i="79"/>
  <c r="D5" i="79"/>
  <c r="I9" i="79"/>
  <c r="J13" i="79"/>
  <c r="B13" i="79"/>
  <c r="H13" i="79"/>
  <c r="N13" i="79"/>
  <c r="F13" i="79"/>
  <c r="L13" i="79"/>
  <c r="D13" i="79"/>
  <c r="I17" i="79"/>
  <c r="N19" i="79"/>
  <c r="F19" i="79"/>
  <c r="M19" i="79"/>
  <c r="E19" i="79"/>
  <c r="L19" i="79"/>
  <c r="D19" i="79"/>
  <c r="J19" i="79"/>
  <c r="B19" i="79"/>
  <c r="H19" i="79"/>
  <c r="H44" i="79"/>
  <c r="G44" i="79"/>
  <c r="N44" i="79"/>
  <c r="F44" i="79"/>
  <c r="M44" i="79"/>
  <c r="E44" i="79"/>
  <c r="L44" i="79"/>
  <c r="D44" i="79"/>
  <c r="K44" i="79"/>
  <c r="C44" i="79"/>
  <c r="J44" i="79"/>
  <c r="B44" i="79"/>
  <c r="E3" i="79"/>
  <c r="C5" i="79"/>
  <c r="E6" i="79"/>
  <c r="G7" i="79"/>
  <c r="I8" i="79"/>
  <c r="K9" i="79"/>
  <c r="H12" i="79"/>
  <c r="N12" i="79"/>
  <c r="F12" i="79"/>
  <c r="L12" i="79"/>
  <c r="D12" i="79"/>
  <c r="J12" i="79"/>
  <c r="B12" i="79"/>
  <c r="C13" i="79"/>
  <c r="E14" i="79"/>
  <c r="G15" i="79"/>
  <c r="I16" i="79"/>
  <c r="K17" i="79"/>
  <c r="C19" i="79"/>
  <c r="K20" i="79"/>
  <c r="L22" i="79"/>
  <c r="D22" i="79"/>
  <c r="K22" i="79"/>
  <c r="C22" i="79"/>
  <c r="J22" i="79"/>
  <c r="B22" i="79"/>
  <c r="H22" i="79"/>
  <c r="N22" i="79"/>
  <c r="F22" i="79"/>
  <c r="I23" i="79"/>
  <c r="K28" i="79"/>
  <c r="I44" i="79"/>
  <c r="H4" i="79"/>
  <c r="N4" i="79"/>
  <c r="F4" i="79"/>
  <c r="L4" i="79"/>
  <c r="D4" i="79"/>
  <c r="J4" i="79"/>
  <c r="C4" i="79"/>
  <c r="E5" i="79"/>
  <c r="M9" i="79"/>
  <c r="N11" i="79"/>
  <c r="F11" i="79"/>
  <c r="L11" i="79"/>
  <c r="D11" i="79"/>
  <c r="J11" i="79"/>
  <c r="B11" i="79"/>
  <c r="H11" i="79"/>
  <c r="E13" i="79"/>
  <c r="M17" i="79"/>
  <c r="G19" i="79"/>
  <c r="H40" i="79"/>
  <c r="G40" i="79"/>
  <c r="N40" i="79"/>
  <c r="F40" i="79"/>
  <c r="M40" i="79"/>
  <c r="E40" i="79"/>
  <c r="L40" i="79"/>
  <c r="D40" i="79"/>
  <c r="K40" i="79"/>
  <c r="C40" i="79"/>
  <c r="J40" i="79"/>
  <c r="B40" i="79"/>
  <c r="G3" i="79"/>
  <c r="E4" i="79"/>
  <c r="G5" i="79"/>
  <c r="I6" i="79"/>
  <c r="K7" i="79"/>
  <c r="M8" i="79"/>
  <c r="L10" i="79"/>
  <c r="D10" i="79"/>
  <c r="J10" i="79"/>
  <c r="B10" i="79"/>
  <c r="H10" i="79"/>
  <c r="N10" i="79"/>
  <c r="F10" i="79"/>
  <c r="C11" i="79"/>
  <c r="E12" i="79"/>
  <c r="G13" i="79"/>
  <c r="I14" i="79"/>
  <c r="K15" i="79"/>
  <c r="M16" i="79"/>
  <c r="L18" i="79"/>
  <c r="D18" i="79"/>
  <c r="K18" i="79"/>
  <c r="C18" i="79"/>
  <c r="J18" i="79"/>
  <c r="B18" i="79"/>
  <c r="H18" i="79"/>
  <c r="N18" i="79"/>
  <c r="F18" i="79"/>
  <c r="I19" i="79"/>
  <c r="G22" i="79"/>
  <c r="H24" i="79"/>
  <c r="G24" i="79"/>
  <c r="N24" i="79"/>
  <c r="F24" i="79"/>
  <c r="L24" i="79"/>
  <c r="D24" i="79"/>
  <c r="J24" i="79"/>
  <c r="B24" i="79"/>
  <c r="N27" i="79"/>
  <c r="F27" i="79"/>
  <c r="M27" i="79"/>
  <c r="E27" i="79"/>
  <c r="L27" i="79"/>
  <c r="D27" i="79"/>
  <c r="K27" i="79"/>
  <c r="C27" i="79"/>
  <c r="J27" i="79"/>
  <c r="B27" i="79"/>
  <c r="H27" i="79"/>
  <c r="I40" i="79"/>
  <c r="D21" i="79"/>
  <c r="L21" i="79"/>
  <c r="D25" i="79"/>
  <c r="L25" i="79"/>
  <c r="F26" i="79"/>
  <c r="N26" i="79"/>
  <c r="D29" i="79"/>
  <c r="L29" i="79"/>
  <c r="F30" i="79"/>
  <c r="N30" i="79"/>
  <c r="H31" i="79"/>
  <c r="D33" i="79"/>
  <c r="L33" i="79"/>
  <c r="F34" i="79"/>
  <c r="N34" i="79"/>
  <c r="H35" i="79"/>
  <c r="D37" i="79"/>
  <c r="L37" i="79"/>
  <c r="F38" i="79"/>
  <c r="N38" i="79"/>
  <c r="H39" i="79"/>
  <c r="D41" i="79"/>
  <c r="L41" i="79"/>
  <c r="F42" i="79"/>
  <c r="N42" i="79"/>
  <c r="H43" i="79"/>
  <c r="D45" i="79"/>
  <c r="L45" i="79"/>
  <c r="F46" i="79"/>
  <c r="N46" i="79"/>
  <c r="H47" i="79"/>
  <c r="D49" i="79"/>
  <c r="L49" i="79"/>
  <c r="F50" i="79"/>
  <c r="N50" i="79"/>
  <c r="H51" i="79"/>
  <c r="I31" i="79"/>
  <c r="I35" i="79"/>
  <c r="I39" i="79"/>
  <c r="I43" i="79"/>
  <c r="I47" i="79"/>
  <c r="I51" i="79"/>
  <c r="F21" i="79"/>
  <c r="N21" i="79"/>
  <c r="F25" i="79"/>
  <c r="N25" i="79"/>
  <c r="H26" i="79"/>
  <c r="F29" i="79"/>
  <c r="N29" i="79"/>
  <c r="H30" i="79"/>
  <c r="B31" i="79"/>
  <c r="J31" i="79"/>
  <c r="F33" i="79"/>
  <c r="N33" i="79"/>
  <c r="H34" i="79"/>
  <c r="B35" i="79"/>
  <c r="J35" i="79"/>
  <c r="F37" i="79"/>
  <c r="N37" i="79"/>
  <c r="H38" i="79"/>
  <c r="B39" i="79"/>
  <c r="J39" i="79"/>
  <c r="F41" i="79"/>
  <c r="N41" i="79"/>
  <c r="H42" i="79"/>
  <c r="B43" i="79"/>
  <c r="J43" i="79"/>
  <c r="F45" i="79"/>
  <c r="N45" i="79"/>
  <c r="H46" i="79"/>
  <c r="B47" i="79"/>
  <c r="J47" i="79"/>
  <c r="F49" i="79"/>
  <c r="N49" i="79"/>
  <c r="H50" i="79"/>
  <c r="B51" i="79"/>
  <c r="J51" i="79"/>
  <c r="I26" i="79"/>
  <c r="I30" i="79"/>
  <c r="C31" i="79"/>
  <c r="K31" i="79"/>
  <c r="I34" i="79"/>
  <c r="C35" i="79"/>
  <c r="K35" i="79"/>
  <c r="I38" i="79"/>
  <c r="C39" i="79"/>
  <c r="K39" i="79"/>
  <c r="I42" i="79"/>
  <c r="C43" i="79"/>
  <c r="K43" i="79"/>
  <c r="I46" i="79"/>
  <c r="C47" i="79"/>
  <c r="K47" i="79"/>
  <c r="I50" i="79"/>
  <c r="C51" i="79"/>
  <c r="K51" i="79"/>
  <c r="H21" i="79"/>
  <c r="H25" i="79"/>
  <c r="B26" i="79"/>
  <c r="J26" i="79"/>
  <c r="H29" i="79"/>
  <c r="B30" i="79"/>
  <c r="J30" i="79"/>
  <c r="D31" i="79"/>
  <c r="L31" i="79"/>
  <c r="H33" i="79"/>
  <c r="B34" i="79"/>
  <c r="J34" i="79"/>
  <c r="D35" i="79"/>
  <c r="L35" i="79"/>
  <c r="H37" i="79"/>
  <c r="B38" i="79"/>
  <c r="J38" i="79"/>
  <c r="D39" i="79"/>
  <c r="L39" i="79"/>
  <c r="H41" i="79"/>
  <c r="B42" i="79"/>
  <c r="J42" i="79"/>
  <c r="D43" i="79"/>
  <c r="L43" i="79"/>
  <c r="H45" i="79"/>
  <c r="B46" i="79"/>
  <c r="J46" i="79"/>
  <c r="D47" i="79"/>
  <c r="L47" i="79"/>
  <c r="H49" i="79"/>
  <c r="B50" i="79"/>
  <c r="J50" i="79"/>
  <c r="D51" i="79"/>
  <c r="L51" i="79"/>
  <c r="I21" i="79"/>
  <c r="I25" i="79"/>
  <c r="C26" i="79"/>
  <c r="K26" i="79"/>
  <c r="I29" i="79"/>
  <c r="C30" i="79"/>
  <c r="K30" i="79"/>
  <c r="E31" i="79"/>
  <c r="M31" i="79"/>
  <c r="I33" i="79"/>
  <c r="C34" i="79"/>
  <c r="K34" i="79"/>
  <c r="E35" i="79"/>
  <c r="M35" i="79"/>
  <c r="I37" i="79"/>
  <c r="C38" i="79"/>
  <c r="K38" i="79"/>
  <c r="E39" i="79"/>
  <c r="M39" i="79"/>
  <c r="I41" i="79"/>
  <c r="C42" i="79"/>
  <c r="K42" i="79"/>
  <c r="E43" i="79"/>
  <c r="M43" i="79"/>
  <c r="I45" i="79"/>
  <c r="C46" i="79"/>
  <c r="K46" i="79"/>
  <c r="E47" i="79"/>
  <c r="M47" i="79"/>
  <c r="I49" i="79"/>
  <c r="C50" i="79"/>
  <c r="K50" i="79"/>
  <c r="E51" i="79"/>
  <c r="M51" i="79"/>
  <c r="B21" i="79"/>
  <c r="B25" i="79"/>
  <c r="D26" i="79"/>
  <c r="B29" i="79"/>
  <c r="D30" i="79"/>
  <c r="F31" i="79"/>
  <c r="B33" i="79"/>
  <c r="D34" i="79"/>
  <c r="F35" i="79"/>
  <c r="B37" i="79"/>
  <c r="D38" i="79"/>
  <c r="F39" i="79"/>
  <c r="B41" i="79"/>
  <c r="D42" i="79"/>
  <c r="F43" i="79"/>
  <c r="B45" i="79"/>
  <c r="D46" i="79"/>
  <c r="F47" i="79"/>
  <c r="B49" i="79"/>
  <c r="D50" i="79"/>
  <c r="F51" i="79"/>
  <c r="AR40" i="64"/>
  <c r="AR37" i="64"/>
  <c r="AR34" i="64"/>
  <c r="AR31" i="64"/>
  <c r="AR28" i="64"/>
  <c r="AR25" i="64"/>
  <c r="AR22" i="64"/>
  <c r="AR19" i="64"/>
  <c r="AR16" i="64"/>
  <c r="AR13" i="64"/>
  <c r="AR10" i="64"/>
  <c r="AR7" i="64"/>
  <c r="AW7" i="64"/>
  <c r="AR43" i="64" l="1"/>
  <c r="AP2" i="77"/>
  <c r="T66" i="69"/>
  <c r="N5" i="68"/>
  <c r="G58" i="69"/>
  <c r="G70" i="69" l="1"/>
  <c r="D8" i="71" l="1"/>
  <c r="AX7" i="71"/>
  <c r="AP7" i="71"/>
  <c r="AH7" i="71"/>
  <c r="Z7" i="71"/>
  <c r="R7" i="71"/>
  <c r="J7" i="71"/>
  <c r="BC7" i="71" s="1"/>
  <c r="D12" i="64"/>
  <c r="D15" i="64" s="1"/>
  <c r="D11" i="64"/>
  <c r="D14" i="64" s="1"/>
  <c r="D10" i="64"/>
  <c r="D13" i="64" s="1"/>
  <c r="C12" i="64"/>
  <c r="C15" i="64" s="1"/>
  <c r="C11" i="64"/>
  <c r="C14" i="64" s="1"/>
  <c r="C10" i="64"/>
  <c r="C13" i="64" s="1"/>
  <c r="W12" i="64"/>
  <c r="W11" i="64"/>
  <c r="W10" i="64"/>
  <c r="W9" i="64"/>
  <c r="W8" i="64"/>
  <c r="W7" i="64"/>
  <c r="V7" i="64"/>
  <c r="U15" i="64"/>
  <c r="U14" i="64"/>
  <c r="U13" i="64"/>
  <c r="U12" i="64"/>
  <c r="U11" i="64"/>
  <c r="U10" i="64"/>
  <c r="U9" i="64"/>
  <c r="U8" i="64"/>
  <c r="U7" i="64"/>
  <c r="BY7" i="64"/>
  <c r="BZ7" i="64" s="1"/>
  <c r="AP9" i="77"/>
  <c r="L2" i="76"/>
  <c r="L1" i="76"/>
  <c r="V10" i="64" l="1"/>
  <c r="X7" i="64"/>
  <c r="X10" i="64"/>
  <c r="V13" i="64"/>
  <c r="AP13" i="77"/>
  <c r="AP6" i="77"/>
  <c r="AP7" i="77"/>
  <c r="AP8" i="77"/>
  <c r="AP10" i="77"/>
  <c r="AP3" i="77"/>
  <c r="AP11" i="77"/>
  <c r="AP4" i="77"/>
  <c r="AP12" i="77"/>
  <c r="AP5" i="77"/>
  <c r="M2" i="76"/>
  <c r="K2" i="76"/>
  <c r="J2" i="76"/>
  <c r="AD13" i="77" l="1"/>
  <c r="AD12" i="77"/>
  <c r="AD11" i="77"/>
  <c r="AD10" i="77"/>
  <c r="AD9" i="77"/>
  <c r="AD8" i="77"/>
  <c r="AD7" i="77"/>
  <c r="AD6" i="77"/>
  <c r="AD5" i="77"/>
  <c r="AD4" i="77"/>
  <c r="AD3" i="77"/>
  <c r="AD2" i="77"/>
  <c r="AC13" i="77"/>
  <c r="AC12" i="77"/>
  <c r="AC11" i="77"/>
  <c r="AC10" i="77"/>
  <c r="AC9" i="77"/>
  <c r="AC8" i="77"/>
  <c r="AC7" i="77"/>
  <c r="AC6" i="77"/>
  <c r="AC5" i="77"/>
  <c r="AC4" i="77"/>
  <c r="AC3" i="77"/>
  <c r="AC2" i="77"/>
  <c r="AB13" i="77"/>
  <c r="AB12" i="77"/>
  <c r="AB11" i="77"/>
  <c r="AB10" i="77"/>
  <c r="AB9" i="77"/>
  <c r="AB8" i="77"/>
  <c r="AB7" i="77"/>
  <c r="AB6" i="77"/>
  <c r="AB5" i="77"/>
  <c r="AB4" i="77"/>
  <c r="AB3" i="77"/>
  <c r="AB2" i="77"/>
  <c r="AA13" i="77"/>
  <c r="AA12" i="77"/>
  <c r="AA11" i="77"/>
  <c r="AA10" i="77"/>
  <c r="AA9" i="77"/>
  <c r="AA8" i="77"/>
  <c r="AA7" i="77"/>
  <c r="AA6" i="77"/>
  <c r="AA5" i="77"/>
  <c r="AA4" i="77"/>
  <c r="AA3" i="77"/>
  <c r="AA2" i="77"/>
  <c r="Z13" i="77"/>
  <c r="Z12" i="77"/>
  <c r="Z11" i="77"/>
  <c r="Z10" i="77"/>
  <c r="Z9" i="77"/>
  <c r="Z8" i="77"/>
  <c r="Z7" i="77"/>
  <c r="Z6" i="77"/>
  <c r="Z5" i="77"/>
  <c r="Z4" i="77"/>
  <c r="Z3" i="77"/>
  <c r="Z2" i="77"/>
  <c r="Y13" i="77"/>
  <c r="Y12" i="77"/>
  <c r="Y11" i="77"/>
  <c r="Y10" i="77"/>
  <c r="Y9" i="77"/>
  <c r="Y8" i="77"/>
  <c r="Y7" i="77"/>
  <c r="Y6" i="77"/>
  <c r="Y5" i="77"/>
  <c r="Y4" i="77"/>
  <c r="Y3" i="77"/>
  <c r="Y2" i="77"/>
  <c r="X13" i="77"/>
  <c r="X12" i="77"/>
  <c r="X11" i="77"/>
  <c r="X10" i="77"/>
  <c r="X9" i="77"/>
  <c r="X8" i="77"/>
  <c r="X7" i="77"/>
  <c r="X6" i="77"/>
  <c r="X5" i="77"/>
  <c r="X4" i="77"/>
  <c r="X3" i="77"/>
  <c r="X2" i="77"/>
  <c r="W13" i="77"/>
  <c r="W12" i="77"/>
  <c r="W11" i="77"/>
  <c r="W10" i="77"/>
  <c r="W9" i="77"/>
  <c r="W8" i="77"/>
  <c r="W7" i="77"/>
  <c r="W6" i="77"/>
  <c r="W5" i="77"/>
  <c r="W4" i="77"/>
  <c r="W3" i="77"/>
  <c r="W2" i="77"/>
  <c r="V13" i="77"/>
  <c r="V12" i="77"/>
  <c r="V11" i="77"/>
  <c r="V10" i="77"/>
  <c r="V9" i="77"/>
  <c r="V8" i="77"/>
  <c r="V7" i="77"/>
  <c r="V6" i="77"/>
  <c r="V5" i="77"/>
  <c r="V4" i="77"/>
  <c r="V3" i="77"/>
  <c r="V2" i="77"/>
  <c r="U13" i="77"/>
  <c r="U12" i="77"/>
  <c r="U11" i="77"/>
  <c r="U10" i="77"/>
  <c r="U9" i="77"/>
  <c r="U8" i="77"/>
  <c r="U7" i="77"/>
  <c r="U6" i="77"/>
  <c r="U5" i="77"/>
  <c r="U4" i="77"/>
  <c r="U3" i="77"/>
  <c r="U2" i="77"/>
  <c r="T13" i="77"/>
  <c r="T12" i="77"/>
  <c r="T11" i="77"/>
  <c r="T10" i="77"/>
  <c r="T9" i="77"/>
  <c r="T8" i="77"/>
  <c r="T7" i="77"/>
  <c r="T6" i="77"/>
  <c r="T5" i="77"/>
  <c r="T4" i="77"/>
  <c r="T3" i="77"/>
  <c r="T2" i="77"/>
  <c r="S13" i="77"/>
  <c r="S12" i="77"/>
  <c r="S11" i="77"/>
  <c r="S10" i="77"/>
  <c r="S9" i="77"/>
  <c r="S8" i="77"/>
  <c r="S7" i="77"/>
  <c r="S6" i="77"/>
  <c r="S5" i="77"/>
  <c r="S4" i="77"/>
  <c r="S3" i="77"/>
  <c r="S2" i="77"/>
  <c r="R13" i="77"/>
  <c r="R12" i="77"/>
  <c r="R11" i="77"/>
  <c r="R10" i="77"/>
  <c r="R9" i="77"/>
  <c r="R8" i="77"/>
  <c r="R7" i="77"/>
  <c r="R6" i="77"/>
  <c r="R5" i="77"/>
  <c r="R4" i="77"/>
  <c r="R3" i="77"/>
  <c r="R2" i="77"/>
  <c r="Q13" i="77"/>
  <c r="Q12" i="77"/>
  <c r="Q11" i="77"/>
  <c r="Q10" i="77"/>
  <c r="Q9" i="77"/>
  <c r="Q8" i="77"/>
  <c r="Q7" i="77"/>
  <c r="Q6" i="77"/>
  <c r="Q5" i="77"/>
  <c r="Q4" i="77"/>
  <c r="Q3" i="77"/>
  <c r="Q2" i="77"/>
  <c r="P13" i="77"/>
  <c r="P12" i="77"/>
  <c r="P11" i="77"/>
  <c r="P10" i="77"/>
  <c r="P9" i="77"/>
  <c r="P8" i="77"/>
  <c r="P7" i="77"/>
  <c r="P6" i="77"/>
  <c r="P5" i="77"/>
  <c r="P4" i="77"/>
  <c r="P3" i="77"/>
  <c r="P2" i="77"/>
  <c r="O13" i="77"/>
  <c r="O12" i="77"/>
  <c r="O11" i="77"/>
  <c r="O10" i="77"/>
  <c r="O9" i="77"/>
  <c r="O8" i="77"/>
  <c r="O7" i="77"/>
  <c r="O6" i="77"/>
  <c r="O5" i="77"/>
  <c r="O4" i="77"/>
  <c r="O3" i="77"/>
  <c r="O2" i="77"/>
  <c r="N13" i="77"/>
  <c r="N12" i="77"/>
  <c r="N11" i="77"/>
  <c r="N10" i="77"/>
  <c r="N9" i="77"/>
  <c r="N8" i="77"/>
  <c r="N7" i="77"/>
  <c r="N6" i="77"/>
  <c r="N5" i="77"/>
  <c r="N4" i="77"/>
  <c r="N3" i="77"/>
  <c r="N2" i="77"/>
  <c r="M13" i="77"/>
  <c r="M12" i="77"/>
  <c r="M11" i="77"/>
  <c r="M10" i="77"/>
  <c r="M9" i="77"/>
  <c r="M8" i="77"/>
  <c r="M7" i="77"/>
  <c r="M6" i="77"/>
  <c r="M5" i="77"/>
  <c r="M4" i="77"/>
  <c r="M3" i="77"/>
  <c r="M2" i="77"/>
  <c r="L13" i="77"/>
  <c r="L12" i="77"/>
  <c r="L11" i="77"/>
  <c r="L10" i="77"/>
  <c r="L9" i="77"/>
  <c r="L8" i="77"/>
  <c r="L7" i="77"/>
  <c r="L6" i="77"/>
  <c r="L5" i="77"/>
  <c r="L4" i="77"/>
  <c r="L3" i="77"/>
  <c r="L2" i="77"/>
  <c r="K13" i="77"/>
  <c r="K12" i="77"/>
  <c r="K11" i="77"/>
  <c r="K10" i="77"/>
  <c r="K9" i="77"/>
  <c r="K8" i="77"/>
  <c r="K7" i="77"/>
  <c r="K6" i="77"/>
  <c r="K5" i="77"/>
  <c r="K4" i="77"/>
  <c r="K3" i="77"/>
  <c r="K2" i="77"/>
  <c r="J4" i="77"/>
  <c r="I4" i="77"/>
  <c r="H4" i="77"/>
  <c r="J3" i="77"/>
  <c r="I3" i="77"/>
  <c r="H3" i="77"/>
  <c r="J2" i="77"/>
  <c r="I2" i="77"/>
  <c r="H2" i="77"/>
  <c r="G4" i="77"/>
  <c r="G3" i="77"/>
  <c r="G2" i="77"/>
  <c r="F4" i="77"/>
  <c r="F3" i="77"/>
  <c r="F2" i="77"/>
  <c r="E4" i="77"/>
  <c r="E3" i="77"/>
  <c r="E2" i="77"/>
  <c r="AM2" i="77"/>
  <c r="AL7" i="64"/>
  <c r="AM7" i="64" s="1"/>
  <c r="AK7" i="64"/>
  <c r="AD7" i="64"/>
  <c r="I16" i="74"/>
  <c r="L22" i="76" s="1"/>
  <c r="I15" i="74"/>
  <c r="L12" i="76" s="1"/>
  <c r="AW40" i="64"/>
  <c r="AC20" i="73" s="1"/>
  <c r="AW37" i="64"/>
  <c r="AC19" i="73" s="1"/>
  <c r="AW34" i="64"/>
  <c r="AC18" i="73" s="1"/>
  <c r="AW31" i="64"/>
  <c r="AC17" i="73" s="1"/>
  <c r="AW28" i="64"/>
  <c r="AC16" i="73" s="1"/>
  <c r="AW25" i="64"/>
  <c r="AC15" i="73" s="1"/>
  <c r="AW22" i="64"/>
  <c r="AC14" i="73" s="1"/>
  <c r="AW19" i="64"/>
  <c r="AC13" i="73" s="1"/>
  <c r="AW16" i="64"/>
  <c r="AC12" i="73" s="1"/>
  <c r="AW13" i="64"/>
  <c r="AC11" i="73" s="1"/>
  <c r="AW10" i="64"/>
  <c r="AC10" i="73" s="1"/>
  <c r="R84" i="69"/>
  <c r="Q84" i="69"/>
  <c r="P84" i="69"/>
  <c r="O84" i="69"/>
  <c r="N84" i="69"/>
  <c r="M84" i="69"/>
  <c r="L84" i="69"/>
  <c r="K84" i="69"/>
  <c r="J84" i="69"/>
  <c r="I84" i="69"/>
  <c r="H84" i="69"/>
  <c r="G84" i="69"/>
  <c r="F121" i="76"/>
  <c r="F120" i="76"/>
  <c r="F119" i="76"/>
  <c r="F117" i="76"/>
  <c r="F116" i="76"/>
  <c r="F115" i="76"/>
  <c r="C121" i="76"/>
  <c r="C120" i="76"/>
  <c r="C119" i="76"/>
  <c r="C117" i="76"/>
  <c r="C116" i="76"/>
  <c r="C115" i="76"/>
  <c r="F111" i="76"/>
  <c r="F110" i="76"/>
  <c r="F109" i="76"/>
  <c r="F107" i="76"/>
  <c r="F106" i="76"/>
  <c r="F105" i="76"/>
  <c r="C111" i="76"/>
  <c r="C110" i="76"/>
  <c r="C109" i="76"/>
  <c r="C107" i="76"/>
  <c r="C106" i="76"/>
  <c r="C105" i="76"/>
  <c r="F101" i="76"/>
  <c r="F100" i="76"/>
  <c r="F99" i="76"/>
  <c r="F97" i="76"/>
  <c r="F96" i="76"/>
  <c r="F95" i="76"/>
  <c r="C101" i="76"/>
  <c r="C100" i="76"/>
  <c r="C99" i="76"/>
  <c r="C97" i="76"/>
  <c r="C96" i="76"/>
  <c r="C95" i="76"/>
  <c r="F91" i="76"/>
  <c r="F90" i="76"/>
  <c r="F89" i="76"/>
  <c r="F87" i="76"/>
  <c r="F86" i="76"/>
  <c r="F85" i="76"/>
  <c r="C91" i="76"/>
  <c r="C90" i="76"/>
  <c r="C89" i="76"/>
  <c r="C87" i="76"/>
  <c r="C86" i="76"/>
  <c r="C85" i="76"/>
  <c r="F81" i="76"/>
  <c r="F80" i="76"/>
  <c r="F79" i="76"/>
  <c r="F77" i="76"/>
  <c r="F76" i="76"/>
  <c r="F75" i="76"/>
  <c r="C81" i="76"/>
  <c r="C80" i="76"/>
  <c r="C79" i="76"/>
  <c r="C77" i="76"/>
  <c r="C76" i="76"/>
  <c r="C75" i="76"/>
  <c r="F71" i="76"/>
  <c r="F70" i="76"/>
  <c r="F69" i="76"/>
  <c r="F67" i="76"/>
  <c r="F66" i="76"/>
  <c r="F65" i="76"/>
  <c r="C71" i="76"/>
  <c r="C70" i="76"/>
  <c r="C69" i="76"/>
  <c r="C67" i="76"/>
  <c r="C66" i="76"/>
  <c r="C65" i="76"/>
  <c r="F61" i="76"/>
  <c r="F60" i="76"/>
  <c r="F59" i="76"/>
  <c r="F57" i="76"/>
  <c r="F56" i="76"/>
  <c r="F55" i="76"/>
  <c r="C61" i="76"/>
  <c r="C60" i="76"/>
  <c r="C59" i="76"/>
  <c r="C57" i="76"/>
  <c r="C56" i="76"/>
  <c r="C55" i="76"/>
  <c r="F51" i="76"/>
  <c r="F50" i="76"/>
  <c r="F49" i="76"/>
  <c r="F47" i="76"/>
  <c r="F46" i="76"/>
  <c r="F45" i="76"/>
  <c r="C51" i="76"/>
  <c r="C50" i="76"/>
  <c r="C49" i="76"/>
  <c r="C47" i="76"/>
  <c r="C46" i="76"/>
  <c r="C45" i="76"/>
  <c r="F41" i="76"/>
  <c r="F40" i="76"/>
  <c r="F39" i="76"/>
  <c r="F37" i="76"/>
  <c r="F36" i="76"/>
  <c r="F35" i="76"/>
  <c r="C41" i="76"/>
  <c r="C40" i="76"/>
  <c r="C39" i="76"/>
  <c r="C37" i="76"/>
  <c r="C36" i="76"/>
  <c r="C35" i="76"/>
  <c r="F31" i="76"/>
  <c r="F30" i="76"/>
  <c r="F29" i="76"/>
  <c r="F27" i="76"/>
  <c r="F26" i="76"/>
  <c r="F25" i="76"/>
  <c r="C31" i="76"/>
  <c r="C30" i="76"/>
  <c r="C29" i="76"/>
  <c r="C27" i="76"/>
  <c r="C26" i="76"/>
  <c r="C25" i="76"/>
  <c r="F17" i="76"/>
  <c r="F16" i="76"/>
  <c r="F15" i="76"/>
  <c r="F20" i="76"/>
  <c r="F21" i="76"/>
  <c r="F19" i="76"/>
  <c r="C17" i="76"/>
  <c r="C16" i="76"/>
  <c r="C15" i="76"/>
  <c r="C21" i="76"/>
  <c r="C20" i="76"/>
  <c r="C19" i="76"/>
  <c r="F7" i="76"/>
  <c r="F6" i="76"/>
  <c r="F5" i="76"/>
  <c r="F11" i="76"/>
  <c r="F10" i="76"/>
  <c r="F9" i="76"/>
  <c r="C11" i="76"/>
  <c r="C10" i="76"/>
  <c r="C9" i="76"/>
  <c r="C7" i="76"/>
  <c r="C6" i="76"/>
  <c r="C5" i="76"/>
  <c r="AO2" i="77"/>
  <c r="AN2" i="77"/>
  <c r="AL2" i="77"/>
  <c r="AK2" i="77"/>
  <c r="AC9" i="73" l="1"/>
  <c r="AW43" i="64"/>
  <c r="I17" i="74"/>
  <c r="AM5" i="77" s="1"/>
  <c r="AM4" i="77"/>
  <c r="AM3" i="77"/>
  <c r="AA26" i="76"/>
  <c r="X26" i="76"/>
  <c r="AA36" i="76"/>
  <c r="AA56" i="76"/>
  <c r="AA76" i="76"/>
  <c r="AA96" i="76"/>
  <c r="AA116" i="76"/>
  <c r="AA66" i="76"/>
  <c r="AA106" i="76"/>
  <c r="X6" i="76"/>
  <c r="AA6" i="76"/>
  <c r="Z46" i="76"/>
  <c r="Z56" i="76"/>
  <c r="Z66" i="76"/>
  <c r="Z76" i="76"/>
  <c r="Z86" i="76"/>
  <c r="Z96" i="76"/>
  <c r="Z106" i="76"/>
  <c r="Z116" i="76"/>
  <c r="AA86" i="76"/>
  <c r="AA16" i="76"/>
  <c r="X16" i="76"/>
  <c r="Z36" i="76"/>
  <c r="AA46" i="76"/>
  <c r="W6" i="76"/>
  <c r="Z6" i="76"/>
  <c r="W26" i="76"/>
  <c r="Z26" i="76"/>
  <c r="Z16" i="76"/>
  <c r="W16" i="76"/>
  <c r="B2" i="77"/>
  <c r="B6" i="77" s="1"/>
  <c r="D13" i="77"/>
  <c r="D12" i="77"/>
  <c r="D11" i="77"/>
  <c r="D10" i="77"/>
  <c r="D9" i="77"/>
  <c r="D8" i="77"/>
  <c r="D7" i="77"/>
  <c r="D6" i="77"/>
  <c r="D5" i="77"/>
  <c r="D4" i="77"/>
  <c r="D3" i="77"/>
  <c r="D2" i="77"/>
  <c r="AJ7" i="64"/>
  <c r="E15" i="74"/>
  <c r="L32" i="76" l="1"/>
  <c r="I18" i="74"/>
  <c r="AJ2" i="77" a="1"/>
  <c r="AJ2" i="77" s="1"/>
  <c r="B11" i="77"/>
  <c r="B9" i="77"/>
  <c r="B4" i="77"/>
  <c r="B12" i="77"/>
  <c r="B7" i="77"/>
  <c r="B10" i="77"/>
  <c r="B5" i="77"/>
  <c r="B13" i="77"/>
  <c r="B8" i="77"/>
  <c r="B3" i="77"/>
  <c r="M15" i="74"/>
  <c r="AD10" i="64" s="1"/>
  <c r="L15" i="74"/>
  <c r="AL10" i="64" s="1"/>
  <c r="K15" i="74"/>
  <c r="AK10" i="64" s="1"/>
  <c r="J15" i="74"/>
  <c r="M12" i="76" s="1"/>
  <c r="H15" i="74"/>
  <c r="G15" i="74"/>
  <c r="D15" i="74"/>
  <c r="D16" i="74"/>
  <c r="J16" i="74"/>
  <c r="M22" i="76" s="1"/>
  <c r="D17" i="74" l="1"/>
  <c r="AJ16" i="64" s="1"/>
  <c r="AJ5" i="77" s="1" a="1"/>
  <c r="AJ5" i="77" s="1"/>
  <c r="L42" i="76"/>
  <c r="I19" i="74"/>
  <c r="AM6" i="77"/>
  <c r="J17" i="74"/>
  <c r="AN5" i="77" s="1"/>
  <c r="X36" i="76"/>
  <c r="W36" i="76"/>
  <c r="AL3" i="77"/>
  <c r="K12" i="76"/>
  <c r="AK3" i="77"/>
  <c r="J12" i="76"/>
  <c r="AJ10" i="64"/>
  <c r="AJ3" i="77" s="1" a="1"/>
  <c r="AJ3" i="77" s="1"/>
  <c r="BY10" i="64"/>
  <c r="BZ10" i="64" s="1"/>
  <c r="AO3" i="77"/>
  <c r="AN4" i="77"/>
  <c r="AN3" i="77"/>
  <c r="G115" i="76"/>
  <c r="E121" i="76"/>
  <c r="E120" i="76"/>
  <c r="E119" i="76"/>
  <c r="E118" i="76"/>
  <c r="AA118" i="76" s="1"/>
  <c r="B121" i="76"/>
  <c r="B120" i="76"/>
  <c r="B119" i="76"/>
  <c r="B118" i="76"/>
  <c r="Z118" i="76" s="1"/>
  <c r="G117" i="76"/>
  <c r="T117" i="76" s="1"/>
  <c r="D117" i="76"/>
  <c r="S117" i="76" s="1"/>
  <c r="G116" i="76"/>
  <c r="T116" i="76" s="1"/>
  <c r="D116" i="76"/>
  <c r="S116" i="76" s="1"/>
  <c r="D115" i="76"/>
  <c r="G106" i="76"/>
  <c r="T106" i="76" s="1"/>
  <c r="G105" i="76"/>
  <c r="D107" i="76"/>
  <c r="S107" i="76" s="1"/>
  <c r="D106" i="76"/>
  <c r="S106" i="76" s="1"/>
  <c r="G107" i="76"/>
  <c r="T107" i="76" s="1"/>
  <c r="E111" i="76"/>
  <c r="E110" i="76"/>
  <c r="E109" i="76"/>
  <c r="E108" i="76"/>
  <c r="AA108" i="76" s="1"/>
  <c r="B111" i="76"/>
  <c r="B110" i="76"/>
  <c r="B109" i="76"/>
  <c r="B108" i="76"/>
  <c r="Z108" i="76" s="1"/>
  <c r="D105" i="76"/>
  <c r="G97" i="76"/>
  <c r="T97" i="76" s="1"/>
  <c r="G95" i="76"/>
  <c r="D97" i="76"/>
  <c r="S97" i="76" s="1"/>
  <c r="D95" i="76"/>
  <c r="E101" i="76"/>
  <c r="E100" i="76"/>
  <c r="E99" i="76"/>
  <c r="E98" i="76"/>
  <c r="AA98" i="76" s="1"/>
  <c r="B101" i="76"/>
  <c r="B100" i="76"/>
  <c r="B99" i="76"/>
  <c r="B98" i="76"/>
  <c r="Z98" i="76" s="1"/>
  <c r="G96" i="76"/>
  <c r="T96" i="76" s="1"/>
  <c r="D96" i="76"/>
  <c r="S96" i="76" s="1"/>
  <c r="G87" i="76"/>
  <c r="T87" i="76" s="1"/>
  <c r="G86" i="76"/>
  <c r="T86" i="76" s="1"/>
  <c r="G85" i="76"/>
  <c r="D87" i="76"/>
  <c r="S87" i="76" s="1"/>
  <c r="D86" i="76"/>
  <c r="S86" i="76" s="1"/>
  <c r="D85" i="76"/>
  <c r="E91" i="76"/>
  <c r="E90" i="76"/>
  <c r="E89" i="76"/>
  <c r="E88" i="76"/>
  <c r="AA88" i="76" s="1"/>
  <c r="B91" i="76"/>
  <c r="B90" i="76"/>
  <c r="B89" i="76"/>
  <c r="B88" i="76"/>
  <c r="Z88" i="76" s="1"/>
  <c r="G77" i="76"/>
  <c r="T77" i="76" s="1"/>
  <c r="G76" i="76"/>
  <c r="T76" i="76" s="1"/>
  <c r="G75" i="76"/>
  <c r="D77" i="76"/>
  <c r="S77" i="76" s="1"/>
  <c r="D75" i="76"/>
  <c r="E81" i="76"/>
  <c r="E80" i="76"/>
  <c r="E79" i="76"/>
  <c r="E78" i="76"/>
  <c r="AA78" i="76" s="1"/>
  <c r="B81" i="76"/>
  <c r="B80" i="76"/>
  <c r="B79" i="76"/>
  <c r="B78" i="76"/>
  <c r="Z78" i="76" s="1"/>
  <c r="D76" i="76"/>
  <c r="S76" i="76" s="1"/>
  <c r="G67" i="76"/>
  <c r="T67" i="76" s="1"/>
  <c r="G66" i="76"/>
  <c r="T66" i="76" s="1"/>
  <c r="G65" i="76"/>
  <c r="D67" i="76"/>
  <c r="S67" i="76" s="1"/>
  <c r="D66" i="76"/>
  <c r="S66" i="76" s="1"/>
  <c r="D65" i="76"/>
  <c r="E71" i="76"/>
  <c r="E70" i="76"/>
  <c r="E69" i="76"/>
  <c r="E68" i="76"/>
  <c r="AA68" i="76" s="1"/>
  <c r="B71" i="76"/>
  <c r="B70" i="76"/>
  <c r="B69" i="76"/>
  <c r="B68" i="76"/>
  <c r="Z68" i="76" s="1"/>
  <c r="G57" i="76"/>
  <c r="T57" i="76" s="1"/>
  <c r="G56" i="76"/>
  <c r="T56" i="76" s="1"/>
  <c r="G55" i="76"/>
  <c r="D57" i="76"/>
  <c r="S57" i="76" s="1"/>
  <c r="D56" i="76"/>
  <c r="S56" i="76" s="1"/>
  <c r="D55" i="76"/>
  <c r="E61" i="76"/>
  <c r="T61" i="76" s="1"/>
  <c r="E60" i="76"/>
  <c r="E59" i="76"/>
  <c r="E58" i="76"/>
  <c r="AA58" i="76" s="1"/>
  <c r="B61" i="76"/>
  <c r="S61" i="76" s="1"/>
  <c r="B60" i="76"/>
  <c r="B59" i="76"/>
  <c r="B58" i="76"/>
  <c r="Z58" i="76" s="1"/>
  <c r="G47" i="76"/>
  <c r="T47" i="76" s="1"/>
  <c r="G46" i="76"/>
  <c r="T46" i="76" s="1"/>
  <c r="G45" i="76"/>
  <c r="D47" i="76"/>
  <c r="S47" i="76" s="1"/>
  <c r="D46" i="76"/>
  <c r="S46" i="76" s="1"/>
  <c r="D45" i="76"/>
  <c r="E51" i="76"/>
  <c r="E50" i="76"/>
  <c r="E49" i="76"/>
  <c r="E48" i="76"/>
  <c r="AA48" i="76" s="1"/>
  <c r="B51" i="76"/>
  <c r="B50" i="76"/>
  <c r="B49" i="76"/>
  <c r="B48" i="76"/>
  <c r="Z48" i="76" s="1"/>
  <c r="G37" i="76"/>
  <c r="T37" i="76" s="1"/>
  <c r="G36" i="76"/>
  <c r="T36" i="76" s="1"/>
  <c r="G35" i="76"/>
  <c r="D37" i="76"/>
  <c r="S37" i="76" s="1"/>
  <c r="D36" i="76"/>
  <c r="S36" i="76" s="1"/>
  <c r="D35" i="76"/>
  <c r="E41" i="76"/>
  <c r="E40" i="76"/>
  <c r="E39" i="76"/>
  <c r="E38" i="76"/>
  <c r="AA38" i="76" s="1"/>
  <c r="B41" i="76"/>
  <c r="B40" i="76"/>
  <c r="B39" i="76"/>
  <c r="B38" i="76"/>
  <c r="Z38" i="76" s="1"/>
  <c r="G27" i="76"/>
  <c r="T27" i="76" s="1"/>
  <c r="G26" i="76"/>
  <c r="T26" i="76" s="1"/>
  <c r="G25" i="76"/>
  <c r="D27" i="76"/>
  <c r="S27" i="76" s="1"/>
  <c r="D26" i="76"/>
  <c r="S26" i="76" s="1"/>
  <c r="D25" i="76"/>
  <c r="E31" i="76"/>
  <c r="E30" i="76"/>
  <c r="E29" i="76"/>
  <c r="E28" i="76"/>
  <c r="AA28" i="76" s="1"/>
  <c r="B31" i="76"/>
  <c r="B30" i="76"/>
  <c r="B29" i="76"/>
  <c r="B28" i="76"/>
  <c r="Z28" i="76" s="1"/>
  <c r="I112" i="76"/>
  <c r="I102" i="76"/>
  <c r="I92" i="76"/>
  <c r="I82" i="76"/>
  <c r="I72" i="76"/>
  <c r="I62" i="76"/>
  <c r="I52" i="76"/>
  <c r="I42" i="76"/>
  <c r="G17" i="76"/>
  <c r="T17" i="76" s="1"/>
  <c r="G16" i="76"/>
  <c r="T16" i="76" s="1"/>
  <c r="G15" i="76"/>
  <c r="D17" i="76"/>
  <c r="S17" i="76" s="1"/>
  <c r="D16" i="76"/>
  <c r="S16" i="76" s="1"/>
  <c r="D15" i="76"/>
  <c r="E21" i="76"/>
  <c r="E20" i="76"/>
  <c r="E19" i="76"/>
  <c r="E18" i="76"/>
  <c r="AA18" i="76" s="1"/>
  <c r="B21" i="76"/>
  <c r="B20" i="76"/>
  <c r="B19" i="76"/>
  <c r="B18" i="76"/>
  <c r="Z18" i="76" s="1"/>
  <c r="J1" i="76"/>
  <c r="K1" i="76"/>
  <c r="M1" i="76"/>
  <c r="I12" i="76"/>
  <c r="I22" i="76"/>
  <c r="I32" i="76"/>
  <c r="I2" i="76"/>
  <c r="I1" i="76"/>
  <c r="G5" i="76"/>
  <c r="G6" i="76"/>
  <c r="T6" i="76" s="1"/>
  <c r="G7" i="76"/>
  <c r="T7" i="76" s="1"/>
  <c r="E11" i="76"/>
  <c r="E10" i="76"/>
  <c r="E9" i="76"/>
  <c r="E8" i="76"/>
  <c r="AA8" i="76" s="1"/>
  <c r="D7" i="76"/>
  <c r="S7" i="76" s="1"/>
  <c r="D6" i="76"/>
  <c r="S6" i="76" s="1"/>
  <c r="D5" i="76"/>
  <c r="B11" i="76"/>
  <c r="B10" i="76"/>
  <c r="B9" i="76"/>
  <c r="B8" i="76"/>
  <c r="Z8" i="76" s="1"/>
  <c r="G16" i="74"/>
  <c r="H16" i="74"/>
  <c r="K16" i="74"/>
  <c r="AK13" i="64" s="1"/>
  <c r="L16" i="74"/>
  <c r="AL13" i="64" s="1"/>
  <c r="M16" i="74"/>
  <c r="AD13" i="64" s="1"/>
  <c r="G17" i="74"/>
  <c r="H17" i="74"/>
  <c r="K17" i="74"/>
  <c r="AK16" i="64" s="1"/>
  <c r="L17" i="74"/>
  <c r="AL16" i="64" s="1"/>
  <c r="M17" i="74"/>
  <c r="AD16" i="64" s="1"/>
  <c r="G18" i="74"/>
  <c r="G19" i="74" s="1"/>
  <c r="G20" i="74" s="1"/>
  <c r="G21" i="74" s="1"/>
  <c r="G22" i="74" s="1"/>
  <c r="G23" i="74" s="1"/>
  <c r="G24" i="74" s="1"/>
  <c r="G25" i="74" s="1"/>
  <c r="H18" i="74"/>
  <c r="H19" i="74" s="1"/>
  <c r="H20" i="74" s="1"/>
  <c r="H21" i="74" s="1"/>
  <c r="H22" i="74" s="1"/>
  <c r="H23" i="74" s="1"/>
  <c r="H24" i="74" s="1"/>
  <c r="H25" i="74" s="1"/>
  <c r="E16" i="74"/>
  <c r="AJ13" i="64" s="1"/>
  <c r="AJ4" i="77" s="1" a="1"/>
  <c r="AJ4" i="77" s="1"/>
  <c r="E17" i="74"/>
  <c r="E18" i="74" s="1"/>
  <c r="E19" i="74" s="1"/>
  <c r="E20" i="74" s="1"/>
  <c r="E21" i="74" s="1"/>
  <c r="E22" i="74" s="1"/>
  <c r="E23" i="74" s="1"/>
  <c r="E24" i="74" s="1"/>
  <c r="E25" i="74" s="1"/>
  <c r="BY16" i="64" l="1"/>
  <c r="BZ16" i="64" s="1"/>
  <c r="M32" i="76"/>
  <c r="J18" i="74"/>
  <c r="L52" i="76"/>
  <c r="I20" i="74"/>
  <c r="AM7" i="77"/>
  <c r="M18" i="74"/>
  <c r="W46" i="76"/>
  <c r="X46" i="76"/>
  <c r="L18" i="74"/>
  <c r="BY13" i="64"/>
  <c r="BZ13" i="64" s="1"/>
  <c r="D18" i="74"/>
  <c r="K18" i="74"/>
  <c r="AL10" i="77"/>
  <c r="K82" i="76"/>
  <c r="X89" i="76" s="1"/>
  <c r="AL7" i="77"/>
  <c r="K52" i="76"/>
  <c r="W59" i="76" s="1"/>
  <c r="AL6" i="77"/>
  <c r="K42" i="76"/>
  <c r="X49" i="76" s="1"/>
  <c r="AL5" i="77"/>
  <c r="K32" i="76"/>
  <c r="X39" i="76" s="1"/>
  <c r="AL9" i="77"/>
  <c r="K72" i="76"/>
  <c r="X79" i="76" s="1"/>
  <c r="AL13" i="77"/>
  <c r="K112" i="76"/>
  <c r="W119" i="76" s="1"/>
  <c r="AL12" i="77"/>
  <c r="K102" i="76"/>
  <c r="W109" i="76" s="1"/>
  <c r="AL4" i="77"/>
  <c r="K22" i="76"/>
  <c r="D29" i="76" s="1"/>
  <c r="AL11" i="77"/>
  <c r="K92" i="76"/>
  <c r="X99" i="76" s="1"/>
  <c r="AL8" i="77"/>
  <c r="K62" i="76"/>
  <c r="X69" i="76" s="1"/>
  <c r="AK11" i="77"/>
  <c r="J92" i="76"/>
  <c r="W100" i="76" s="1"/>
  <c r="AK13" i="77"/>
  <c r="J112" i="76"/>
  <c r="O120" i="76" s="1"/>
  <c r="AK8" i="77"/>
  <c r="J62" i="76"/>
  <c r="W70" i="76" s="1"/>
  <c r="AK7" i="77"/>
  <c r="J52" i="76"/>
  <c r="X60" i="76" s="1"/>
  <c r="AK10" i="77"/>
  <c r="J82" i="76"/>
  <c r="X90" i="76" s="1"/>
  <c r="AK5" i="77"/>
  <c r="J32" i="76"/>
  <c r="P40" i="76" s="1"/>
  <c r="AK12" i="77"/>
  <c r="J102" i="76"/>
  <c r="O110" i="76" s="1"/>
  <c r="AK9" i="77"/>
  <c r="J72" i="76"/>
  <c r="G80" i="76" s="1"/>
  <c r="AK4" i="77"/>
  <c r="J22" i="76"/>
  <c r="X30" i="76" s="1"/>
  <c r="AK6" i="77"/>
  <c r="J42" i="76"/>
  <c r="X50" i="76" s="1"/>
  <c r="Z5" i="76"/>
  <c r="W5" i="76"/>
  <c r="AA20" i="76"/>
  <c r="X20" i="76"/>
  <c r="S25" i="76"/>
  <c r="Z25" i="76"/>
  <c r="W25" i="76"/>
  <c r="AA40" i="76"/>
  <c r="Z60" i="76"/>
  <c r="S85" i="76"/>
  <c r="W85" i="76"/>
  <c r="Z85" i="76"/>
  <c r="S69" i="76"/>
  <c r="Z69" i="76"/>
  <c r="S35" i="76"/>
  <c r="W35" i="76"/>
  <c r="Z35" i="76"/>
  <c r="T25" i="76"/>
  <c r="X25" i="76"/>
  <c r="AA25" i="76"/>
  <c r="T85" i="76"/>
  <c r="AA85" i="76"/>
  <c r="X85" i="76"/>
  <c r="S29" i="76"/>
  <c r="Z29" i="76"/>
  <c r="W29" i="76"/>
  <c r="T35" i="76"/>
  <c r="X35" i="76"/>
  <c r="AA35" i="76"/>
  <c r="T69" i="76"/>
  <c r="AA69" i="76"/>
  <c r="Z80" i="76"/>
  <c r="S89" i="76"/>
  <c r="W89" i="76"/>
  <c r="Z89" i="76"/>
  <c r="Z120" i="76"/>
  <c r="T75" i="76"/>
  <c r="AA75" i="76"/>
  <c r="X75" i="76"/>
  <c r="Z30" i="76"/>
  <c r="W30" i="76"/>
  <c r="T99" i="76"/>
  <c r="AA99" i="76"/>
  <c r="S19" i="76"/>
  <c r="W19" i="76"/>
  <c r="Z19" i="76"/>
  <c r="S39" i="76"/>
  <c r="Z39" i="76"/>
  <c r="T45" i="76"/>
  <c r="AA45" i="76"/>
  <c r="X45" i="76"/>
  <c r="T49" i="76"/>
  <c r="AA49" i="76"/>
  <c r="Z70" i="76"/>
  <c r="T109" i="76"/>
  <c r="AA109" i="76"/>
  <c r="AA110" i="76"/>
  <c r="S119" i="76"/>
  <c r="Z119" i="76"/>
  <c r="AA10" i="76"/>
  <c r="X10" i="76"/>
  <c r="P10" i="76"/>
  <c r="S55" i="76"/>
  <c r="Z55" i="76"/>
  <c r="W55" i="76"/>
  <c r="T95" i="76"/>
  <c r="AA95" i="76"/>
  <c r="X95" i="76"/>
  <c r="S65" i="76"/>
  <c r="W65" i="76"/>
  <c r="Z65" i="76"/>
  <c r="T79" i="76"/>
  <c r="AA79" i="76"/>
  <c r="S105" i="76"/>
  <c r="W105" i="76"/>
  <c r="Z105" i="76"/>
  <c r="T105" i="76"/>
  <c r="AA105" i="76"/>
  <c r="X105" i="76"/>
  <c r="T119" i="76"/>
  <c r="AA119" i="76"/>
  <c r="S15" i="76"/>
  <c r="W15" i="76"/>
  <c r="Z15" i="76"/>
  <c r="AA50" i="76"/>
  <c r="AA60" i="76"/>
  <c r="S95" i="76"/>
  <c r="Z95" i="76"/>
  <c r="W95" i="76"/>
  <c r="T15" i="76"/>
  <c r="X15" i="76"/>
  <c r="AA15" i="76"/>
  <c r="O9" i="76"/>
  <c r="Z9" i="76"/>
  <c r="W9" i="76"/>
  <c r="T55" i="76"/>
  <c r="AA55" i="76"/>
  <c r="X55" i="76"/>
  <c r="AA80" i="76"/>
  <c r="S99" i="76"/>
  <c r="Z99" i="76"/>
  <c r="AA120" i="76"/>
  <c r="AA100" i="76"/>
  <c r="T59" i="76"/>
  <c r="AA59" i="76"/>
  <c r="AA70" i="76"/>
  <c r="X70" i="76"/>
  <c r="Z90" i="76"/>
  <c r="Z40" i="76"/>
  <c r="T29" i="76"/>
  <c r="AA29" i="76"/>
  <c r="X29" i="76"/>
  <c r="T89" i="76"/>
  <c r="AA89" i="76"/>
  <c r="AA9" i="76"/>
  <c r="X9" i="76"/>
  <c r="P9" i="76"/>
  <c r="S45" i="76"/>
  <c r="Z45" i="76"/>
  <c r="W45" i="76"/>
  <c r="S79" i="76"/>
  <c r="Z79" i="76"/>
  <c r="Z20" i="76"/>
  <c r="W20" i="76"/>
  <c r="AA5" i="76"/>
  <c r="X5" i="76"/>
  <c r="S49" i="76"/>
  <c r="Z49" i="76"/>
  <c r="Z10" i="76"/>
  <c r="W10" i="76"/>
  <c r="O10" i="76"/>
  <c r="AA30" i="76"/>
  <c r="Z50" i="76"/>
  <c r="AA90" i="76"/>
  <c r="Z100" i="76"/>
  <c r="S109" i="76"/>
  <c r="Z109" i="76"/>
  <c r="S115" i="76"/>
  <c r="Z115" i="76"/>
  <c r="W115" i="76"/>
  <c r="T19" i="76"/>
  <c r="X19" i="76"/>
  <c r="AA19" i="76"/>
  <c r="T39" i="76"/>
  <c r="AA39" i="76"/>
  <c r="S59" i="76"/>
  <c r="Z59" i="76"/>
  <c r="T65" i="76"/>
  <c r="AA65" i="76"/>
  <c r="X65" i="76"/>
  <c r="S75" i="76"/>
  <c r="W75" i="76"/>
  <c r="Z75" i="76"/>
  <c r="Z110" i="76"/>
  <c r="T115" i="76"/>
  <c r="X115" i="76"/>
  <c r="AA115" i="76"/>
  <c r="A112" i="76"/>
  <c r="A42" i="76"/>
  <c r="AO4" i="77"/>
  <c r="A52" i="76"/>
  <c r="D59" i="76"/>
  <c r="A62" i="76"/>
  <c r="A2" i="76"/>
  <c r="T8" i="76"/>
  <c r="A72" i="76"/>
  <c r="AO6" i="77"/>
  <c r="AO5" i="77"/>
  <c r="A32" i="76"/>
  <c r="A82" i="76"/>
  <c r="D89" i="76"/>
  <c r="A22" i="76"/>
  <c r="O30" i="76"/>
  <c r="A92" i="76"/>
  <c r="A12" i="76"/>
  <c r="O20" i="76"/>
  <c r="A102" i="76"/>
  <c r="S28" i="76"/>
  <c r="T50" i="76"/>
  <c r="S120" i="76"/>
  <c r="S30" i="76"/>
  <c r="S20" i="76"/>
  <c r="S40" i="76"/>
  <c r="T120" i="76"/>
  <c r="S10" i="76"/>
  <c r="S50" i="76"/>
  <c r="S100" i="76"/>
  <c r="S110" i="76"/>
  <c r="S70" i="76"/>
  <c r="T10" i="76"/>
  <c r="S80" i="76"/>
  <c r="T70" i="76"/>
  <c r="S90" i="76"/>
  <c r="T80" i="76"/>
  <c r="T30" i="76"/>
  <c r="T90" i="76"/>
  <c r="T20" i="76"/>
  <c r="T40" i="76"/>
  <c r="S60" i="76"/>
  <c r="T100" i="76"/>
  <c r="T60" i="76"/>
  <c r="T110" i="76"/>
  <c r="T28" i="76"/>
  <c r="T38" i="76"/>
  <c r="S38" i="76"/>
  <c r="T9" i="76"/>
  <c r="S5" i="76"/>
  <c r="T5" i="76"/>
  <c r="S9" i="76"/>
  <c r="T5" i="74"/>
  <c r="S4" i="74"/>
  <c r="S3" i="74"/>
  <c r="G109" i="76" l="1"/>
  <c r="X109" i="76"/>
  <c r="Z64" i="76"/>
  <c r="Z44" i="76"/>
  <c r="Z74" i="76"/>
  <c r="AA114" i="76"/>
  <c r="AA94" i="76"/>
  <c r="AA24" i="76"/>
  <c r="AA104" i="76"/>
  <c r="Z24" i="76"/>
  <c r="AB24" i="76" s="1"/>
  <c r="L62" i="76"/>
  <c r="I21" i="74"/>
  <c r="AM8" i="77"/>
  <c r="X56" i="76"/>
  <c r="W56" i="76"/>
  <c r="M42" i="76"/>
  <c r="T48" i="76" s="1"/>
  <c r="T44" i="76" s="1"/>
  <c r="J19" i="74"/>
  <c r="AN6" i="77"/>
  <c r="AL19" i="64"/>
  <c r="L19" i="74"/>
  <c r="AD19" i="64"/>
  <c r="M19" i="74"/>
  <c r="AK19" i="64"/>
  <c r="K19" i="74"/>
  <c r="AJ19" i="64"/>
  <c r="AJ6" i="77" s="1" a="1"/>
  <c r="AJ6" i="77" s="1"/>
  <c r="BY19" i="64"/>
  <c r="BZ19" i="64" s="1"/>
  <c r="D19" i="74"/>
  <c r="W69" i="76"/>
  <c r="P100" i="76"/>
  <c r="X110" i="76"/>
  <c r="W39" i="76"/>
  <c r="X100" i="76"/>
  <c r="D119" i="76"/>
  <c r="D60" i="76"/>
  <c r="W110" i="76"/>
  <c r="O80" i="76"/>
  <c r="D80" i="76"/>
  <c r="P80" i="76"/>
  <c r="G69" i="76"/>
  <c r="X59" i="76"/>
  <c r="W60" i="76"/>
  <c r="X119" i="76"/>
  <c r="W80" i="76"/>
  <c r="G49" i="76"/>
  <c r="X80" i="76"/>
  <c r="W49" i="76"/>
  <c r="D38" i="76"/>
  <c r="W38" i="76" s="1"/>
  <c r="D79" i="76"/>
  <c r="G79" i="76"/>
  <c r="W79" i="76"/>
  <c r="W99" i="76"/>
  <c r="G99" i="76"/>
  <c r="D120" i="76"/>
  <c r="X120" i="76"/>
  <c r="W40" i="76"/>
  <c r="G120" i="76"/>
  <c r="W90" i="76"/>
  <c r="P120" i="76"/>
  <c r="D40" i="76"/>
  <c r="D90" i="76"/>
  <c r="X40" i="76"/>
  <c r="W120" i="76"/>
  <c r="O70" i="76"/>
  <c r="O50" i="76"/>
  <c r="W50" i="76"/>
  <c r="AA44" i="76"/>
  <c r="AB44" i="76" s="1"/>
  <c r="AA34" i="76"/>
  <c r="Z104" i="76"/>
  <c r="Z54" i="76"/>
  <c r="AA64" i="76"/>
  <c r="Z114" i="76"/>
  <c r="AB114" i="76" s="1"/>
  <c r="Z14" i="76"/>
  <c r="AA74" i="76"/>
  <c r="Z84" i="76"/>
  <c r="Z94" i="76"/>
  <c r="Z34" i="76"/>
  <c r="AA4" i="76"/>
  <c r="AA54" i="76"/>
  <c r="AA14" i="76"/>
  <c r="AA84" i="76"/>
  <c r="Z4" i="76"/>
  <c r="D10" i="76"/>
  <c r="G10" i="76"/>
  <c r="O90" i="76"/>
  <c r="G20" i="76"/>
  <c r="G40" i="76"/>
  <c r="P70" i="76"/>
  <c r="O40" i="76"/>
  <c r="D50" i="76"/>
  <c r="D8" i="76"/>
  <c r="G30" i="76"/>
  <c r="P50" i="76"/>
  <c r="P20" i="76"/>
  <c r="D70" i="76"/>
  <c r="D20" i="76"/>
  <c r="P30" i="76"/>
  <c r="S8" i="76"/>
  <c r="S4" i="76" s="1"/>
  <c r="G50" i="76"/>
  <c r="D30" i="76"/>
  <c r="P110" i="76"/>
  <c r="G70" i="76"/>
  <c r="G90" i="76"/>
  <c r="P90" i="76"/>
  <c r="G60" i="76"/>
  <c r="G9" i="76"/>
  <c r="S48" i="76"/>
  <c r="S44" i="76" s="1"/>
  <c r="G8" i="76"/>
  <c r="D9" i="76"/>
  <c r="O100" i="76"/>
  <c r="D110" i="76"/>
  <c r="D100" i="76"/>
  <c r="G100" i="76"/>
  <c r="G110" i="76"/>
  <c r="T24" i="76"/>
  <c r="S34" i="76"/>
  <c r="T34" i="76"/>
  <c r="S24" i="76"/>
  <c r="T4" i="76"/>
  <c r="G119" i="76"/>
  <c r="G39" i="76"/>
  <c r="G38" i="76"/>
  <c r="G59" i="76"/>
  <c r="G89" i="76"/>
  <c r="P19" i="76"/>
  <c r="O19" i="76"/>
  <c r="S18" i="76"/>
  <c r="S14" i="76" s="1"/>
  <c r="T18" i="76"/>
  <c r="T14" i="76" s="1"/>
  <c r="D39" i="76"/>
  <c r="D49" i="76"/>
  <c r="O69" i="76"/>
  <c r="P69" i="76"/>
  <c r="O59" i="76"/>
  <c r="P59" i="76"/>
  <c r="O89" i="76"/>
  <c r="P89" i="76"/>
  <c r="P119" i="76"/>
  <c r="O119" i="76"/>
  <c r="G28" i="76"/>
  <c r="D28" i="76"/>
  <c r="D69" i="76"/>
  <c r="P60" i="76"/>
  <c r="O60" i="76"/>
  <c r="P61" i="76"/>
  <c r="O61" i="76"/>
  <c r="P79" i="76"/>
  <c r="O79" i="76"/>
  <c r="O29" i="76"/>
  <c r="P29" i="76"/>
  <c r="O99" i="76"/>
  <c r="P99" i="76"/>
  <c r="P49" i="76"/>
  <c r="O49" i="76"/>
  <c r="G29" i="76"/>
  <c r="D99" i="76"/>
  <c r="P109" i="76"/>
  <c r="O109" i="76"/>
  <c r="D109" i="76"/>
  <c r="P39" i="76"/>
  <c r="O39" i="76"/>
  <c r="G19" i="76"/>
  <c r="G18" i="76"/>
  <c r="D19" i="76"/>
  <c r="D18" i="76"/>
  <c r="AB74" i="76" l="1"/>
  <c r="AB94" i="76"/>
  <c r="G48" i="76"/>
  <c r="P48" i="76" s="1"/>
  <c r="P44" i="76" s="1"/>
  <c r="AB64" i="76"/>
  <c r="AB104" i="76"/>
  <c r="AB34" i="76"/>
  <c r="AL22" i="64"/>
  <c r="L20" i="74"/>
  <c r="AD22" i="64"/>
  <c r="M20" i="74"/>
  <c r="M52" i="76"/>
  <c r="J20" i="74"/>
  <c r="AN7" i="77"/>
  <c r="D20" i="74"/>
  <c r="AJ22" i="64"/>
  <c r="BY22" i="64"/>
  <c r="BZ22" i="64" s="1"/>
  <c r="D48" i="76"/>
  <c r="O48" i="76" s="1"/>
  <c r="O44" i="76" s="1"/>
  <c r="W34" i="76"/>
  <c r="AK22" i="64"/>
  <c r="K20" i="74"/>
  <c r="AO7" i="77"/>
  <c r="L72" i="76"/>
  <c r="I22" i="74"/>
  <c r="AM9" i="77"/>
  <c r="X66" i="76"/>
  <c r="W66" i="76"/>
  <c r="O38" i="76"/>
  <c r="O34" i="76" s="1"/>
  <c r="P28" i="76"/>
  <c r="P24" i="76" s="1"/>
  <c r="X28" i="76"/>
  <c r="X24" i="76" s="1"/>
  <c r="O8" i="76"/>
  <c r="O4" i="76" s="1"/>
  <c r="W8" i="76"/>
  <c r="W4" i="76" s="1"/>
  <c r="AB4" i="76"/>
  <c r="P38" i="76"/>
  <c r="P34" i="76" s="1"/>
  <c r="X38" i="76"/>
  <c r="X34" i="76" s="1"/>
  <c r="X8" i="76"/>
  <c r="X4" i="76" s="1"/>
  <c r="P8" i="76"/>
  <c r="P4" i="76" s="1"/>
  <c r="P18" i="76"/>
  <c r="P14" i="76" s="1"/>
  <c r="X18" i="76"/>
  <c r="X14" i="76" s="1"/>
  <c r="AB84" i="76"/>
  <c r="AB54" i="76"/>
  <c r="AB14" i="76"/>
  <c r="O18" i="76"/>
  <c r="O14" i="76" s="1"/>
  <c r="W18" i="76"/>
  <c r="W14" i="76" s="1"/>
  <c r="O28" i="76"/>
  <c r="O24" i="76" s="1"/>
  <c r="W28" i="76"/>
  <c r="W24" i="76" s="1"/>
  <c r="D4" i="76"/>
  <c r="G4" i="76"/>
  <c r="U44" i="76"/>
  <c r="U4" i="76"/>
  <c r="U24" i="76"/>
  <c r="U34" i="76"/>
  <c r="G34" i="76"/>
  <c r="D34" i="76"/>
  <c r="D24" i="76"/>
  <c r="G24" i="76"/>
  <c r="U14" i="76"/>
  <c r="D14" i="76"/>
  <c r="G14" i="76"/>
  <c r="C14" i="74"/>
  <c r="F14" i="74" s="1"/>
  <c r="Y34" i="76" l="1"/>
  <c r="G44" i="76"/>
  <c r="X48" i="76"/>
  <c r="X44" i="76" s="1"/>
  <c r="Y24" i="76"/>
  <c r="W48" i="76"/>
  <c r="W44" i="76" s="1"/>
  <c r="D44" i="76"/>
  <c r="Y4" i="76"/>
  <c r="Q4" i="76"/>
  <c r="AF7" i="64" s="1"/>
  <c r="T58" i="76"/>
  <c r="T54" i="76" s="1"/>
  <c r="S58" i="76"/>
  <c r="S54" i="76" s="1"/>
  <c r="D58" i="76"/>
  <c r="G58" i="76"/>
  <c r="W76" i="76"/>
  <c r="X76" i="76"/>
  <c r="AD25" i="64"/>
  <c r="M21" i="74"/>
  <c r="AJ7" i="77" a="1"/>
  <c r="AJ7" i="77" s="1"/>
  <c r="M62" i="76"/>
  <c r="J21" i="74"/>
  <c r="AN8" i="77"/>
  <c r="AK25" i="64"/>
  <c r="K21" i="74"/>
  <c r="AO8" i="77"/>
  <c r="AL25" i="64"/>
  <c r="L21" i="74"/>
  <c r="D21" i="74"/>
  <c r="AJ25" i="64"/>
  <c r="AJ8" i="77" s="1" a="1"/>
  <c r="AJ8" i="77" s="1"/>
  <c r="BY25" i="64"/>
  <c r="BZ25" i="64" s="1"/>
  <c r="L82" i="76"/>
  <c r="I23" i="74"/>
  <c r="AM10" i="77"/>
  <c r="H4" i="76"/>
  <c r="Y14" i="76"/>
  <c r="H24" i="76"/>
  <c r="H34" i="76"/>
  <c r="Q24" i="76"/>
  <c r="AF13" i="64" s="1"/>
  <c r="Q34" i="76"/>
  <c r="AF16" i="64" s="1"/>
  <c r="Q44" i="76"/>
  <c r="AF19" i="64" s="1"/>
  <c r="H14" i="76"/>
  <c r="Q14" i="76"/>
  <c r="AF10" i="64" s="1"/>
  <c r="Y44" i="76" l="1"/>
  <c r="H44" i="76"/>
  <c r="U54" i="76"/>
  <c r="D22" i="74"/>
  <c r="AJ28" i="64"/>
  <c r="AJ9" i="77" s="1" a="1"/>
  <c r="AJ9" i="77" s="1"/>
  <c r="BY28" i="64"/>
  <c r="BZ28" i="64" s="1"/>
  <c r="L92" i="76"/>
  <c r="I24" i="74"/>
  <c r="AM11" i="77"/>
  <c r="W86" i="76"/>
  <c r="X86" i="76"/>
  <c r="P58" i="76"/>
  <c r="P54" i="76" s="1"/>
  <c r="X58" i="76"/>
  <c r="X54" i="76" s="1"/>
  <c r="G54" i="76"/>
  <c r="M72" i="76"/>
  <c r="J22" i="74"/>
  <c r="AN9" i="77"/>
  <c r="T68" i="76"/>
  <c r="T64" i="76" s="1"/>
  <c r="S68" i="76"/>
  <c r="S64" i="76" s="1"/>
  <c r="D68" i="76"/>
  <c r="G68" i="76"/>
  <c r="AL28" i="64"/>
  <c r="L22" i="74"/>
  <c r="AK28" i="64"/>
  <c r="K22" i="74"/>
  <c r="AO9" i="77"/>
  <c r="O58" i="76"/>
  <c r="O54" i="76" s="1"/>
  <c r="W58" i="76"/>
  <c r="W54" i="76" s="1"/>
  <c r="D54" i="76"/>
  <c r="AD28" i="64"/>
  <c r="M22" i="74"/>
  <c r="H54" i="76" l="1"/>
  <c r="U64" i="76"/>
  <c r="AL31" i="64"/>
  <c r="L23" i="74"/>
  <c r="X68" i="76"/>
  <c r="X64" i="76" s="1"/>
  <c r="G64" i="76"/>
  <c r="P68" i="76"/>
  <c r="P64" i="76" s="1"/>
  <c r="O68" i="76"/>
  <c r="O64" i="76" s="1"/>
  <c r="W68" i="76"/>
  <c r="W64" i="76" s="1"/>
  <c r="Y64" i="76" s="1"/>
  <c r="D64" i="76"/>
  <c r="H64" i="76" s="1"/>
  <c r="W96" i="76"/>
  <c r="X96" i="76"/>
  <c r="Q54" i="76"/>
  <c r="AF22" i="64" s="1"/>
  <c r="T78" i="76"/>
  <c r="T74" i="76" s="1"/>
  <c r="G78" i="76"/>
  <c r="S78" i="76"/>
  <c r="S74" i="76" s="1"/>
  <c r="D78" i="76"/>
  <c r="D23" i="74"/>
  <c r="AJ31" i="64"/>
  <c r="BY31" i="64"/>
  <c r="BZ31" i="64" s="1"/>
  <c r="AK31" i="64"/>
  <c r="K23" i="74"/>
  <c r="AO10" i="77"/>
  <c r="AD31" i="64"/>
  <c r="M23" i="74"/>
  <c r="L102" i="76"/>
  <c r="I25" i="74"/>
  <c r="AM12" i="77"/>
  <c r="Y54" i="76"/>
  <c r="M82" i="76"/>
  <c r="J23" i="74"/>
  <c r="AN10" i="77"/>
  <c r="Y8" i="64"/>
  <c r="Z7" i="64" s="1"/>
  <c r="Q64" i="76" l="1"/>
  <c r="AF25" i="64" s="1"/>
  <c r="T88" i="76"/>
  <c r="T84" i="76" s="1"/>
  <c r="D88" i="76"/>
  <c r="S88" i="76"/>
  <c r="S84" i="76" s="1"/>
  <c r="G88" i="76"/>
  <c r="AJ10" i="77" a="1"/>
  <c r="AJ10" i="77" s="1"/>
  <c r="AK34" i="64"/>
  <c r="K24" i="74"/>
  <c r="AO11" i="77"/>
  <c r="M92" i="76"/>
  <c r="J24" i="74"/>
  <c r="AN11" i="77"/>
  <c r="D24" i="74"/>
  <c r="AJ34" i="64"/>
  <c r="AJ11" i="77" s="1" a="1"/>
  <c r="AJ11" i="77" s="1"/>
  <c r="BY34" i="64"/>
  <c r="BZ34" i="64" s="1"/>
  <c r="AL34" i="64"/>
  <c r="L24" i="74"/>
  <c r="L112" i="76"/>
  <c r="AM13" i="77"/>
  <c r="O78" i="76"/>
  <c r="O74" i="76" s="1"/>
  <c r="D74" i="76"/>
  <c r="W78" i="76"/>
  <c r="W74" i="76" s="1"/>
  <c r="X106" i="76"/>
  <c r="W106" i="76"/>
  <c r="U74" i="76"/>
  <c r="AD34" i="64"/>
  <c r="M24" i="74"/>
  <c r="G74" i="76"/>
  <c r="X78" i="76"/>
  <c r="X74" i="76" s="1"/>
  <c r="P78" i="76"/>
  <c r="P74" i="76" s="1"/>
  <c r="S14" i="74"/>
  <c r="AC7" i="64"/>
  <c r="R14" i="74"/>
  <c r="T14" i="74" s="1"/>
  <c r="AC8" i="64"/>
  <c r="U84" i="76" l="1"/>
  <c r="Q74" i="76"/>
  <c r="AF28" i="64" s="1"/>
  <c r="O88" i="76"/>
  <c r="O84" i="76" s="1"/>
  <c r="D84" i="76"/>
  <c r="W88" i="76"/>
  <c r="W84" i="76" s="1"/>
  <c r="D25" i="74"/>
  <c r="AJ37" i="64"/>
  <c r="AJ12" i="77" s="1" a="1"/>
  <c r="AJ12" i="77" s="1"/>
  <c r="BY37" i="64"/>
  <c r="BZ37" i="64" s="1"/>
  <c r="AL37" i="64"/>
  <c r="L25" i="74"/>
  <c r="AL40" i="64" s="1"/>
  <c r="AD37" i="64"/>
  <c r="M25" i="74"/>
  <c r="AD40" i="64" s="1"/>
  <c r="AD43" i="64" s="1"/>
  <c r="G84" i="76"/>
  <c r="P88" i="76"/>
  <c r="P84" i="76" s="1"/>
  <c r="X88" i="76"/>
  <c r="X84" i="76" s="1"/>
  <c r="Y74" i="76"/>
  <c r="AK37" i="64"/>
  <c r="K25" i="74"/>
  <c r="AO12" i="77"/>
  <c r="W116" i="76"/>
  <c r="X116" i="76"/>
  <c r="M102" i="76"/>
  <c r="J25" i="74"/>
  <c r="AN12" i="77"/>
  <c r="H74" i="76"/>
  <c r="T98" i="76"/>
  <c r="T94" i="76" s="1"/>
  <c r="S98" i="76"/>
  <c r="S94" i="76" s="1"/>
  <c r="D98" i="76"/>
  <c r="G98" i="76"/>
  <c r="N14" i="74"/>
  <c r="O14" i="74" s="1"/>
  <c r="AE7" i="64" s="1"/>
  <c r="H58" i="69"/>
  <c r="I58" i="69"/>
  <c r="J58" i="69"/>
  <c r="K58" i="69"/>
  <c r="L58" i="69"/>
  <c r="M58" i="69"/>
  <c r="N58" i="69"/>
  <c r="O58" i="69"/>
  <c r="P58" i="69"/>
  <c r="Q58" i="69"/>
  <c r="R58" i="69"/>
  <c r="H70" i="69"/>
  <c r="I70" i="69"/>
  <c r="J70" i="69"/>
  <c r="K70" i="69"/>
  <c r="L70" i="69"/>
  <c r="M70" i="69"/>
  <c r="N70" i="69"/>
  <c r="O70" i="69"/>
  <c r="P70" i="69"/>
  <c r="Q70" i="69"/>
  <c r="R70" i="69"/>
  <c r="P98" i="76" l="1"/>
  <c r="P94" i="76" s="1"/>
  <c r="G94" i="76"/>
  <c r="X98" i="76"/>
  <c r="X94" i="76" s="1"/>
  <c r="M112" i="76"/>
  <c r="AN13" i="77"/>
  <c r="T108" i="76"/>
  <c r="T104" i="76" s="1"/>
  <c r="D108" i="76"/>
  <c r="G108" i="76"/>
  <c r="S108" i="76"/>
  <c r="S104" i="76" s="1"/>
  <c r="U104" i="76" s="1"/>
  <c r="U94" i="76"/>
  <c r="Y84" i="76"/>
  <c r="AK40" i="64"/>
  <c r="AK43" i="64" s="1"/>
  <c r="AO13" i="77"/>
  <c r="W98" i="76"/>
  <c r="W94" i="76" s="1"/>
  <c r="D94" i="76"/>
  <c r="O98" i="76"/>
  <c r="O94" i="76" s="1"/>
  <c r="Q94" i="76" s="1"/>
  <c r="AF34" i="64" s="1"/>
  <c r="H84" i="76"/>
  <c r="Q84" i="76"/>
  <c r="AF31" i="64" s="1"/>
  <c r="AJ40" i="64"/>
  <c r="BY40" i="64"/>
  <c r="BZ40" i="64" s="1"/>
  <c r="BE43" i="64"/>
  <c r="H94" i="76" l="1"/>
  <c r="Y94" i="76"/>
  <c r="S118" i="76"/>
  <c r="S114" i="76" s="1"/>
  <c r="D118" i="76"/>
  <c r="G118" i="76"/>
  <c r="T118" i="76"/>
  <c r="T114" i="76" s="1"/>
  <c r="AJ13" i="77" a="1"/>
  <c r="AJ13" i="77" s="1"/>
  <c r="AJ43" i="64"/>
  <c r="P108" i="76"/>
  <c r="P104" i="76" s="1"/>
  <c r="X108" i="76"/>
  <c r="X104" i="76" s="1"/>
  <c r="G104" i="76"/>
  <c r="O108" i="76"/>
  <c r="O104" i="76" s="1"/>
  <c r="Q104" i="76" s="1"/>
  <c r="AF37" i="64" s="1"/>
  <c r="W108" i="76"/>
  <c r="W104" i="76" s="1"/>
  <c r="D104" i="76"/>
  <c r="AG7" i="64"/>
  <c r="AF8" i="64" s="1"/>
  <c r="L9" i="73"/>
  <c r="Y104" i="76" l="1"/>
  <c r="H104" i="76"/>
  <c r="X118" i="76"/>
  <c r="X114" i="76" s="1"/>
  <c r="G114" i="76"/>
  <c r="P118" i="76"/>
  <c r="P114" i="76" s="1"/>
  <c r="W118" i="76"/>
  <c r="W114" i="76" s="1"/>
  <c r="O118" i="76"/>
  <c r="O114" i="76" s="1"/>
  <c r="D114" i="76"/>
  <c r="U114" i="76"/>
  <c r="H114" i="76" l="1"/>
  <c r="Y114" i="76"/>
  <c r="Q114" i="76"/>
  <c r="AF40" i="64" s="1"/>
  <c r="AF43" i="64" s="1"/>
  <c r="BB40" i="64"/>
  <c r="BI20" i="73"/>
  <c r="BI19" i="73"/>
  <c r="BI18" i="73"/>
  <c r="BI17" i="73"/>
  <c r="BI16" i="73"/>
  <c r="BI15" i="73"/>
  <c r="BI14" i="73"/>
  <c r="BI13" i="73"/>
  <c r="BI12" i="73"/>
  <c r="BI11" i="73"/>
  <c r="BI10" i="73"/>
  <c r="BI9" i="73"/>
  <c r="BH20" i="73"/>
  <c r="BH19" i="73"/>
  <c r="BH18" i="73"/>
  <c r="BH17" i="73"/>
  <c r="BH16" i="73"/>
  <c r="BH15" i="73"/>
  <c r="BH14" i="73"/>
  <c r="BH13" i="73"/>
  <c r="BH12" i="73"/>
  <c r="BH10" i="73"/>
  <c r="BH11" i="73"/>
  <c r="BH9" i="73"/>
  <c r="BG20" i="73"/>
  <c r="BG19" i="73"/>
  <c r="BG18" i="73"/>
  <c r="BG17" i="73"/>
  <c r="BG16" i="73"/>
  <c r="BG15" i="73"/>
  <c r="BG14" i="73"/>
  <c r="BG13" i="73"/>
  <c r="BG12" i="73"/>
  <c r="BG11" i="73"/>
  <c r="BG10" i="73"/>
  <c r="BG9" i="73"/>
  <c r="BK20" i="73"/>
  <c r="BK19" i="73"/>
  <c r="BK18" i="73"/>
  <c r="BK17" i="73"/>
  <c r="BK16" i="73"/>
  <c r="BK15" i="73"/>
  <c r="BK14" i="73"/>
  <c r="BK13" i="73"/>
  <c r="BK12" i="73"/>
  <c r="BK11" i="73"/>
  <c r="BK10" i="73"/>
  <c r="BK9" i="73"/>
  <c r="BJ20" i="73" l="1"/>
  <c r="BJ19" i="73"/>
  <c r="BJ18" i="73"/>
  <c r="BJ17" i="73"/>
  <c r="BJ16" i="73"/>
  <c r="BJ15" i="73"/>
  <c r="BJ14" i="73"/>
  <c r="BJ13" i="73"/>
  <c r="BJ12" i="73"/>
  <c r="BJ11" i="73"/>
  <c r="BJ10" i="73"/>
  <c r="BJ9" i="73"/>
  <c r="BE21" i="73"/>
  <c r="BE20" i="73"/>
  <c r="BE19" i="73"/>
  <c r="BE18" i="73"/>
  <c r="BE17" i="73"/>
  <c r="BE16" i="73"/>
  <c r="BE15" i="73"/>
  <c r="BE14" i="73"/>
  <c r="BE13" i="73"/>
  <c r="BE12" i="73"/>
  <c r="BE11" i="73"/>
  <c r="BE10" i="73"/>
  <c r="BE9" i="73"/>
  <c r="BD21" i="73"/>
  <c r="BD20" i="73"/>
  <c r="BD19" i="73"/>
  <c r="BD18" i="73"/>
  <c r="BD17" i="73"/>
  <c r="BD16" i="73"/>
  <c r="BD15" i="73"/>
  <c r="BD14" i="73"/>
  <c r="BD13" i="73"/>
  <c r="BD12" i="73"/>
  <c r="BD11" i="73"/>
  <c r="BD10" i="73"/>
  <c r="BD9" i="73"/>
  <c r="BC21" i="73"/>
  <c r="BC20" i="73"/>
  <c r="BC19" i="73"/>
  <c r="BC18" i="73"/>
  <c r="BC17" i="73"/>
  <c r="BC16" i="73"/>
  <c r="BC15" i="73"/>
  <c r="BC14" i="73"/>
  <c r="BC13" i="73"/>
  <c r="BC12" i="73"/>
  <c r="BC11" i="73"/>
  <c r="BC10" i="73"/>
  <c r="BC9" i="73"/>
  <c r="BB21" i="73"/>
  <c r="BB20" i="73"/>
  <c r="BB19" i="73"/>
  <c r="BB18" i="73"/>
  <c r="BB17" i="73"/>
  <c r="BB16" i="73"/>
  <c r="BB15" i="73"/>
  <c r="BB14" i="73"/>
  <c r="BB13" i="73"/>
  <c r="BB12" i="73"/>
  <c r="BB11" i="73"/>
  <c r="BB10" i="73"/>
  <c r="BB9" i="73"/>
  <c r="BA20" i="73"/>
  <c r="BA19" i="73"/>
  <c r="BA18" i="73"/>
  <c r="BA17" i="73"/>
  <c r="BA16" i="73"/>
  <c r="BA15" i="73"/>
  <c r="BA14" i="73"/>
  <c r="BA13" i="73"/>
  <c r="BA12" i="73"/>
  <c r="BA11" i="73"/>
  <c r="BA10" i="73"/>
  <c r="BA9" i="73"/>
  <c r="AZ9" i="73"/>
  <c r="N20" i="73" l="1"/>
  <c r="N19" i="73"/>
  <c r="N18" i="73"/>
  <c r="N17" i="73"/>
  <c r="N16" i="73"/>
  <c r="N15" i="73"/>
  <c r="N14" i="73"/>
  <c r="N13" i="73"/>
  <c r="N12" i="73"/>
  <c r="N11" i="73"/>
  <c r="N10" i="73"/>
  <c r="N9" i="73"/>
  <c r="L20" i="73"/>
  <c r="L19" i="73"/>
  <c r="L18" i="73"/>
  <c r="L17" i="73"/>
  <c r="L16" i="73"/>
  <c r="L15" i="73"/>
  <c r="L14" i="73"/>
  <c r="L13" i="73"/>
  <c r="L12" i="73"/>
  <c r="L11" i="73"/>
  <c r="L10" i="73"/>
  <c r="AQ43" i="64" l="1"/>
  <c r="N21" i="73" s="1"/>
  <c r="AP43" i="64"/>
  <c r="Q51" i="64" l="1"/>
  <c r="L21" i="73"/>
  <c r="AD4" i="73"/>
  <c r="AD3" i="73"/>
  <c r="A10" i="73" s="1"/>
  <c r="A17" i="73" l="1"/>
  <c r="A16" i="73"/>
  <c r="A15" i="73"/>
  <c r="A9" i="73"/>
  <c r="A14" i="73"/>
  <c r="A21" i="73"/>
  <c r="A13" i="73"/>
  <c r="A20" i="73"/>
  <c r="A12" i="73"/>
  <c r="A19" i="73"/>
  <c r="A11" i="73"/>
  <c r="A18" i="73"/>
  <c r="AK27" i="68" l="1"/>
  <c r="AJ27" i="68"/>
  <c r="AI27" i="68"/>
  <c r="AH27" i="68"/>
  <c r="AG27" i="68"/>
  <c r="AF27" i="68"/>
  <c r="AE27" i="68"/>
  <c r="AD27" i="68"/>
  <c r="AC27" i="68"/>
  <c r="AB27" i="68"/>
  <c r="AA27" i="68"/>
  <c r="Z27" i="68"/>
  <c r="Y27" i="68"/>
  <c r="X27" i="68"/>
  <c r="W27" i="68"/>
  <c r="V27" i="68"/>
  <c r="U27" i="68"/>
  <c r="T27" i="68"/>
  <c r="S27" i="68"/>
  <c r="R27" i="68"/>
  <c r="Q27" i="68"/>
  <c r="P27" i="68"/>
  <c r="O27" i="68"/>
  <c r="N27" i="68"/>
  <c r="AK26" i="68"/>
  <c r="AJ26" i="68"/>
  <c r="AI26" i="68"/>
  <c r="AH26" i="68"/>
  <c r="AG26" i="68"/>
  <c r="AF26" i="68"/>
  <c r="AE26" i="68"/>
  <c r="AD26" i="68"/>
  <c r="AC26" i="68"/>
  <c r="AB26" i="68"/>
  <c r="AA26" i="68"/>
  <c r="Z26" i="68"/>
  <c r="Y26" i="68"/>
  <c r="X26" i="68"/>
  <c r="W26" i="68"/>
  <c r="V26" i="68"/>
  <c r="U26" i="68"/>
  <c r="T26" i="68"/>
  <c r="S26" i="68"/>
  <c r="R26" i="68"/>
  <c r="Q26" i="68"/>
  <c r="P26" i="68"/>
  <c r="O26" i="68"/>
  <c r="N26" i="68"/>
  <c r="AK25" i="68"/>
  <c r="AJ25" i="68"/>
  <c r="AI25" i="68"/>
  <c r="AH25" i="68"/>
  <c r="AG25" i="68"/>
  <c r="AF25" i="68"/>
  <c r="AE25" i="68"/>
  <c r="AD25" i="68"/>
  <c r="AC25" i="68"/>
  <c r="AB25" i="68"/>
  <c r="AA25" i="68"/>
  <c r="Z25" i="68"/>
  <c r="Y25" i="68"/>
  <c r="X25" i="68"/>
  <c r="W25" i="68"/>
  <c r="V25" i="68"/>
  <c r="U25" i="68"/>
  <c r="T25" i="68"/>
  <c r="S25" i="68"/>
  <c r="R25" i="68"/>
  <c r="Q25" i="68"/>
  <c r="P25" i="68"/>
  <c r="O25" i="68"/>
  <c r="N25" i="68"/>
  <c r="AK24" i="68"/>
  <c r="AJ24" i="68"/>
  <c r="AI24" i="68"/>
  <c r="AH24" i="68"/>
  <c r="AG24" i="68"/>
  <c r="AF24" i="68"/>
  <c r="AE24" i="68"/>
  <c r="AD24" i="68"/>
  <c r="AC24" i="68"/>
  <c r="AB24" i="68"/>
  <c r="AA24" i="68"/>
  <c r="Z24" i="68"/>
  <c r="Y24" i="68"/>
  <c r="X24" i="68"/>
  <c r="W24" i="68"/>
  <c r="V24" i="68"/>
  <c r="U24" i="68"/>
  <c r="T24" i="68"/>
  <c r="S24" i="68"/>
  <c r="R24" i="68"/>
  <c r="Q24" i="68"/>
  <c r="P24" i="68"/>
  <c r="O24" i="68"/>
  <c r="N24" i="68"/>
  <c r="AK23" i="68"/>
  <c r="AJ23" i="68"/>
  <c r="AI23" i="68"/>
  <c r="AH23" i="68"/>
  <c r="AG23" i="68"/>
  <c r="AF23" i="68"/>
  <c r="AE23" i="68"/>
  <c r="AD23" i="68"/>
  <c r="AC23" i="68"/>
  <c r="AB23" i="68"/>
  <c r="AA23" i="68"/>
  <c r="Z23" i="68"/>
  <c r="Y23" i="68"/>
  <c r="X23" i="68"/>
  <c r="W23" i="68"/>
  <c r="V23" i="68"/>
  <c r="U23" i="68"/>
  <c r="T23" i="68"/>
  <c r="S23" i="68"/>
  <c r="R23" i="68"/>
  <c r="Q23" i="68"/>
  <c r="P23" i="68"/>
  <c r="O23" i="68"/>
  <c r="N23" i="68"/>
  <c r="AK22" i="68"/>
  <c r="AJ22" i="68"/>
  <c r="AI22" i="68"/>
  <c r="AH22" i="68"/>
  <c r="AG22" i="68"/>
  <c r="AF22" i="68"/>
  <c r="AE22" i="68"/>
  <c r="AD22" i="68"/>
  <c r="AC22" i="68"/>
  <c r="AB22" i="68"/>
  <c r="AA22" i="68"/>
  <c r="Z22" i="68"/>
  <c r="Y22" i="68"/>
  <c r="X22" i="68"/>
  <c r="W22" i="68"/>
  <c r="V22" i="68"/>
  <c r="U22" i="68"/>
  <c r="T22" i="68"/>
  <c r="S22" i="68"/>
  <c r="R22" i="68"/>
  <c r="Q22" i="68"/>
  <c r="P22" i="68"/>
  <c r="O22" i="68"/>
  <c r="N22" i="68"/>
  <c r="AK21" i="68"/>
  <c r="AJ21" i="68"/>
  <c r="AI21" i="68"/>
  <c r="AH21" i="68"/>
  <c r="AG21" i="68"/>
  <c r="AF21" i="68"/>
  <c r="AE21" i="68"/>
  <c r="AD21" i="68"/>
  <c r="AC21" i="68"/>
  <c r="AB21" i="68"/>
  <c r="AA21" i="68"/>
  <c r="Z21" i="68"/>
  <c r="Y21" i="68"/>
  <c r="X21" i="68"/>
  <c r="W21" i="68"/>
  <c r="V21" i="68"/>
  <c r="U21" i="68"/>
  <c r="T21" i="68"/>
  <c r="S21" i="68"/>
  <c r="R21" i="68"/>
  <c r="Q21" i="68"/>
  <c r="P21" i="68"/>
  <c r="O21" i="68"/>
  <c r="N21" i="68"/>
  <c r="AK20" i="68"/>
  <c r="AJ20" i="68"/>
  <c r="AI20" i="68"/>
  <c r="AH20" i="68"/>
  <c r="AG20" i="68"/>
  <c r="AF20" i="68"/>
  <c r="AE20" i="68"/>
  <c r="AD20" i="68"/>
  <c r="AC20" i="68"/>
  <c r="AB20" i="68"/>
  <c r="AA20" i="68"/>
  <c r="Z20" i="68"/>
  <c r="Y20" i="68"/>
  <c r="X20" i="68"/>
  <c r="W20" i="68"/>
  <c r="V20" i="68"/>
  <c r="U20" i="68"/>
  <c r="T20" i="68"/>
  <c r="S20" i="68"/>
  <c r="R20" i="68"/>
  <c r="Q20" i="68"/>
  <c r="P20" i="68"/>
  <c r="O20" i="68"/>
  <c r="N20" i="68"/>
  <c r="AK19" i="68"/>
  <c r="AJ19" i="68"/>
  <c r="AI19" i="68"/>
  <c r="AH19" i="68"/>
  <c r="AG19" i="68"/>
  <c r="AF19" i="68"/>
  <c r="AE19" i="68"/>
  <c r="AD19" i="68"/>
  <c r="AC19" i="68"/>
  <c r="AB19" i="68"/>
  <c r="AA19" i="68"/>
  <c r="Z19" i="68"/>
  <c r="Y19" i="68"/>
  <c r="X19" i="68"/>
  <c r="W19" i="68"/>
  <c r="V19" i="68"/>
  <c r="U19" i="68"/>
  <c r="T19" i="68"/>
  <c r="S19" i="68"/>
  <c r="R19" i="68"/>
  <c r="Q19" i="68"/>
  <c r="P19" i="68"/>
  <c r="O19" i="68"/>
  <c r="N19" i="68"/>
  <c r="AK18" i="68"/>
  <c r="AJ18" i="68"/>
  <c r="AI18" i="68"/>
  <c r="AH18" i="68"/>
  <c r="AG18" i="68"/>
  <c r="AF18" i="68"/>
  <c r="AE18" i="68"/>
  <c r="AD18" i="68"/>
  <c r="AC18" i="68"/>
  <c r="AB18" i="68"/>
  <c r="AA18" i="68"/>
  <c r="Z18" i="68"/>
  <c r="Y18" i="68"/>
  <c r="X18" i="68"/>
  <c r="W18" i="68"/>
  <c r="V18" i="68"/>
  <c r="U18" i="68"/>
  <c r="T18" i="68"/>
  <c r="S18" i="68"/>
  <c r="R18" i="68"/>
  <c r="Q18" i="68"/>
  <c r="P18" i="68"/>
  <c r="O18" i="68"/>
  <c r="N18" i="68"/>
  <c r="BB31" i="72" l="1"/>
  <c r="AL31" i="72"/>
  <c r="AL32" i="72" s="1"/>
  <c r="K31" i="72"/>
  <c r="I31" i="72"/>
  <c r="J31" i="72" s="1"/>
  <c r="D31" i="72"/>
  <c r="D32" i="72" s="1"/>
  <c r="AW31" i="72"/>
  <c r="AW32" i="72" s="1"/>
  <c r="AV31" i="72"/>
  <c r="AV32" i="72" s="1"/>
  <c r="AU31" i="72"/>
  <c r="AU32" i="72" s="1"/>
  <c r="AT31" i="72"/>
  <c r="AT32" i="72" s="1"/>
  <c r="AS31" i="72"/>
  <c r="AS32" i="72" s="1"/>
  <c r="AR31" i="72"/>
  <c r="AR32" i="72" s="1"/>
  <c r="AO31" i="72"/>
  <c r="AO32" i="72" s="1"/>
  <c r="AN31" i="72"/>
  <c r="AN32" i="72" s="1"/>
  <c r="AM31" i="72"/>
  <c r="AM32" i="72" s="1"/>
  <c r="AK31" i="72"/>
  <c r="AK32" i="72" s="1"/>
  <c r="AJ31" i="72"/>
  <c r="AJ32" i="72" s="1"/>
  <c r="AG31" i="72"/>
  <c r="AG32" i="72" s="1"/>
  <c r="AF31" i="72"/>
  <c r="AF32" i="72" s="1"/>
  <c r="AE31" i="72"/>
  <c r="AE32" i="72" s="1"/>
  <c r="AD31" i="72"/>
  <c r="AD32" i="72" s="1"/>
  <c r="AC31" i="72"/>
  <c r="AC32" i="72" s="1"/>
  <c r="AB31" i="72"/>
  <c r="AB32" i="72" s="1"/>
  <c r="Y31" i="72"/>
  <c r="Y32" i="72" s="1"/>
  <c r="X31" i="72"/>
  <c r="X32" i="72" s="1"/>
  <c r="W31" i="72"/>
  <c r="W32" i="72" s="1"/>
  <c r="V31" i="72"/>
  <c r="V32" i="72" s="1"/>
  <c r="U31" i="72"/>
  <c r="U32" i="72" s="1"/>
  <c r="T31" i="72"/>
  <c r="T32" i="72" s="1"/>
  <c r="Q31" i="72"/>
  <c r="Q32" i="72" s="1"/>
  <c r="P31" i="72"/>
  <c r="P32" i="72" s="1"/>
  <c r="O31" i="72"/>
  <c r="O32" i="72" s="1"/>
  <c r="N31" i="72"/>
  <c r="N32" i="72" s="1"/>
  <c r="M31" i="72"/>
  <c r="M32" i="72" s="1"/>
  <c r="L31" i="72"/>
  <c r="L32" i="72" s="1"/>
  <c r="H31" i="72"/>
  <c r="H32" i="72" s="1"/>
  <c r="G31" i="72"/>
  <c r="G32" i="72" s="1"/>
  <c r="F31" i="72"/>
  <c r="F32" i="72" s="1"/>
  <c r="E31" i="72"/>
  <c r="E32" i="72" s="1"/>
  <c r="P31" i="71"/>
  <c r="P32" i="71" s="1"/>
  <c r="D31" i="71"/>
  <c r="D32" i="71" s="1"/>
  <c r="I32" i="71"/>
  <c r="AG32" i="71"/>
  <c r="X32" i="71"/>
  <c r="O32" i="71"/>
  <c r="AW31" i="71"/>
  <c r="AW32" i="71" s="1"/>
  <c r="AV31" i="71"/>
  <c r="AV32" i="71" s="1"/>
  <c r="AU31" i="71"/>
  <c r="AU32" i="71" s="1"/>
  <c r="AT31" i="71"/>
  <c r="AT32" i="71" s="1"/>
  <c r="AS31" i="71"/>
  <c r="AS32" i="71" s="1"/>
  <c r="AR31" i="71"/>
  <c r="AO31" i="71"/>
  <c r="AO32" i="71" s="1"/>
  <c r="AN31" i="71"/>
  <c r="AN32" i="71" s="1"/>
  <c r="AM31" i="71"/>
  <c r="AM32" i="71" s="1"/>
  <c r="AL31" i="71"/>
  <c r="AL32" i="71" s="1"/>
  <c r="AK31" i="71"/>
  <c r="AK32" i="71" s="1"/>
  <c r="AJ31" i="71"/>
  <c r="AP31" i="71" s="1"/>
  <c r="AG31" i="71"/>
  <c r="AF31" i="71"/>
  <c r="AF32" i="71" s="1"/>
  <c r="AE31" i="71"/>
  <c r="AE32" i="71" s="1"/>
  <c r="AD31" i="71"/>
  <c r="AD32" i="71" s="1"/>
  <c r="AC31" i="71"/>
  <c r="AC32" i="71" s="1"/>
  <c r="AB31" i="71"/>
  <c r="AH31" i="71" s="1"/>
  <c r="Y31" i="71"/>
  <c r="Y32" i="71" s="1"/>
  <c r="X31" i="71"/>
  <c r="W31" i="71"/>
  <c r="W32" i="71" s="1"/>
  <c r="V31" i="71"/>
  <c r="V32" i="71" s="1"/>
  <c r="U31" i="71"/>
  <c r="U32" i="71" s="1"/>
  <c r="T31" i="71"/>
  <c r="T32" i="71" s="1"/>
  <c r="Q31" i="71"/>
  <c r="Q32" i="71" s="1"/>
  <c r="O31" i="71"/>
  <c r="N31" i="71"/>
  <c r="N32" i="71" s="1"/>
  <c r="M31" i="71"/>
  <c r="M32" i="71" s="1"/>
  <c r="L31" i="71"/>
  <c r="L32" i="71" s="1"/>
  <c r="I31" i="71"/>
  <c r="H31" i="71"/>
  <c r="H32" i="71" s="1"/>
  <c r="G31" i="71"/>
  <c r="G32" i="71" s="1"/>
  <c r="F31" i="71"/>
  <c r="F32" i="71" s="1"/>
  <c r="E31" i="71"/>
  <c r="E32" i="71" s="1"/>
  <c r="J29" i="71"/>
  <c r="AX31" i="71" l="1"/>
  <c r="I32" i="72"/>
  <c r="R31" i="72"/>
  <c r="R32" i="72" s="1"/>
  <c r="S31" i="72" s="1"/>
  <c r="Z31" i="72"/>
  <c r="Z32" i="72" s="1"/>
  <c r="AA31" i="72" s="1"/>
  <c r="AH31" i="72"/>
  <c r="AH32" i="72" s="1"/>
  <c r="AI31" i="72" s="1"/>
  <c r="AP31" i="72"/>
  <c r="AP32" i="72" s="1"/>
  <c r="AQ31" i="72" s="1"/>
  <c r="AX31" i="72"/>
  <c r="AR32" i="71"/>
  <c r="AJ32" i="71"/>
  <c r="AP32" i="71" s="1"/>
  <c r="AQ31" i="71" s="1"/>
  <c r="AB32" i="71"/>
  <c r="AH32" i="71" s="1"/>
  <c r="AI31" i="71" s="1"/>
  <c r="R31" i="71"/>
  <c r="R32" i="71" s="1"/>
  <c r="S31" i="71" s="1"/>
  <c r="Z31" i="71"/>
  <c r="Z32" i="71" s="1"/>
  <c r="AA31" i="71" s="1"/>
  <c r="J31" i="71"/>
  <c r="BA21" i="73" l="1"/>
  <c r="BB31" i="71"/>
  <c r="AX32" i="72"/>
  <c r="AY31" i="72" s="1"/>
  <c r="BA31" i="72" s="1"/>
  <c r="AT43" i="64" s="1"/>
  <c r="BC31" i="72"/>
  <c r="BF21" i="73"/>
  <c r="BC31" i="71"/>
  <c r="AX32" i="71"/>
  <c r="AY31" i="71" s="1"/>
  <c r="J32" i="72"/>
  <c r="J32" i="71"/>
  <c r="K31" i="71" s="1"/>
  <c r="BA31" i="71" l="1"/>
  <c r="AS43" i="64" s="1"/>
  <c r="T21" i="73" s="1"/>
  <c r="AB43" i="64"/>
  <c r="AA44" i="64" s="1"/>
  <c r="S44" i="64"/>
  <c r="Q44" i="64"/>
  <c r="Q43" i="64"/>
  <c r="O45" i="64"/>
  <c r="N45" i="64"/>
  <c r="M45" i="64"/>
  <c r="K44" i="64"/>
  <c r="F45" i="64"/>
  <c r="E45" i="64"/>
  <c r="R44" i="64"/>
  <c r="S43" i="64"/>
  <c r="R43" i="64"/>
  <c r="P43" i="64"/>
  <c r="G45" i="64"/>
  <c r="J44" i="64"/>
  <c r="I44" i="64"/>
  <c r="AC21" i="73" s="1"/>
  <c r="K43" i="64"/>
  <c r="J43" i="64"/>
  <c r="I43" i="64"/>
  <c r="H43" i="64"/>
  <c r="W42" i="64"/>
  <c r="U42" i="64"/>
  <c r="W41" i="64"/>
  <c r="U41" i="64"/>
  <c r="AM40" i="64"/>
  <c r="W40" i="64"/>
  <c r="U40" i="64"/>
  <c r="V9" i="68"/>
  <c r="BC19" i="64" s="1"/>
  <c r="N9" i="68"/>
  <c r="AK30" i="72"/>
  <c r="AX29" i="72"/>
  <c r="BC29" i="72" s="1"/>
  <c r="AP29" i="72"/>
  <c r="AH29" i="72"/>
  <c r="Z29" i="72"/>
  <c r="R29" i="72"/>
  <c r="J29" i="72"/>
  <c r="AT28" i="72"/>
  <c r="O28" i="72"/>
  <c r="I28" i="72"/>
  <c r="AX27" i="72"/>
  <c r="AP27" i="72"/>
  <c r="AH27" i="72"/>
  <c r="Z27" i="72"/>
  <c r="R27" i="72"/>
  <c r="J27" i="72"/>
  <c r="AR26" i="72"/>
  <c r="AX25" i="72"/>
  <c r="AP25" i="72"/>
  <c r="AH25" i="72"/>
  <c r="Z25" i="72"/>
  <c r="R25" i="72"/>
  <c r="J25" i="72"/>
  <c r="AE24" i="72"/>
  <c r="AD24" i="72"/>
  <c r="H24" i="72"/>
  <c r="AX23" i="72"/>
  <c r="AP23" i="72"/>
  <c r="AH23" i="72"/>
  <c r="Z23" i="72"/>
  <c r="R23" i="72"/>
  <c r="J23" i="72"/>
  <c r="AN22" i="72"/>
  <c r="AF22" i="72"/>
  <c r="AE22" i="72"/>
  <c r="N22" i="72"/>
  <c r="AX21" i="72"/>
  <c r="AP21" i="72"/>
  <c r="AH21" i="72"/>
  <c r="Z21" i="72"/>
  <c r="R21" i="72"/>
  <c r="J21" i="72"/>
  <c r="T20" i="72"/>
  <c r="N20" i="72"/>
  <c r="AX19" i="72"/>
  <c r="AP19" i="72"/>
  <c r="AH19" i="72"/>
  <c r="Z19" i="72"/>
  <c r="R19" i="72"/>
  <c r="J19" i="72"/>
  <c r="O18" i="72"/>
  <c r="L18" i="72"/>
  <c r="AX17" i="72"/>
  <c r="AP17" i="72"/>
  <c r="AH17" i="72"/>
  <c r="Z17" i="72"/>
  <c r="R17" i="72"/>
  <c r="J17" i="72"/>
  <c r="AR16" i="72"/>
  <c r="AO16" i="72"/>
  <c r="H16" i="72"/>
  <c r="D16" i="72"/>
  <c r="AX15" i="72"/>
  <c r="AP15" i="72"/>
  <c r="AH15" i="72"/>
  <c r="Z15" i="72"/>
  <c r="R15" i="72"/>
  <c r="BB15" i="72" s="1"/>
  <c r="J15" i="72"/>
  <c r="AT14" i="72"/>
  <c r="AO14" i="72"/>
  <c r="N14" i="72"/>
  <c r="E14" i="72"/>
  <c r="AX13" i="72"/>
  <c r="BC13" i="72" s="1"/>
  <c r="AP13" i="72"/>
  <c r="AH13" i="72"/>
  <c r="Z13" i="72"/>
  <c r="R13" i="72"/>
  <c r="J13" i="72"/>
  <c r="AT12" i="72"/>
  <c r="AR12" i="72"/>
  <c r="AX11" i="72"/>
  <c r="AP11" i="72"/>
  <c r="AH11" i="72"/>
  <c r="Z11" i="72"/>
  <c r="R11" i="72"/>
  <c r="J11" i="72"/>
  <c r="BB11" i="72" s="1"/>
  <c r="U10" i="72"/>
  <c r="T10" i="72"/>
  <c r="H10" i="72"/>
  <c r="AX9" i="72"/>
  <c r="AP9" i="72"/>
  <c r="AH9" i="72"/>
  <c r="Z9" i="72"/>
  <c r="R9" i="72"/>
  <c r="J9" i="72"/>
  <c r="AN8" i="72"/>
  <c r="AK8" i="72"/>
  <c r="V8" i="72"/>
  <c r="U8" i="72"/>
  <c r="I8" i="72"/>
  <c r="H8" i="72"/>
  <c r="AX7" i="72"/>
  <c r="AP7" i="72"/>
  <c r="AH7" i="72"/>
  <c r="Z7" i="72"/>
  <c r="R7" i="72"/>
  <c r="J7" i="72"/>
  <c r="AW4" i="72"/>
  <c r="AW22" i="72" s="1"/>
  <c r="AV4" i="72"/>
  <c r="AV22" i="72" s="1"/>
  <c r="AU4" i="72"/>
  <c r="AU26" i="72" s="1"/>
  <c r="AU24" i="72"/>
  <c r="AT4" i="72"/>
  <c r="AT22" i="72" s="1"/>
  <c r="AT26" i="72"/>
  <c r="AS4" i="72"/>
  <c r="AS22" i="72" s="1"/>
  <c r="AR4" i="72"/>
  <c r="AR22" i="72" s="1"/>
  <c r="AO4" i="72"/>
  <c r="AO30" i="72" s="1"/>
  <c r="AO18" i="72"/>
  <c r="AN4" i="72"/>
  <c r="AN16" i="72" s="1"/>
  <c r="AN20" i="72"/>
  <c r="AM4" i="72"/>
  <c r="AM8" i="72" s="1"/>
  <c r="AL4" i="72"/>
  <c r="AK4" i="72"/>
  <c r="AK14" i="72" s="1"/>
  <c r="AK26" i="72"/>
  <c r="AJ4" i="72"/>
  <c r="AJ10" i="72" s="1"/>
  <c r="AG4" i="72"/>
  <c r="AF4" i="72"/>
  <c r="AF30" i="72" s="1"/>
  <c r="AE4" i="72"/>
  <c r="AE16" i="72" s="1"/>
  <c r="AD4" i="72"/>
  <c r="AD26" i="72" s="1"/>
  <c r="AD22" i="72"/>
  <c r="AC4" i="72"/>
  <c r="AC10" i="72"/>
  <c r="AB4" i="72"/>
  <c r="AB12" i="72" s="1"/>
  <c r="Y4" i="72"/>
  <c r="Y26" i="72" s="1"/>
  <c r="X4" i="72"/>
  <c r="X20" i="72" s="1"/>
  <c r="X16" i="72"/>
  <c r="W4" i="72"/>
  <c r="W20" i="72"/>
  <c r="V4" i="72"/>
  <c r="V24" i="72" s="1"/>
  <c r="U4" i="72"/>
  <c r="U24" i="72" s="1"/>
  <c r="T4" i="72"/>
  <c r="T8" i="72" s="1"/>
  <c r="T24" i="72"/>
  <c r="Q4" i="72"/>
  <c r="Q8" i="72"/>
  <c r="P4" i="72"/>
  <c r="O4" i="72"/>
  <c r="O20" i="72" s="1"/>
  <c r="O16" i="72"/>
  <c r="N4" i="72"/>
  <c r="N18" i="72"/>
  <c r="M4" i="72"/>
  <c r="M28" i="72" s="1"/>
  <c r="L4" i="72"/>
  <c r="L10" i="72" s="1"/>
  <c r="L22" i="72"/>
  <c r="I4" i="72"/>
  <c r="I10" i="72" s="1"/>
  <c r="I26" i="72"/>
  <c r="H4" i="72"/>
  <c r="H30" i="72" s="1"/>
  <c r="H28" i="72"/>
  <c r="G4" i="72"/>
  <c r="G12" i="72" s="1"/>
  <c r="F4" i="72"/>
  <c r="E4" i="72"/>
  <c r="E20" i="72" s="1"/>
  <c r="D4" i="72"/>
  <c r="D24" i="72" s="1"/>
  <c r="AX29" i="71"/>
  <c r="AP29" i="71"/>
  <c r="AH29" i="71"/>
  <c r="Z29" i="71"/>
  <c r="R29" i="71"/>
  <c r="G28" i="71"/>
  <c r="AX27" i="71"/>
  <c r="AP27" i="71"/>
  <c r="AH27" i="71"/>
  <c r="Z27" i="71"/>
  <c r="R27" i="71"/>
  <c r="J27" i="71"/>
  <c r="AS26" i="71"/>
  <c r="H26" i="71"/>
  <c r="AX25" i="71"/>
  <c r="AP25" i="71"/>
  <c r="AH25" i="71"/>
  <c r="Z25" i="71"/>
  <c r="R25" i="71"/>
  <c r="BB25" i="71" s="1"/>
  <c r="J25" i="71"/>
  <c r="AX23" i="71"/>
  <c r="AP23" i="71"/>
  <c r="AH23" i="71"/>
  <c r="Z23" i="71"/>
  <c r="R23" i="71"/>
  <c r="J23" i="71"/>
  <c r="AU22" i="71"/>
  <c r="AN22" i="71"/>
  <c r="AE22" i="71"/>
  <c r="AX21" i="71"/>
  <c r="AP21" i="71"/>
  <c r="AH21" i="71"/>
  <c r="Z21" i="71"/>
  <c r="R21" i="71"/>
  <c r="J21" i="71"/>
  <c r="AF20" i="71"/>
  <c r="AD20" i="71"/>
  <c r="W20" i="71"/>
  <c r="L20" i="71"/>
  <c r="AX19" i="71"/>
  <c r="AP19" i="71"/>
  <c r="AH19" i="71"/>
  <c r="Z19" i="71"/>
  <c r="R19" i="71"/>
  <c r="J19" i="71"/>
  <c r="W18" i="71"/>
  <c r="M18" i="71"/>
  <c r="AX17" i="71"/>
  <c r="AP17" i="71"/>
  <c r="AH17" i="71"/>
  <c r="Z17" i="71"/>
  <c r="R17" i="71"/>
  <c r="J17" i="71"/>
  <c r="AX15" i="71"/>
  <c r="AP15" i="71"/>
  <c r="AH15" i="71"/>
  <c r="Z15" i="71"/>
  <c r="R15" i="71"/>
  <c r="J15" i="71"/>
  <c r="AJ14" i="71"/>
  <c r="H14" i="71"/>
  <c r="AX13" i="71"/>
  <c r="AP13" i="71"/>
  <c r="AH13" i="71"/>
  <c r="Z13" i="71"/>
  <c r="R13" i="71"/>
  <c r="J13" i="71"/>
  <c r="H12" i="71"/>
  <c r="G12" i="71"/>
  <c r="AX11" i="71"/>
  <c r="AP11" i="71"/>
  <c r="AH11" i="71"/>
  <c r="Z11" i="71"/>
  <c r="R11" i="71"/>
  <c r="J11" i="71"/>
  <c r="AU10" i="71"/>
  <c r="Q10" i="71"/>
  <c r="H10" i="71"/>
  <c r="AX9" i="71"/>
  <c r="AP9" i="71"/>
  <c r="AH9" i="71"/>
  <c r="Z9" i="71"/>
  <c r="R9" i="71"/>
  <c r="J9" i="71"/>
  <c r="AM8" i="71"/>
  <c r="AD8" i="71"/>
  <c r="L8" i="71"/>
  <c r="AW4" i="71"/>
  <c r="AW18" i="71" s="1"/>
  <c r="AV4" i="71"/>
  <c r="AU4" i="71"/>
  <c r="AU26" i="71" s="1"/>
  <c r="AU24" i="71"/>
  <c r="AT4" i="71"/>
  <c r="AT10" i="71" s="1"/>
  <c r="AS4" i="71"/>
  <c r="AS10" i="71" s="1"/>
  <c r="AR4" i="71"/>
  <c r="AR16" i="71" s="1"/>
  <c r="AO4" i="71"/>
  <c r="AO16" i="71" s="1"/>
  <c r="AN4" i="71"/>
  <c r="AN26" i="71" s="1"/>
  <c r="AN20" i="71"/>
  <c r="AM4" i="71"/>
  <c r="AM22" i="71" s="1"/>
  <c r="AP22" i="71" s="1"/>
  <c r="AQ21" i="71" s="1"/>
  <c r="AL4" i="71"/>
  <c r="AL24" i="71" s="1"/>
  <c r="AK4" i="71"/>
  <c r="AK12" i="71"/>
  <c r="AJ4" i="71"/>
  <c r="AJ10" i="71" s="1"/>
  <c r="AJ30" i="71"/>
  <c r="AG4" i="71"/>
  <c r="AG14" i="71" s="1"/>
  <c r="AF4" i="71"/>
  <c r="AF16" i="71" s="1"/>
  <c r="AF18" i="71"/>
  <c r="AE4" i="71"/>
  <c r="AE18" i="71" s="1"/>
  <c r="AE20" i="71"/>
  <c r="AD4" i="71"/>
  <c r="AD24" i="71" s="1"/>
  <c r="AD22" i="71"/>
  <c r="AC4" i="71"/>
  <c r="AC26" i="71" s="1"/>
  <c r="AB4" i="71"/>
  <c r="Y4" i="71"/>
  <c r="Y16" i="71" s="1"/>
  <c r="X4" i="71"/>
  <c r="X14" i="71" s="1"/>
  <c r="W4" i="71"/>
  <c r="W16" i="71" s="1"/>
  <c r="W30" i="71"/>
  <c r="V4" i="71"/>
  <c r="V18" i="71" s="1"/>
  <c r="U4" i="71"/>
  <c r="U20" i="71" s="1"/>
  <c r="U22" i="71"/>
  <c r="T4" i="71"/>
  <c r="T26" i="71" s="1"/>
  <c r="Z26" i="71" s="1"/>
  <c r="AA25" i="71" s="1"/>
  <c r="T24" i="71"/>
  <c r="Q4" i="71"/>
  <c r="Q26" i="71" s="1"/>
  <c r="Q28" i="71"/>
  <c r="P4" i="71"/>
  <c r="P26" i="71" s="1"/>
  <c r="O4" i="71"/>
  <c r="O14" i="71" s="1"/>
  <c r="N4" i="71"/>
  <c r="M4" i="71"/>
  <c r="M22" i="71" s="1"/>
  <c r="M20" i="71"/>
  <c r="L4" i="71"/>
  <c r="L24" i="71" s="1"/>
  <c r="L22" i="71"/>
  <c r="I4" i="71"/>
  <c r="I24" i="71" s="1"/>
  <c r="H4" i="71"/>
  <c r="H30" i="71" s="1"/>
  <c r="H28" i="71"/>
  <c r="G4" i="71"/>
  <c r="G14" i="71" s="1"/>
  <c r="G30" i="71"/>
  <c r="F4" i="71"/>
  <c r="E4" i="71"/>
  <c r="E10" i="71" s="1"/>
  <c r="E16" i="71"/>
  <c r="D4" i="71"/>
  <c r="D28" i="71" s="1"/>
  <c r="AG16" i="72"/>
  <c r="AG30" i="72"/>
  <c r="AG14" i="72"/>
  <c r="AG12" i="72"/>
  <c r="AG28" i="72"/>
  <c r="AG26" i="72"/>
  <c r="AG10" i="72"/>
  <c r="AG24" i="72"/>
  <c r="AG8" i="72"/>
  <c r="AG22" i="72"/>
  <c r="AL24" i="72"/>
  <c r="AL8" i="72"/>
  <c r="AL20" i="72"/>
  <c r="AL22" i="72"/>
  <c r="AL18" i="72"/>
  <c r="AL16" i="72"/>
  <c r="AL30" i="72"/>
  <c r="AL14" i="72"/>
  <c r="AL28" i="72"/>
  <c r="AV10" i="72"/>
  <c r="AB14" i="72"/>
  <c r="G16" i="72"/>
  <c r="AG18" i="72"/>
  <c r="AM24" i="72"/>
  <c r="W18" i="72"/>
  <c r="W16" i="72"/>
  <c r="W14" i="72"/>
  <c r="W30" i="72"/>
  <c r="W28" i="72"/>
  <c r="W12" i="72"/>
  <c r="W26" i="72"/>
  <c r="W10" i="72"/>
  <c r="W24" i="72"/>
  <c r="W8" i="72"/>
  <c r="P30" i="72"/>
  <c r="P14" i="72"/>
  <c r="P28" i="72"/>
  <c r="P12" i="72"/>
  <c r="P26" i="72"/>
  <c r="P24" i="72"/>
  <c r="P8" i="72"/>
  <c r="P22" i="72"/>
  <c r="P20" i="72"/>
  <c r="Q28" i="72"/>
  <c r="Q12" i="72"/>
  <c r="Q26" i="72"/>
  <c r="Q10" i="72"/>
  <c r="Q24" i="72"/>
  <c r="Q22" i="72"/>
  <c r="Q20" i="72"/>
  <c r="Q18" i="72"/>
  <c r="AC24" i="72"/>
  <c r="AC8" i="72"/>
  <c r="AC22" i="72"/>
  <c r="AC20" i="72"/>
  <c r="AC18" i="72"/>
  <c r="AC16" i="72"/>
  <c r="AC30" i="72"/>
  <c r="AC14" i="72"/>
  <c r="AC28" i="72"/>
  <c r="AW20" i="72"/>
  <c r="AW18" i="72"/>
  <c r="AW16" i="72"/>
  <c r="AW30" i="72"/>
  <c r="AW14" i="72"/>
  <c r="AX14" i="72" s="1"/>
  <c r="AY13" i="72" s="1"/>
  <c r="AW28" i="72"/>
  <c r="AW12" i="72"/>
  <c r="AW26" i="72"/>
  <c r="AW10" i="72"/>
  <c r="AC12" i="72"/>
  <c r="P16" i="72"/>
  <c r="M12" i="72"/>
  <c r="F16" i="72"/>
  <c r="F30" i="72"/>
  <c r="F14" i="72"/>
  <c r="F12" i="72"/>
  <c r="F28" i="72"/>
  <c r="F26" i="72"/>
  <c r="F10" i="72"/>
  <c r="F24" i="72"/>
  <c r="F8" i="72"/>
  <c r="F22" i="72"/>
  <c r="AV20" i="72"/>
  <c r="AV18" i="72"/>
  <c r="AV16" i="72"/>
  <c r="AV30" i="72"/>
  <c r="AV14" i="72"/>
  <c r="AV28" i="72"/>
  <c r="AV12" i="72"/>
  <c r="G26" i="72"/>
  <c r="AM22" i="72"/>
  <c r="AM18" i="72"/>
  <c r="AM20" i="72"/>
  <c r="AM16" i="72"/>
  <c r="AM30" i="72"/>
  <c r="AM14" i="72"/>
  <c r="AM28" i="72"/>
  <c r="AM12" i="72"/>
  <c r="Q16" i="72"/>
  <c r="P18" i="72"/>
  <c r="AV24" i="72"/>
  <c r="AC26" i="72"/>
  <c r="AS30" i="72"/>
  <c r="AL10" i="72"/>
  <c r="AL12" i="72"/>
  <c r="AG20" i="72"/>
  <c r="AS28" i="72"/>
  <c r="AS12" i="72"/>
  <c r="AS26" i="72"/>
  <c r="AS10" i="72"/>
  <c r="AS24" i="72"/>
  <c r="AS20" i="72"/>
  <c r="AS18" i="72"/>
  <c r="AV8" i="72"/>
  <c r="P10" i="72"/>
  <c r="AM10" i="72"/>
  <c r="Q14" i="72"/>
  <c r="AS14" i="72"/>
  <c r="F20" i="72"/>
  <c r="AL26" i="72"/>
  <c r="Q30" i="72"/>
  <c r="AW8" i="72"/>
  <c r="AS16" i="72"/>
  <c r="W22" i="72"/>
  <c r="AM26" i="72"/>
  <c r="AB26" i="72"/>
  <c r="AB10" i="72"/>
  <c r="AB24" i="72"/>
  <c r="AB8" i="72"/>
  <c r="AB22" i="72"/>
  <c r="AB20" i="72"/>
  <c r="AB18" i="72"/>
  <c r="AB16" i="72"/>
  <c r="AB30" i="72"/>
  <c r="F18" i="72"/>
  <c r="AB28" i="72"/>
  <c r="E8" i="72"/>
  <c r="N8" i="72"/>
  <c r="AF8" i="72"/>
  <c r="AO8" i="72"/>
  <c r="D10" i="72"/>
  <c r="V10" i="72"/>
  <c r="AE10" i="72"/>
  <c r="AN10" i="72"/>
  <c r="L12" i="72"/>
  <c r="U12" i="72"/>
  <c r="AD12" i="72"/>
  <c r="T14" i="72"/>
  <c r="AU14" i="72"/>
  <c r="I16" i="72"/>
  <c r="AK16" i="72"/>
  <c r="AT16" i="72"/>
  <c r="H18" i="72"/>
  <c r="Y20" i="72"/>
  <c r="AR20" i="72"/>
  <c r="O22" i="72"/>
  <c r="X22" i="72"/>
  <c r="E24" i="72"/>
  <c r="N24" i="72"/>
  <c r="AF24" i="72"/>
  <c r="AO24" i="72"/>
  <c r="D26" i="72"/>
  <c r="V26" i="72"/>
  <c r="AE26" i="72"/>
  <c r="AN26" i="72"/>
  <c r="L28" i="72"/>
  <c r="U28" i="72"/>
  <c r="AD28" i="72"/>
  <c r="T30" i="72"/>
  <c r="AU30" i="72"/>
  <c r="O8" i="72"/>
  <c r="X8" i="72"/>
  <c r="E10" i="72"/>
  <c r="N10" i="72"/>
  <c r="AF10" i="72"/>
  <c r="AO10" i="72"/>
  <c r="D12" i="72"/>
  <c r="V12" i="72"/>
  <c r="AE12" i="72"/>
  <c r="AN12" i="72"/>
  <c r="L14" i="72"/>
  <c r="U14" i="72"/>
  <c r="AD14" i="72"/>
  <c r="T16" i="72"/>
  <c r="AU16" i="72"/>
  <c r="I18" i="72"/>
  <c r="AK18" i="72"/>
  <c r="AT18" i="72"/>
  <c r="H20" i="72"/>
  <c r="Y22" i="72"/>
  <c r="O24" i="72"/>
  <c r="X24" i="72"/>
  <c r="E26" i="72"/>
  <c r="N26" i="72"/>
  <c r="AF26" i="72"/>
  <c r="AO26" i="72"/>
  <c r="D28" i="72"/>
  <c r="V28" i="72"/>
  <c r="AE28" i="72"/>
  <c r="AN28" i="72"/>
  <c r="L30" i="72"/>
  <c r="U30" i="72"/>
  <c r="AD30" i="72"/>
  <c r="Y8" i="72"/>
  <c r="AR8" i="72"/>
  <c r="O10" i="72"/>
  <c r="X10" i="72"/>
  <c r="E12" i="72"/>
  <c r="N12" i="72"/>
  <c r="AF12" i="72"/>
  <c r="AO12" i="72"/>
  <c r="D14" i="72"/>
  <c r="V14" i="72"/>
  <c r="AE14" i="72"/>
  <c r="AN14" i="72"/>
  <c r="L16" i="72"/>
  <c r="U16" i="72"/>
  <c r="AD16" i="72"/>
  <c r="T18" i="72"/>
  <c r="AU18" i="72"/>
  <c r="I20" i="72"/>
  <c r="AK20" i="72"/>
  <c r="AT20" i="72"/>
  <c r="H22" i="72"/>
  <c r="Y24" i="72"/>
  <c r="AR24" i="72"/>
  <c r="O26" i="72"/>
  <c r="X26" i="72"/>
  <c r="E28" i="72"/>
  <c r="N28" i="72"/>
  <c r="AF28" i="72"/>
  <c r="AO28" i="72"/>
  <c r="D30" i="72"/>
  <c r="V30" i="72"/>
  <c r="AE30" i="72"/>
  <c r="AN30" i="72"/>
  <c r="X28" i="72"/>
  <c r="E30" i="72"/>
  <c r="N30" i="72"/>
  <c r="AT8" i="72"/>
  <c r="Y12" i="72"/>
  <c r="O14" i="72"/>
  <c r="X14" i="72"/>
  <c r="E16" i="72"/>
  <c r="N16" i="72"/>
  <c r="D18" i="72"/>
  <c r="V18" i="72"/>
  <c r="AE18" i="72"/>
  <c r="AN18" i="72"/>
  <c r="L20" i="72"/>
  <c r="U20" i="72"/>
  <c r="AD20" i="72"/>
  <c r="T22" i="72"/>
  <c r="I24" i="72"/>
  <c r="AK24" i="72"/>
  <c r="AT24" i="72"/>
  <c r="H26" i="72"/>
  <c r="Y28" i="72"/>
  <c r="AR28" i="72"/>
  <c r="O30" i="72"/>
  <c r="X30" i="72"/>
  <c r="AK10" i="72"/>
  <c r="AT10" i="72"/>
  <c r="H12" i="72"/>
  <c r="Y14" i="72"/>
  <c r="AR14" i="72"/>
  <c r="P10" i="71"/>
  <c r="AB26" i="71"/>
  <c r="AB10" i="71"/>
  <c r="AB22" i="71"/>
  <c r="AB20" i="71"/>
  <c r="AB18" i="71"/>
  <c r="AB16" i="71"/>
  <c r="AB30" i="71"/>
  <c r="AB14" i="71"/>
  <c r="AL8" i="71"/>
  <c r="AL20" i="71"/>
  <c r="AL18" i="71"/>
  <c r="AL16" i="71"/>
  <c r="AL30" i="71"/>
  <c r="AL14" i="71"/>
  <c r="AL28" i="71"/>
  <c r="AL12" i="71"/>
  <c r="AV22" i="71"/>
  <c r="AV18" i="71"/>
  <c r="AV16" i="71"/>
  <c r="AV30" i="71"/>
  <c r="AV14" i="71"/>
  <c r="AV28" i="71"/>
  <c r="AV12" i="71"/>
  <c r="AV26" i="71"/>
  <c r="AV10" i="71"/>
  <c r="AB8" i="71"/>
  <c r="AB24" i="71"/>
  <c r="AB28" i="71"/>
  <c r="F16" i="71"/>
  <c r="F30" i="71"/>
  <c r="F28" i="71"/>
  <c r="F12" i="71"/>
  <c r="F26" i="71"/>
  <c r="F10" i="71"/>
  <c r="F24" i="71"/>
  <c r="F8" i="71"/>
  <c r="F22" i="71"/>
  <c r="F20" i="71"/>
  <c r="AK8" i="71"/>
  <c r="AL26" i="71"/>
  <c r="F14" i="71"/>
  <c r="O18" i="71"/>
  <c r="E20" i="71"/>
  <c r="AL10" i="71"/>
  <c r="AV20" i="71"/>
  <c r="AV24" i="71"/>
  <c r="Y12" i="71"/>
  <c r="AK28" i="71"/>
  <c r="AB12" i="71"/>
  <c r="F18" i="71"/>
  <c r="AK24" i="71"/>
  <c r="D20" i="71"/>
  <c r="D16" i="71"/>
  <c r="D30" i="71"/>
  <c r="D14" i="71"/>
  <c r="D12" i="71"/>
  <c r="D26" i="71"/>
  <c r="D10" i="71"/>
  <c r="D24" i="71"/>
  <c r="N18" i="71"/>
  <c r="N30" i="71"/>
  <c r="N14" i="71"/>
  <c r="N28" i="71"/>
  <c r="N12" i="71"/>
  <c r="N26" i="71"/>
  <c r="N10" i="71"/>
  <c r="N24" i="71"/>
  <c r="N8" i="71"/>
  <c r="N22" i="71"/>
  <c r="X16" i="71"/>
  <c r="X30" i="71"/>
  <c r="X28" i="71"/>
  <c r="X12" i="71"/>
  <c r="X26" i="71"/>
  <c r="X10" i="71"/>
  <c r="X24" i="71"/>
  <c r="X8" i="71"/>
  <c r="X22" i="71"/>
  <c r="X20" i="71"/>
  <c r="AJ28" i="71"/>
  <c r="AJ12" i="71"/>
  <c r="AJ26" i="71"/>
  <c r="AJ24" i="71"/>
  <c r="AJ8" i="71"/>
  <c r="AJ22" i="71"/>
  <c r="AJ20" i="71"/>
  <c r="AJ18" i="71"/>
  <c r="AJ16" i="71"/>
  <c r="AT26" i="71"/>
  <c r="AV8" i="71"/>
  <c r="P12" i="71"/>
  <c r="N16" i="71"/>
  <c r="N20" i="71"/>
  <c r="E12" i="71"/>
  <c r="E26" i="71"/>
  <c r="O16" i="71"/>
  <c r="O30" i="71"/>
  <c r="O28" i="71"/>
  <c r="O12" i="71"/>
  <c r="O26" i="71"/>
  <c r="O10" i="71"/>
  <c r="O24" i="71"/>
  <c r="O8" i="71"/>
  <c r="O22" i="71"/>
  <c r="O20" i="71"/>
  <c r="Y30" i="71"/>
  <c r="Y14" i="71"/>
  <c r="Y28" i="71"/>
  <c r="Y26" i="71"/>
  <c r="Y10" i="71"/>
  <c r="Y24" i="71"/>
  <c r="Y8" i="71"/>
  <c r="Y22" i="71"/>
  <c r="Y20" i="71"/>
  <c r="Y18" i="71"/>
  <c r="AK26" i="71"/>
  <c r="AK10" i="71"/>
  <c r="AK22" i="71"/>
  <c r="AK20" i="71"/>
  <c r="AK18" i="71"/>
  <c r="AK16" i="71"/>
  <c r="AK30" i="71"/>
  <c r="AK14" i="71"/>
  <c r="AL22" i="71"/>
  <c r="M8" i="71"/>
  <c r="AE8" i="71"/>
  <c r="AW8" i="71"/>
  <c r="L10" i="71"/>
  <c r="U10" i="71"/>
  <c r="AD10" i="71"/>
  <c r="AM10" i="71"/>
  <c r="T12" i="71"/>
  <c r="AU12" i="71"/>
  <c r="H16" i="71"/>
  <c r="Q16" i="71"/>
  <c r="AS16" i="71"/>
  <c r="G18" i="71"/>
  <c r="AR18" i="71"/>
  <c r="W22" i="71"/>
  <c r="AF22" i="71"/>
  <c r="AO22" i="71"/>
  <c r="M24" i="71"/>
  <c r="AE24" i="71"/>
  <c r="AW24" i="71"/>
  <c r="L26" i="71"/>
  <c r="U26" i="71"/>
  <c r="AD26" i="71"/>
  <c r="AM26" i="71"/>
  <c r="T28" i="71"/>
  <c r="AU28" i="71"/>
  <c r="W8" i="71"/>
  <c r="AF8" i="71"/>
  <c r="AO8" i="71"/>
  <c r="M10" i="71"/>
  <c r="AE10" i="71"/>
  <c r="AW10" i="71"/>
  <c r="L12" i="71"/>
  <c r="U12" i="71"/>
  <c r="AD12" i="71"/>
  <c r="AM12" i="71"/>
  <c r="T14" i="71"/>
  <c r="AU14" i="71"/>
  <c r="H18" i="71"/>
  <c r="Q18" i="71"/>
  <c r="AS18" i="71"/>
  <c r="G20" i="71"/>
  <c r="AR20" i="71"/>
  <c r="W24" i="71"/>
  <c r="AF24" i="71"/>
  <c r="AO24" i="71"/>
  <c r="M26" i="71"/>
  <c r="V26" i="71"/>
  <c r="AE26" i="71"/>
  <c r="AW26" i="71"/>
  <c r="L28" i="71"/>
  <c r="U28" i="71"/>
  <c r="AD28" i="71"/>
  <c r="AM28" i="71"/>
  <c r="T30" i="71"/>
  <c r="AU30" i="71"/>
  <c r="W10" i="71"/>
  <c r="AF10" i="71"/>
  <c r="AO10" i="71"/>
  <c r="M12" i="71"/>
  <c r="V12" i="71"/>
  <c r="AE12" i="71"/>
  <c r="AW12" i="71"/>
  <c r="L14" i="71"/>
  <c r="U14" i="71"/>
  <c r="AD14" i="71"/>
  <c r="AM14" i="71"/>
  <c r="T16" i="71"/>
  <c r="AU16" i="71"/>
  <c r="H20" i="71"/>
  <c r="Q20" i="71"/>
  <c r="AS20" i="71"/>
  <c r="G22" i="71"/>
  <c r="AR22" i="71"/>
  <c r="W26" i="71"/>
  <c r="AF26" i="71"/>
  <c r="AO26" i="71"/>
  <c r="M28" i="71"/>
  <c r="AE28" i="71"/>
  <c r="AN28" i="71"/>
  <c r="AW28" i="71"/>
  <c r="L30" i="71"/>
  <c r="U30" i="71"/>
  <c r="AD30" i="71"/>
  <c r="AM30" i="71"/>
  <c r="G8" i="71"/>
  <c r="AR8" i="71"/>
  <c r="AG10" i="71"/>
  <c r="W12" i="71"/>
  <c r="AF12" i="71"/>
  <c r="AO12" i="71"/>
  <c r="M14" i="71"/>
  <c r="AE14" i="71"/>
  <c r="AN14" i="71"/>
  <c r="AW14" i="71"/>
  <c r="L16" i="71"/>
  <c r="U16" i="71"/>
  <c r="AD16" i="71"/>
  <c r="AM16" i="71"/>
  <c r="T18" i="71"/>
  <c r="AU18" i="71"/>
  <c r="I20" i="71"/>
  <c r="H22" i="71"/>
  <c r="Q22" i="71"/>
  <c r="AS22" i="71"/>
  <c r="G24" i="71"/>
  <c r="AR24" i="71"/>
  <c r="W28" i="71"/>
  <c r="AF28" i="71"/>
  <c r="AO28" i="71"/>
  <c r="M30" i="71"/>
  <c r="AE30" i="71"/>
  <c r="AW30" i="71"/>
  <c r="H8" i="71"/>
  <c r="Q8" i="71"/>
  <c r="AS8" i="71"/>
  <c r="G10" i="71"/>
  <c r="AR10" i="71"/>
  <c r="W14" i="71"/>
  <c r="AF14" i="71"/>
  <c r="AO14" i="71"/>
  <c r="M16" i="71"/>
  <c r="AE16" i="71"/>
  <c r="AW16" i="71"/>
  <c r="L18" i="71"/>
  <c r="U18" i="71"/>
  <c r="AD18" i="71"/>
  <c r="AM18" i="71"/>
  <c r="T20" i="71"/>
  <c r="AU20" i="71"/>
  <c r="H24" i="71"/>
  <c r="Q24" i="71"/>
  <c r="AS24" i="71"/>
  <c r="G26" i="71"/>
  <c r="AR26" i="71"/>
  <c r="AF30" i="71"/>
  <c r="AO30" i="71"/>
  <c r="AU8" i="71"/>
  <c r="AM37" i="64"/>
  <c r="AM34" i="64"/>
  <c r="AM31" i="64"/>
  <c r="AM28" i="64"/>
  <c r="AM25" i="64"/>
  <c r="AM22" i="64"/>
  <c r="AM19" i="64"/>
  <c r="AM16" i="64"/>
  <c r="AM13" i="64"/>
  <c r="AM10" i="64"/>
  <c r="C1" i="68"/>
  <c r="C1" i="69"/>
  <c r="W39" i="64"/>
  <c r="W38" i="64"/>
  <c r="W37" i="64"/>
  <c r="W36" i="64"/>
  <c r="W35" i="64"/>
  <c r="W34" i="64"/>
  <c r="W33" i="64"/>
  <c r="W32" i="64"/>
  <c r="W31" i="64"/>
  <c r="W30" i="64"/>
  <c r="W29" i="64"/>
  <c r="W28" i="64"/>
  <c r="S21" i="74" s="1"/>
  <c r="W27" i="64"/>
  <c r="W26" i="64"/>
  <c r="W25" i="64"/>
  <c r="W24" i="64"/>
  <c r="W23" i="64"/>
  <c r="W22" i="64"/>
  <c r="W21" i="64"/>
  <c r="W20" i="64"/>
  <c r="W19" i="64"/>
  <c r="W18" i="64"/>
  <c r="W17" i="64"/>
  <c r="W16" i="64"/>
  <c r="S17" i="74" s="1"/>
  <c r="W15" i="64"/>
  <c r="W14" i="64"/>
  <c r="W13" i="64"/>
  <c r="X13" i="64" s="1"/>
  <c r="BB10" i="64"/>
  <c r="C2" i="69"/>
  <c r="BB37" i="64"/>
  <c r="BB34" i="64"/>
  <c r="BB31" i="64"/>
  <c r="BB28" i="64"/>
  <c r="BB25" i="64"/>
  <c r="BB22" i="64"/>
  <c r="BB19" i="64"/>
  <c r="BB16" i="64"/>
  <c r="BB13" i="64"/>
  <c r="BB7" i="64"/>
  <c r="N10" i="68"/>
  <c r="N52" i="68"/>
  <c r="AK52" i="68"/>
  <c r="AJ52" i="68"/>
  <c r="AI52" i="68"/>
  <c r="AH52" i="68"/>
  <c r="AG52" i="68"/>
  <c r="AF52" i="68"/>
  <c r="AE52" i="68"/>
  <c r="AD52" i="68"/>
  <c r="AC52" i="68"/>
  <c r="AB52" i="68"/>
  <c r="AA52" i="68"/>
  <c r="Z52" i="68"/>
  <c r="Y52" i="68"/>
  <c r="X52" i="68"/>
  <c r="W52" i="68"/>
  <c r="V52" i="68"/>
  <c r="U52" i="68"/>
  <c r="T52" i="68"/>
  <c r="S52" i="68"/>
  <c r="R52" i="68"/>
  <c r="Q52" i="68"/>
  <c r="P52" i="68"/>
  <c r="O52" i="68"/>
  <c r="AK51" i="68"/>
  <c r="AJ51" i="68"/>
  <c r="AI51" i="68"/>
  <c r="AH51" i="68"/>
  <c r="AG51" i="68"/>
  <c r="AF51" i="68"/>
  <c r="AE51" i="68"/>
  <c r="AD51" i="68"/>
  <c r="AC51" i="68"/>
  <c r="AB51" i="68"/>
  <c r="AA51" i="68"/>
  <c r="Z51" i="68"/>
  <c r="Y51" i="68"/>
  <c r="X51" i="68"/>
  <c r="W51" i="68"/>
  <c r="V51" i="68"/>
  <c r="U51" i="68"/>
  <c r="T51" i="68"/>
  <c r="S51" i="68"/>
  <c r="R51" i="68"/>
  <c r="Q51" i="68"/>
  <c r="P51" i="68"/>
  <c r="O51" i="68"/>
  <c r="N51" i="68"/>
  <c r="AK50" i="68"/>
  <c r="AJ50" i="68"/>
  <c r="AI50" i="68"/>
  <c r="AH50" i="68"/>
  <c r="AG50" i="68"/>
  <c r="AF50" i="68"/>
  <c r="AE50" i="68"/>
  <c r="AD50" i="68"/>
  <c r="AC50" i="68"/>
  <c r="AB50" i="68"/>
  <c r="AA50" i="68"/>
  <c r="Z50" i="68"/>
  <c r="Y50" i="68"/>
  <c r="X50" i="68"/>
  <c r="W50" i="68"/>
  <c r="V50" i="68"/>
  <c r="U50" i="68"/>
  <c r="T50" i="68"/>
  <c r="S50" i="68"/>
  <c r="R50" i="68"/>
  <c r="Q50" i="68"/>
  <c r="P50" i="68"/>
  <c r="O50" i="68"/>
  <c r="N50" i="68"/>
  <c r="AK49" i="68"/>
  <c r="AJ49" i="68"/>
  <c r="AI49" i="68"/>
  <c r="AH49" i="68"/>
  <c r="AG49" i="68"/>
  <c r="AF49" i="68"/>
  <c r="AE49" i="68"/>
  <c r="AD49" i="68"/>
  <c r="AC49" i="68"/>
  <c r="AB49" i="68"/>
  <c r="AA49" i="68"/>
  <c r="Z49" i="68"/>
  <c r="Y49" i="68"/>
  <c r="X49" i="68"/>
  <c r="W49" i="68"/>
  <c r="V49" i="68"/>
  <c r="U49" i="68"/>
  <c r="T49" i="68"/>
  <c r="S49" i="68"/>
  <c r="R49" i="68"/>
  <c r="Q49" i="68"/>
  <c r="P49" i="68"/>
  <c r="O49" i="68"/>
  <c r="N49" i="68"/>
  <c r="AK48" i="68"/>
  <c r="AJ48" i="68"/>
  <c r="AI48" i="68"/>
  <c r="AH48" i="68"/>
  <c r="AG48" i="68"/>
  <c r="AF48" i="68"/>
  <c r="AE48" i="68"/>
  <c r="AD48" i="68"/>
  <c r="AC48" i="68"/>
  <c r="AB48" i="68"/>
  <c r="AA48" i="68"/>
  <c r="Z48" i="68"/>
  <c r="Y48" i="68"/>
  <c r="X48" i="68"/>
  <c r="W48" i="68"/>
  <c r="V48" i="68"/>
  <c r="U48" i="68"/>
  <c r="T48" i="68"/>
  <c r="S48" i="68"/>
  <c r="R48" i="68"/>
  <c r="Q48" i="68"/>
  <c r="P48" i="68"/>
  <c r="O48" i="68"/>
  <c r="N48" i="68"/>
  <c r="AK38" i="68"/>
  <c r="AJ38" i="68"/>
  <c r="AI38" i="68"/>
  <c r="AH38" i="68"/>
  <c r="AG38" i="68"/>
  <c r="AF38" i="68"/>
  <c r="AE38" i="68"/>
  <c r="AD38" i="68"/>
  <c r="AC38" i="68"/>
  <c r="AB38" i="68"/>
  <c r="AA38" i="68"/>
  <c r="Z38" i="68"/>
  <c r="Y38" i="68"/>
  <c r="X38" i="68"/>
  <c r="W38" i="68"/>
  <c r="V38" i="68"/>
  <c r="U38" i="68"/>
  <c r="T38" i="68"/>
  <c r="S38" i="68"/>
  <c r="R38" i="68"/>
  <c r="Q38" i="68"/>
  <c r="P38" i="68"/>
  <c r="O38" i="68"/>
  <c r="N38" i="68"/>
  <c r="AK37" i="68"/>
  <c r="AJ37" i="68"/>
  <c r="AI37" i="68"/>
  <c r="AH37" i="68"/>
  <c r="AG37" i="68"/>
  <c r="AF37" i="68"/>
  <c r="AE37" i="68"/>
  <c r="AD37" i="68"/>
  <c r="AC37" i="68"/>
  <c r="AB37" i="68"/>
  <c r="AA37" i="68"/>
  <c r="Z37" i="68"/>
  <c r="Y37" i="68"/>
  <c r="X37" i="68"/>
  <c r="W37" i="68"/>
  <c r="V37" i="68"/>
  <c r="U37" i="68"/>
  <c r="T37" i="68"/>
  <c r="S37" i="68"/>
  <c r="R37" i="68"/>
  <c r="Q37" i="68"/>
  <c r="P37" i="68"/>
  <c r="O37" i="68"/>
  <c r="N37" i="68"/>
  <c r="AK36" i="68"/>
  <c r="AJ36" i="68"/>
  <c r="AI36" i="68"/>
  <c r="AH36" i="68"/>
  <c r="AG36" i="68"/>
  <c r="AF36" i="68"/>
  <c r="AE36" i="68"/>
  <c r="AD36" i="68"/>
  <c r="AC36" i="68"/>
  <c r="AB36" i="68"/>
  <c r="AA36" i="68"/>
  <c r="Z36" i="68"/>
  <c r="Y36" i="68"/>
  <c r="X36" i="68"/>
  <c r="W36" i="68"/>
  <c r="V36" i="68"/>
  <c r="U36" i="68"/>
  <c r="T36" i="68"/>
  <c r="S36" i="68"/>
  <c r="R36" i="68"/>
  <c r="Q36" i="68"/>
  <c r="P36" i="68"/>
  <c r="O36" i="68"/>
  <c r="N36" i="68"/>
  <c r="AK35" i="68"/>
  <c r="AJ35" i="68"/>
  <c r="AI35" i="68"/>
  <c r="AH35" i="68"/>
  <c r="AG35" i="68"/>
  <c r="AF35" i="68"/>
  <c r="AE35" i="68"/>
  <c r="AD35" i="68"/>
  <c r="AC35" i="68"/>
  <c r="AB35" i="68"/>
  <c r="AA35" i="68"/>
  <c r="Z35" i="68"/>
  <c r="Y35" i="68"/>
  <c r="X35" i="68"/>
  <c r="W35" i="68"/>
  <c r="V35" i="68"/>
  <c r="U35" i="68"/>
  <c r="T35" i="68"/>
  <c r="S35" i="68"/>
  <c r="R35" i="68"/>
  <c r="Q35" i="68"/>
  <c r="P35" i="68"/>
  <c r="O35" i="68"/>
  <c r="N35" i="68"/>
  <c r="AK34" i="68"/>
  <c r="AJ34" i="68"/>
  <c r="AI34" i="68"/>
  <c r="AH34" i="68"/>
  <c r="AG34" i="68"/>
  <c r="AF34" i="68"/>
  <c r="AE34" i="68"/>
  <c r="AD34" i="68"/>
  <c r="AC34" i="68"/>
  <c r="AB34" i="68"/>
  <c r="AA34" i="68"/>
  <c r="Z34" i="68"/>
  <c r="Y34" i="68"/>
  <c r="X34" i="68"/>
  <c r="W34" i="68"/>
  <c r="V34" i="68"/>
  <c r="U34" i="68"/>
  <c r="T34" i="68"/>
  <c r="S34" i="68"/>
  <c r="R34" i="68"/>
  <c r="Q34" i="68"/>
  <c r="P34" i="68"/>
  <c r="O34" i="68"/>
  <c r="N34" i="68"/>
  <c r="AK33" i="68"/>
  <c r="AJ33" i="68"/>
  <c r="AI33" i="68"/>
  <c r="AH33" i="68"/>
  <c r="AG33" i="68"/>
  <c r="AF33" i="68"/>
  <c r="AE33" i="68"/>
  <c r="AD33" i="68"/>
  <c r="AC33" i="68"/>
  <c r="AB33" i="68"/>
  <c r="AA33" i="68"/>
  <c r="Z33" i="68"/>
  <c r="Y33" i="68"/>
  <c r="X33" i="68"/>
  <c r="W33" i="68"/>
  <c r="V33" i="68"/>
  <c r="U33" i="68"/>
  <c r="T33" i="68"/>
  <c r="S33" i="68"/>
  <c r="R33" i="68"/>
  <c r="Q33" i="68"/>
  <c r="P33" i="68"/>
  <c r="O33" i="68"/>
  <c r="N33" i="68"/>
  <c r="AK32" i="68"/>
  <c r="AJ32" i="68"/>
  <c r="AI32" i="68"/>
  <c r="AH32" i="68"/>
  <c r="AG32" i="68"/>
  <c r="AF32" i="68"/>
  <c r="AE32" i="68"/>
  <c r="AD32" i="68"/>
  <c r="AC32" i="68"/>
  <c r="AB32" i="68"/>
  <c r="AA32" i="68"/>
  <c r="Z32" i="68"/>
  <c r="Y32" i="68"/>
  <c r="X32" i="68"/>
  <c r="W32" i="68"/>
  <c r="V32" i="68"/>
  <c r="U32" i="68"/>
  <c r="T32" i="68"/>
  <c r="S32" i="68"/>
  <c r="R32" i="68"/>
  <c r="Q32" i="68"/>
  <c r="P32" i="68"/>
  <c r="O32" i="68"/>
  <c r="N32" i="68"/>
  <c r="AK31" i="68"/>
  <c r="AJ31" i="68"/>
  <c r="AI31" i="68"/>
  <c r="AH31" i="68"/>
  <c r="AG31" i="68"/>
  <c r="AF31" i="68"/>
  <c r="AE31" i="68"/>
  <c r="AD31" i="68"/>
  <c r="AC31" i="68"/>
  <c r="AB31" i="68"/>
  <c r="AA31" i="68"/>
  <c r="Z31" i="68"/>
  <c r="Y31" i="68"/>
  <c r="X31" i="68"/>
  <c r="W31" i="68"/>
  <c r="V31" i="68"/>
  <c r="U31" i="68"/>
  <c r="T31" i="68"/>
  <c r="S31" i="68"/>
  <c r="R31" i="68"/>
  <c r="Q31" i="68"/>
  <c r="P31" i="68"/>
  <c r="O31" i="68"/>
  <c r="N31" i="68"/>
  <c r="AK30" i="68"/>
  <c r="AJ30" i="68"/>
  <c r="AI30" i="68"/>
  <c r="AH30" i="68"/>
  <c r="AG30" i="68"/>
  <c r="AF30" i="68"/>
  <c r="AE30" i="68"/>
  <c r="AD30" i="68"/>
  <c r="AC30" i="68"/>
  <c r="AB30" i="68"/>
  <c r="AA30" i="68"/>
  <c r="Z30" i="68"/>
  <c r="Y30" i="68"/>
  <c r="X30" i="68"/>
  <c r="W30" i="68"/>
  <c r="V30" i="68"/>
  <c r="U30" i="68"/>
  <c r="T30" i="68"/>
  <c r="S30" i="68"/>
  <c r="R30" i="68"/>
  <c r="Q30" i="68"/>
  <c r="P30" i="68"/>
  <c r="O30" i="68"/>
  <c r="N30" i="68"/>
  <c r="AK29" i="68"/>
  <c r="AJ29" i="68"/>
  <c r="AI29" i="68"/>
  <c r="AH29" i="68"/>
  <c r="AG29" i="68"/>
  <c r="AF29" i="68"/>
  <c r="AE29" i="68"/>
  <c r="AD29" i="68"/>
  <c r="AC29" i="68"/>
  <c r="AB29" i="68"/>
  <c r="AA29" i="68"/>
  <c r="Z29" i="68"/>
  <c r="Y29" i="68"/>
  <c r="X29" i="68"/>
  <c r="W29" i="68"/>
  <c r="V29" i="68"/>
  <c r="U29" i="68"/>
  <c r="T29" i="68"/>
  <c r="S29" i="68"/>
  <c r="R29" i="68"/>
  <c r="Q29" i="68"/>
  <c r="P29" i="68"/>
  <c r="O29" i="68"/>
  <c r="N29" i="68"/>
  <c r="AK28" i="68"/>
  <c r="AJ28" i="68"/>
  <c r="AI28" i="68"/>
  <c r="AH28" i="68"/>
  <c r="AG28" i="68"/>
  <c r="AF28" i="68"/>
  <c r="AE28" i="68"/>
  <c r="AD28" i="68"/>
  <c r="AC28" i="68"/>
  <c r="AB28" i="68"/>
  <c r="AA28" i="68"/>
  <c r="Z28" i="68"/>
  <c r="Y28" i="68"/>
  <c r="X28" i="68"/>
  <c r="W28" i="68"/>
  <c r="V28" i="68"/>
  <c r="U28" i="68"/>
  <c r="T28" i="68"/>
  <c r="S28" i="68"/>
  <c r="R28" i="68"/>
  <c r="Q28" i="68"/>
  <c r="P28" i="68"/>
  <c r="O28" i="68"/>
  <c r="N28" i="68"/>
  <c r="AK17" i="68"/>
  <c r="AJ17" i="68"/>
  <c r="AI17" i="68"/>
  <c r="AH17" i="68"/>
  <c r="AG17" i="68"/>
  <c r="AF17" i="68"/>
  <c r="AE17" i="68"/>
  <c r="AD17" i="68"/>
  <c r="AC17" i="68"/>
  <c r="AB17" i="68"/>
  <c r="AA17" i="68"/>
  <c r="Z17" i="68"/>
  <c r="Y17" i="68"/>
  <c r="X17" i="68"/>
  <c r="W17" i="68"/>
  <c r="V17" i="68"/>
  <c r="U17" i="68"/>
  <c r="T17" i="68"/>
  <c r="S17" i="68"/>
  <c r="R17" i="68"/>
  <c r="Q17" i="68"/>
  <c r="P17" i="68"/>
  <c r="O17" i="68"/>
  <c r="N17" i="68"/>
  <c r="AK16" i="68"/>
  <c r="AJ16" i="68"/>
  <c r="AI16" i="68"/>
  <c r="AH16" i="68"/>
  <c r="AG16" i="68"/>
  <c r="AF16" i="68"/>
  <c r="AE16" i="68"/>
  <c r="AD16" i="68"/>
  <c r="AC16" i="68"/>
  <c r="AB16" i="68"/>
  <c r="AA16" i="68"/>
  <c r="Z16" i="68"/>
  <c r="Y16" i="68"/>
  <c r="X16" i="68"/>
  <c r="W16" i="68"/>
  <c r="V16" i="68"/>
  <c r="U16" i="68"/>
  <c r="T16" i="68"/>
  <c r="S16" i="68"/>
  <c r="R16" i="68"/>
  <c r="Q16" i="68"/>
  <c r="P16" i="68"/>
  <c r="O16" i="68"/>
  <c r="N16" i="68"/>
  <c r="AK15" i="68"/>
  <c r="AJ15" i="68"/>
  <c r="AI15" i="68"/>
  <c r="AH15" i="68"/>
  <c r="AG15" i="68"/>
  <c r="AF15" i="68"/>
  <c r="AE15" i="68"/>
  <c r="AD15" i="68"/>
  <c r="AC15" i="68"/>
  <c r="AB15" i="68"/>
  <c r="AA15" i="68"/>
  <c r="Z15" i="68"/>
  <c r="Y15" i="68"/>
  <c r="X15" i="68"/>
  <c r="W15" i="68"/>
  <c r="V15" i="68"/>
  <c r="U15" i="68"/>
  <c r="T15" i="68"/>
  <c r="S15" i="68"/>
  <c r="R15" i="68"/>
  <c r="Q15" i="68"/>
  <c r="P15" i="68"/>
  <c r="O15" i="68"/>
  <c r="N15" i="68"/>
  <c r="AK14" i="68"/>
  <c r="AJ14" i="68"/>
  <c r="AI14" i="68"/>
  <c r="AH14" i="68"/>
  <c r="AG14" i="68"/>
  <c r="AF14" i="68"/>
  <c r="AE14" i="68"/>
  <c r="AD14" i="68"/>
  <c r="AC14" i="68"/>
  <c r="AB14" i="68"/>
  <c r="AA14" i="68"/>
  <c r="Z14" i="68"/>
  <c r="Y14" i="68"/>
  <c r="X14" i="68"/>
  <c r="W14" i="68"/>
  <c r="V14" i="68"/>
  <c r="U14" i="68"/>
  <c r="T14" i="68"/>
  <c r="S14" i="68"/>
  <c r="R14" i="68"/>
  <c r="Q14" i="68"/>
  <c r="P14" i="68"/>
  <c r="O14" i="68"/>
  <c r="N14" i="68"/>
  <c r="AK13" i="68"/>
  <c r="AJ13" i="68"/>
  <c r="AI13" i="68"/>
  <c r="AH13" i="68"/>
  <c r="AG13" i="68"/>
  <c r="AF13" i="68"/>
  <c r="AE13" i="68"/>
  <c r="AD13" i="68"/>
  <c r="AC13" i="68"/>
  <c r="AB13" i="68"/>
  <c r="AA13" i="68"/>
  <c r="Z13" i="68"/>
  <c r="Y13" i="68"/>
  <c r="X13" i="68"/>
  <c r="W13" i="68"/>
  <c r="V13" i="68"/>
  <c r="U13" i="68"/>
  <c r="T13" i="68"/>
  <c r="S13" i="68"/>
  <c r="R13" i="68"/>
  <c r="Q13" i="68"/>
  <c r="P13" i="68"/>
  <c r="O13" i="68"/>
  <c r="N13" i="68"/>
  <c r="AK12" i="68"/>
  <c r="AJ12" i="68"/>
  <c r="AI12" i="68"/>
  <c r="AH12" i="68"/>
  <c r="AG12" i="68"/>
  <c r="AF12" i="68"/>
  <c r="AE12" i="68"/>
  <c r="AD12" i="68"/>
  <c r="AC12" i="68"/>
  <c r="AB12" i="68"/>
  <c r="AA12" i="68"/>
  <c r="Z12" i="68"/>
  <c r="Y12" i="68"/>
  <c r="X12" i="68"/>
  <c r="W12" i="68"/>
  <c r="V12" i="68"/>
  <c r="U12" i="68"/>
  <c r="T12" i="68"/>
  <c r="S12" i="68"/>
  <c r="R12" i="68"/>
  <c r="Q12" i="68"/>
  <c r="P12" i="68"/>
  <c r="O12" i="68"/>
  <c r="N12" i="68"/>
  <c r="AK11" i="68"/>
  <c r="AJ11" i="68"/>
  <c r="AI11" i="68"/>
  <c r="AH11" i="68"/>
  <c r="AG11" i="68"/>
  <c r="AF11" i="68"/>
  <c r="AE11" i="68"/>
  <c r="AD11" i="68"/>
  <c r="AC11" i="68"/>
  <c r="AB11" i="68"/>
  <c r="AA11" i="68"/>
  <c r="Z11" i="68"/>
  <c r="Y11" i="68"/>
  <c r="X11" i="68"/>
  <c r="W11" i="68"/>
  <c r="V11" i="68"/>
  <c r="U11" i="68"/>
  <c r="T11" i="68"/>
  <c r="S11" i="68"/>
  <c r="R11" i="68"/>
  <c r="Q11" i="68"/>
  <c r="P11" i="68"/>
  <c r="O11" i="68"/>
  <c r="N11" i="68"/>
  <c r="AK10" i="68"/>
  <c r="AJ10" i="68"/>
  <c r="AI10" i="68"/>
  <c r="AH10" i="68"/>
  <c r="AG10" i="68"/>
  <c r="AF10" i="68"/>
  <c r="AE10" i="68"/>
  <c r="AD10" i="68"/>
  <c r="AC10" i="68"/>
  <c r="AB10" i="68"/>
  <c r="AA10" i="68"/>
  <c r="Z10" i="68"/>
  <c r="Y10" i="68"/>
  <c r="X10" i="68"/>
  <c r="W10" i="68"/>
  <c r="V10" i="68"/>
  <c r="U10" i="68"/>
  <c r="T10" i="68"/>
  <c r="S10" i="68"/>
  <c r="R10" i="68"/>
  <c r="Q10" i="68"/>
  <c r="P10" i="68"/>
  <c r="O10" i="68"/>
  <c r="AK9" i="68"/>
  <c r="AJ9" i="68"/>
  <c r="AI9" i="68"/>
  <c r="AH9" i="68"/>
  <c r="AG9" i="68"/>
  <c r="AF9" i="68"/>
  <c r="AE9" i="68"/>
  <c r="AD9" i="68"/>
  <c r="AC9" i="68"/>
  <c r="AB9" i="68"/>
  <c r="AA9" i="68"/>
  <c r="Z9" i="68"/>
  <c r="Y9" i="68"/>
  <c r="X9" i="68"/>
  <c r="W9" i="68"/>
  <c r="U9" i="68"/>
  <c r="T9" i="68"/>
  <c r="S9" i="68"/>
  <c r="R9" i="68"/>
  <c r="Q9" i="68"/>
  <c r="P9" i="68"/>
  <c r="BC10" i="64" s="1"/>
  <c r="O9" i="68"/>
  <c r="C2" i="68"/>
  <c r="L53" i="68"/>
  <c r="L54" i="68" s="1"/>
  <c r="L39" i="68"/>
  <c r="L40" i="68" s="1"/>
  <c r="U19" i="64"/>
  <c r="U39" i="64"/>
  <c r="U38" i="64"/>
  <c r="U37" i="64"/>
  <c r="U36" i="64"/>
  <c r="U35" i="64"/>
  <c r="U34" i="64"/>
  <c r="U33" i="64"/>
  <c r="U32" i="64"/>
  <c r="U31" i="64"/>
  <c r="U30" i="64"/>
  <c r="U29" i="64"/>
  <c r="U28" i="64"/>
  <c r="U27" i="64"/>
  <c r="U26" i="64"/>
  <c r="U25" i="64"/>
  <c r="U24" i="64"/>
  <c r="U23" i="64"/>
  <c r="U22" i="64"/>
  <c r="U21" i="64"/>
  <c r="U20" i="64"/>
  <c r="U18" i="64"/>
  <c r="U17" i="64"/>
  <c r="U16" i="64"/>
  <c r="AL30" i="67"/>
  <c r="AJ30" i="67"/>
  <c r="AH30" i="67"/>
  <c r="AF30" i="67"/>
  <c r="AD30" i="67"/>
  <c r="AB30" i="67"/>
  <c r="Z30" i="67"/>
  <c r="X30" i="67"/>
  <c r="V30" i="67"/>
  <c r="T30" i="67"/>
  <c r="R30" i="67"/>
  <c r="P30" i="67"/>
  <c r="N29" i="67"/>
  <c r="N31" i="67"/>
  <c r="AM28" i="67"/>
  <c r="AL28" i="67"/>
  <c r="AK28" i="67"/>
  <c r="AJ28" i="67"/>
  <c r="AI28" i="67"/>
  <c r="AH28" i="67"/>
  <c r="AG28" i="67"/>
  <c r="AF28" i="67"/>
  <c r="AE28" i="67"/>
  <c r="AD28" i="67"/>
  <c r="AC28" i="67"/>
  <c r="AB28" i="67"/>
  <c r="AA28" i="67"/>
  <c r="Z28" i="67"/>
  <c r="Y28" i="67"/>
  <c r="X28" i="67"/>
  <c r="W28" i="67"/>
  <c r="V28" i="67"/>
  <c r="U28" i="67"/>
  <c r="T28" i="67"/>
  <c r="S28" i="67"/>
  <c r="R28" i="67"/>
  <c r="Q28" i="67"/>
  <c r="P28" i="67"/>
  <c r="AM27" i="67"/>
  <c r="AL27" i="67"/>
  <c r="AK27" i="67"/>
  <c r="AJ27" i="67"/>
  <c r="AI27" i="67"/>
  <c r="AH27" i="67"/>
  <c r="AG27" i="67"/>
  <c r="AF27" i="67"/>
  <c r="AE27" i="67"/>
  <c r="AD27" i="67"/>
  <c r="AC27" i="67"/>
  <c r="AB27" i="67"/>
  <c r="AA27" i="67"/>
  <c r="Z27" i="67"/>
  <c r="Y27" i="67"/>
  <c r="X27" i="67"/>
  <c r="W27" i="67"/>
  <c r="V27" i="67"/>
  <c r="U27" i="67"/>
  <c r="T27" i="67"/>
  <c r="S27" i="67"/>
  <c r="R27" i="67"/>
  <c r="Q27" i="67"/>
  <c r="P27"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AM25" i="67"/>
  <c r="AL25" i="67"/>
  <c r="AK25" i="67"/>
  <c r="AJ25" i="67"/>
  <c r="AI25" i="67"/>
  <c r="AH25" i="67"/>
  <c r="AG25" i="67"/>
  <c r="AF25" i="67"/>
  <c r="AE25" i="67"/>
  <c r="AD25" i="67"/>
  <c r="AC25" i="67"/>
  <c r="AB25" i="67"/>
  <c r="AA25" i="67"/>
  <c r="Z25" i="67"/>
  <c r="Y25" i="67"/>
  <c r="X25" i="67"/>
  <c r="W25" i="67"/>
  <c r="V25" i="67"/>
  <c r="U25" i="67"/>
  <c r="T25" i="67"/>
  <c r="S25" i="67"/>
  <c r="R25" i="67"/>
  <c r="Q25" i="67"/>
  <c r="P25" i="67"/>
  <c r="AM24" i="67"/>
  <c r="AL24" i="67"/>
  <c r="AK24" i="67"/>
  <c r="AJ24" i="67"/>
  <c r="AI24" i="67"/>
  <c r="AH24" i="67"/>
  <c r="AG24" i="67"/>
  <c r="AF24" i="67"/>
  <c r="AE24" i="67"/>
  <c r="AD24" i="67"/>
  <c r="AC24" i="67"/>
  <c r="AB24" i="67"/>
  <c r="AA24" i="67"/>
  <c r="Z24" i="67"/>
  <c r="Y24" i="67"/>
  <c r="X24" i="67"/>
  <c r="W24" i="67"/>
  <c r="V24" i="67"/>
  <c r="U24" i="67"/>
  <c r="T24" i="67"/>
  <c r="S24" i="67"/>
  <c r="R24" i="67"/>
  <c r="Q24" i="67"/>
  <c r="P24" i="67"/>
  <c r="AM23" i="67"/>
  <c r="AL23" i="67"/>
  <c r="AK23" i="67"/>
  <c r="AJ23" i="67"/>
  <c r="AI23" i="67"/>
  <c r="AH23" i="67"/>
  <c r="AG23" i="67"/>
  <c r="AF23" i="67"/>
  <c r="AE23" i="67"/>
  <c r="AD23" i="67"/>
  <c r="AC23" i="67"/>
  <c r="AB23" i="67"/>
  <c r="AA23" i="67"/>
  <c r="Z23" i="67"/>
  <c r="Y23" i="67"/>
  <c r="X23" i="67"/>
  <c r="W23" i="67"/>
  <c r="V23" i="67"/>
  <c r="U23" i="67"/>
  <c r="T23" i="67"/>
  <c r="S23" i="67"/>
  <c r="R23" i="67"/>
  <c r="Q23" i="67"/>
  <c r="P23" i="67"/>
  <c r="AM22" i="67"/>
  <c r="AL22" i="67"/>
  <c r="AK22" i="67"/>
  <c r="AJ22" i="67"/>
  <c r="AI22" i="67"/>
  <c r="AH22" i="67"/>
  <c r="AG22" i="67"/>
  <c r="AF22" i="67"/>
  <c r="AE22" i="67"/>
  <c r="AD22" i="67"/>
  <c r="AC22" i="67"/>
  <c r="AB22" i="67"/>
  <c r="AA22" i="67"/>
  <c r="Z22" i="67"/>
  <c r="Y22" i="67"/>
  <c r="X22" i="67"/>
  <c r="W22" i="67"/>
  <c r="V22" i="67"/>
  <c r="U22" i="67"/>
  <c r="T22" i="67"/>
  <c r="S22" i="67"/>
  <c r="R22" i="67"/>
  <c r="Q22" i="67"/>
  <c r="P22" i="67"/>
  <c r="AM21" i="67"/>
  <c r="AL21" i="67"/>
  <c r="AK21" i="67"/>
  <c r="AJ21" i="67"/>
  <c r="AI21" i="67"/>
  <c r="AH21" i="67"/>
  <c r="AG21" i="67"/>
  <c r="AF21" i="67"/>
  <c r="AE21" i="67"/>
  <c r="AD21" i="67"/>
  <c r="AC21" i="67"/>
  <c r="AB21" i="67"/>
  <c r="AA21" i="67"/>
  <c r="Z21" i="67"/>
  <c r="Y21" i="67"/>
  <c r="X21" i="67"/>
  <c r="W21" i="67"/>
  <c r="V21" i="67"/>
  <c r="U21" i="67"/>
  <c r="T21" i="67"/>
  <c r="S21" i="67"/>
  <c r="R21" i="67"/>
  <c r="Q21" i="67"/>
  <c r="P21" i="67"/>
  <c r="AM20" i="67"/>
  <c r="AL20" i="67"/>
  <c r="AK20" i="67"/>
  <c r="AJ20" i="67"/>
  <c r="AI20" i="67"/>
  <c r="AH20" i="67"/>
  <c r="AG20" i="67"/>
  <c r="AF20" i="67"/>
  <c r="AE20" i="67"/>
  <c r="AD20" i="67"/>
  <c r="AC20" i="67"/>
  <c r="AB20" i="67"/>
  <c r="AA20" i="67"/>
  <c r="Z20" i="67"/>
  <c r="Y20" i="67"/>
  <c r="X20" i="67"/>
  <c r="W20" i="67"/>
  <c r="V20" i="67"/>
  <c r="U20" i="67"/>
  <c r="T20" i="67"/>
  <c r="S20" i="67"/>
  <c r="R20" i="67"/>
  <c r="Q20" i="67"/>
  <c r="P20" i="67"/>
  <c r="AM19" i="67"/>
  <c r="AL19" i="67"/>
  <c r="AK19" i="67"/>
  <c r="AJ19" i="67"/>
  <c r="AI19" i="67"/>
  <c r="AH19" i="67"/>
  <c r="AG19" i="67"/>
  <c r="AF19" i="67"/>
  <c r="AE19" i="67"/>
  <c r="AD19" i="67"/>
  <c r="AC19" i="67"/>
  <c r="AB19" i="67"/>
  <c r="AA19" i="67"/>
  <c r="Z19" i="67"/>
  <c r="Y19" i="67"/>
  <c r="X19" i="67"/>
  <c r="W19" i="67"/>
  <c r="V19" i="67"/>
  <c r="U19" i="67"/>
  <c r="T19" i="67"/>
  <c r="S19" i="67"/>
  <c r="R19" i="67"/>
  <c r="Q19" i="67"/>
  <c r="P19" i="67"/>
  <c r="AM18" i="67"/>
  <c r="AL18" i="67"/>
  <c r="AK18" i="67"/>
  <c r="AJ18" i="67"/>
  <c r="AI18" i="67"/>
  <c r="AH18" i="67"/>
  <c r="AG18" i="67"/>
  <c r="AF18" i="67"/>
  <c r="AE18" i="67"/>
  <c r="AD18" i="67"/>
  <c r="AC18" i="67"/>
  <c r="AB18" i="67"/>
  <c r="AA18" i="67"/>
  <c r="Z18" i="67"/>
  <c r="Y18" i="67"/>
  <c r="X18" i="67"/>
  <c r="W18" i="67"/>
  <c r="V18" i="67"/>
  <c r="U18" i="67"/>
  <c r="T18" i="67"/>
  <c r="S18" i="67"/>
  <c r="R18" i="67"/>
  <c r="Q18" i="67"/>
  <c r="P18" i="67"/>
  <c r="AM17" i="67"/>
  <c r="AL17" i="67"/>
  <c r="AK17" i="67"/>
  <c r="AJ17" i="67"/>
  <c r="AI17" i="67"/>
  <c r="AH17" i="67"/>
  <c r="AG17" i="67"/>
  <c r="AF17" i="67"/>
  <c r="AE17" i="67"/>
  <c r="AD17" i="67"/>
  <c r="AC17" i="67"/>
  <c r="AB17" i="67"/>
  <c r="AA17" i="67"/>
  <c r="Z17" i="67"/>
  <c r="Y17" i="67"/>
  <c r="X17" i="67"/>
  <c r="W17" i="67"/>
  <c r="V17" i="67"/>
  <c r="U17" i="67"/>
  <c r="T17" i="67"/>
  <c r="S17" i="67"/>
  <c r="R17" i="67"/>
  <c r="Q17" i="67"/>
  <c r="P17" i="67"/>
  <c r="AM16" i="67"/>
  <c r="AL16" i="67"/>
  <c r="AK16" i="67"/>
  <c r="AJ16" i="67"/>
  <c r="AI16" i="67"/>
  <c r="AH16" i="67"/>
  <c r="AG16" i="67"/>
  <c r="AF16" i="67"/>
  <c r="AE16" i="67"/>
  <c r="AD16" i="67"/>
  <c r="AC16" i="67"/>
  <c r="AB16" i="67"/>
  <c r="AA16" i="67"/>
  <c r="Z16" i="67"/>
  <c r="Y16" i="67"/>
  <c r="X16" i="67"/>
  <c r="W16" i="67"/>
  <c r="V16" i="67"/>
  <c r="U16" i="67"/>
  <c r="T16" i="67"/>
  <c r="S16" i="67"/>
  <c r="R16" i="67"/>
  <c r="Q16" i="67"/>
  <c r="P16" i="67"/>
  <c r="AM15" i="67"/>
  <c r="AL15" i="67"/>
  <c r="AK15" i="67"/>
  <c r="AJ15" i="67"/>
  <c r="AI15" i="67"/>
  <c r="AH15" i="67"/>
  <c r="AG15" i="67"/>
  <c r="AF15" i="67"/>
  <c r="AE15" i="67"/>
  <c r="AD15" i="67"/>
  <c r="AC15" i="67"/>
  <c r="AB15" i="67"/>
  <c r="AA15" i="67"/>
  <c r="Z15" i="67"/>
  <c r="Y15" i="67"/>
  <c r="X15" i="67"/>
  <c r="W15" i="67"/>
  <c r="V15" i="67"/>
  <c r="U15" i="67"/>
  <c r="T15" i="67"/>
  <c r="S15" i="67"/>
  <c r="R15" i="67"/>
  <c r="Q15" i="67"/>
  <c r="P15" i="67"/>
  <c r="AM14" i="67"/>
  <c r="AL14" i="67"/>
  <c r="AK14" i="67"/>
  <c r="AJ14" i="67"/>
  <c r="AI14" i="67"/>
  <c r="AH14" i="67"/>
  <c r="AG14" i="67"/>
  <c r="AF14" i="67"/>
  <c r="AE14" i="67"/>
  <c r="AD14" i="67"/>
  <c r="AC14" i="67"/>
  <c r="AB14" i="67"/>
  <c r="AA14" i="67"/>
  <c r="Z14" i="67"/>
  <c r="Y14" i="67"/>
  <c r="X14" i="67"/>
  <c r="W14" i="67"/>
  <c r="V14" i="67"/>
  <c r="U14" i="67"/>
  <c r="T14" i="67"/>
  <c r="S14" i="67"/>
  <c r="R14" i="67"/>
  <c r="Q14" i="67"/>
  <c r="P14" i="67"/>
  <c r="AM13" i="67"/>
  <c r="AL13" i="67"/>
  <c r="AK13" i="67"/>
  <c r="AJ13" i="67"/>
  <c r="AI13" i="67"/>
  <c r="AH13" i="67"/>
  <c r="AG13" i="67"/>
  <c r="AF13" i="67"/>
  <c r="AE13" i="67"/>
  <c r="AD13" i="67"/>
  <c r="AC13" i="67"/>
  <c r="AB13" i="67"/>
  <c r="AA13" i="67"/>
  <c r="Z13" i="67"/>
  <c r="Y13" i="67"/>
  <c r="X13" i="67"/>
  <c r="W13" i="67"/>
  <c r="V13" i="67"/>
  <c r="U13" i="67"/>
  <c r="T13" i="67"/>
  <c r="S13" i="67"/>
  <c r="R13" i="67"/>
  <c r="Q13" i="67"/>
  <c r="P13" i="67"/>
  <c r="AM12" i="67"/>
  <c r="AL12" i="67"/>
  <c r="AK12" i="67"/>
  <c r="AJ12" i="67"/>
  <c r="AI12" i="67"/>
  <c r="AH12" i="67"/>
  <c r="AG12" i="67"/>
  <c r="AF12" i="67"/>
  <c r="AE12" i="67"/>
  <c r="AD12" i="67"/>
  <c r="AC12" i="67"/>
  <c r="AB12" i="67"/>
  <c r="AA12" i="67"/>
  <c r="Z12" i="67"/>
  <c r="Y12" i="67"/>
  <c r="X12" i="67"/>
  <c r="W12" i="67"/>
  <c r="V12" i="67"/>
  <c r="U12" i="67"/>
  <c r="T12" i="67"/>
  <c r="S12" i="67"/>
  <c r="R12" i="67"/>
  <c r="Q12" i="67"/>
  <c r="P12" i="67"/>
  <c r="AM11" i="67"/>
  <c r="AL11" i="67"/>
  <c r="AK11" i="67"/>
  <c r="AJ11" i="67"/>
  <c r="AI11" i="67"/>
  <c r="AH11" i="67"/>
  <c r="AG11" i="67"/>
  <c r="AF11" i="67"/>
  <c r="AE11" i="67"/>
  <c r="AD11" i="67"/>
  <c r="AC11" i="67"/>
  <c r="AB11" i="67"/>
  <c r="AA11" i="67"/>
  <c r="Z11" i="67"/>
  <c r="Y11" i="67"/>
  <c r="X11" i="67"/>
  <c r="W11" i="67"/>
  <c r="V11" i="67"/>
  <c r="U11" i="67"/>
  <c r="T11" i="67"/>
  <c r="S11" i="67"/>
  <c r="R11" i="67"/>
  <c r="Q11" i="67"/>
  <c r="P11" i="67"/>
  <c r="AM10" i="67"/>
  <c r="AL10" i="67"/>
  <c r="AK10" i="67"/>
  <c r="AJ10" i="67"/>
  <c r="AJ29" i="67"/>
  <c r="AJ31" i="67" s="1"/>
  <c r="AI10" i="67"/>
  <c r="AH10" i="67"/>
  <c r="AG10" i="67"/>
  <c r="AF10" i="67"/>
  <c r="AE10" i="67"/>
  <c r="AD10" i="67"/>
  <c r="AC10" i="67"/>
  <c r="AB10" i="67"/>
  <c r="AA10" i="67"/>
  <c r="Z10" i="67"/>
  <c r="Y10" i="67"/>
  <c r="X10" i="67"/>
  <c r="W10" i="67"/>
  <c r="V10" i="67"/>
  <c r="U10" i="67"/>
  <c r="T10" i="67"/>
  <c r="T29" i="67"/>
  <c r="T31" i="67" s="1"/>
  <c r="S10" i="67"/>
  <c r="R10" i="67"/>
  <c r="R29" i="67" s="1"/>
  <c r="R31" i="67" s="1"/>
  <c r="Q10" i="67"/>
  <c r="P10" i="67"/>
  <c r="AM9" i="67"/>
  <c r="AL9" i="67"/>
  <c r="AL29" i="67"/>
  <c r="AL31" i="67" s="1"/>
  <c r="AK9" i="67"/>
  <c r="AJ9" i="67"/>
  <c r="AI9" i="67"/>
  <c r="AH29" i="67" s="1"/>
  <c r="AH31" i="67" s="1"/>
  <c r="AH9" i="67"/>
  <c r="AG9" i="67"/>
  <c r="AF9" i="67"/>
  <c r="AF29" i="67"/>
  <c r="AF31" i="67" s="1"/>
  <c r="AE9" i="67"/>
  <c r="AD9" i="67"/>
  <c r="AD29" i="67"/>
  <c r="AD31" i="67" s="1"/>
  <c r="AC9" i="67"/>
  <c r="AB9" i="67"/>
  <c r="AB29" i="67" s="1"/>
  <c r="AB31" i="67" s="1"/>
  <c r="AA9" i="67"/>
  <c r="Z9" i="67"/>
  <c r="Z29" i="67" s="1"/>
  <c r="Z31" i="67" s="1"/>
  <c r="Y9" i="67"/>
  <c r="X9" i="67"/>
  <c r="X29" i="67" s="1"/>
  <c r="X31" i="67" s="1"/>
  <c r="W9" i="67"/>
  <c r="V9" i="67"/>
  <c r="V29" i="67"/>
  <c r="V31" i="67" s="1"/>
  <c r="U9" i="67"/>
  <c r="T9" i="67"/>
  <c r="S9" i="67"/>
  <c r="R9" i="67"/>
  <c r="Q9" i="67"/>
  <c r="P9" i="67"/>
  <c r="P29" i="67" s="1"/>
  <c r="P31" i="67" s="1"/>
  <c r="C2" i="67"/>
  <c r="BF37" i="64"/>
  <c r="BB13" i="72"/>
  <c r="BB17" i="71"/>
  <c r="BB21" i="71"/>
  <c r="AP14" i="71"/>
  <c r="AQ13" i="71" s="1"/>
  <c r="BB29" i="71"/>
  <c r="BB23" i="71"/>
  <c r="BB15" i="71"/>
  <c r="Z14" i="72"/>
  <c r="AA13" i="72" s="1"/>
  <c r="BB9" i="72"/>
  <c r="BB29" i="72"/>
  <c r="BC17" i="72"/>
  <c r="BB23" i="72"/>
  <c r="AC32" i="64" l="1"/>
  <c r="BC28" i="64"/>
  <c r="BC37" i="64"/>
  <c r="BC25" i="64"/>
  <c r="BC22" i="64"/>
  <c r="BC40" i="64"/>
  <c r="BC7" i="64"/>
  <c r="BC31" i="64"/>
  <c r="BC34" i="64"/>
  <c r="BC13" i="64"/>
  <c r="BC16" i="64"/>
  <c r="BF34" i="64"/>
  <c r="BF25" i="64"/>
  <c r="G85" i="69"/>
  <c r="L85" i="69"/>
  <c r="K85" i="69"/>
  <c r="J85" i="69"/>
  <c r="R85" i="69"/>
  <c r="Q85" i="69"/>
  <c r="P85" i="69"/>
  <c r="O85" i="69"/>
  <c r="N85" i="69"/>
  <c r="M85" i="69"/>
  <c r="I85" i="69"/>
  <c r="H85" i="69"/>
  <c r="BF13" i="64"/>
  <c r="BF22" i="64"/>
  <c r="N53" i="68"/>
  <c r="P53" i="68"/>
  <c r="AM43" i="64"/>
  <c r="S22" i="74"/>
  <c r="AC38" i="64"/>
  <c r="AC41" i="64"/>
  <c r="AC35" i="64"/>
  <c r="AH53" i="68"/>
  <c r="AH54" i="68" s="1"/>
  <c r="BG37" i="64" s="1"/>
  <c r="AC23" i="64"/>
  <c r="R22" i="74"/>
  <c r="AC31" i="64"/>
  <c r="AC14" i="64"/>
  <c r="S20" i="74"/>
  <c r="R19" i="74"/>
  <c r="AC22" i="64"/>
  <c r="BU22" i="64" s="1"/>
  <c r="R16" i="74"/>
  <c r="AC13" i="64"/>
  <c r="R17" i="74"/>
  <c r="T17" i="74" s="1"/>
  <c r="AC16" i="64"/>
  <c r="BU16" i="64" s="1"/>
  <c r="R20" i="74"/>
  <c r="T20" i="74" s="1"/>
  <c r="AC25" i="64"/>
  <c r="BU25" i="64" s="1"/>
  <c r="R18" i="74"/>
  <c r="AC19" i="64"/>
  <c r="BU19" i="64" s="1"/>
  <c r="S15" i="74"/>
  <c r="S23" i="74"/>
  <c r="AC17" i="64"/>
  <c r="AC26" i="64"/>
  <c r="R23" i="74"/>
  <c r="AC34" i="64"/>
  <c r="BU34" i="64" s="1"/>
  <c r="S18" i="74"/>
  <c r="R25" i="74"/>
  <c r="AC40" i="64"/>
  <c r="BU40" i="64" s="1"/>
  <c r="S16" i="74"/>
  <c r="S24" i="74"/>
  <c r="S25" i="74"/>
  <c r="AC20" i="64"/>
  <c r="R21" i="74"/>
  <c r="T21" i="74" s="1"/>
  <c r="AC28" i="64"/>
  <c r="BU28" i="64" s="1"/>
  <c r="AC11" i="64"/>
  <c r="AC29" i="64"/>
  <c r="R24" i="74"/>
  <c r="AC37" i="64"/>
  <c r="BU37" i="64" s="1"/>
  <c r="S19" i="74"/>
  <c r="Y11" i="64"/>
  <c r="Z10" i="64" s="1"/>
  <c r="R15" i="74"/>
  <c r="AC10" i="64"/>
  <c r="G71" i="69"/>
  <c r="J71" i="69"/>
  <c r="K71" i="69"/>
  <c r="L71" i="69"/>
  <c r="M71" i="69"/>
  <c r="N71" i="69"/>
  <c r="R71" i="69"/>
  <c r="O71" i="69"/>
  <c r="H71" i="69"/>
  <c r="P71" i="69"/>
  <c r="Q71" i="69"/>
  <c r="I71" i="69"/>
  <c r="Q9" i="73"/>
  <c r="BJ21" i="73"/>
  <c r="AI25" i="64"/>
  <c r="AI26" i="64" s="1"/>
  <c r="BH21" i="73"/>
  <c r="BG21" i="73"/>
  <c r="C15" i="74"/>
  <c r="F15" i="74" s="1"/>
  <c r="BI21" i="73"/>
  <c r="BB43" i="64"/>
  <c r="X53" i="68"/>
  <c r="R53" i="68"/>
  <c r="R54" i="68" s="1"/>
  <c r="BG13" i="64" s="1"/>
  <c r="Z53" i="68"/>
  <c r="Z54" i="68" s="1"/>
  <c r="BG25" i="64" s="1"/>
  <c r="BF10" i="64"/>
  <c r="T53" i="68"/>
  <c r="AJ53" i="68"/>
  <c r="BF16" i="64"/>
  <c r="BF28" i="64"/>
  <c r="W44" i="64"/>
  <c r="BK21" i="73"/>
  <c r="BL21" i="73"/>
  <c r="AZ10" i="73"/>
  <c r="U43" i="64"/>
  <c r="BL14" i="73"/>
  <c r="BF14" i="73"/>
  <c r="BL15" i="73"/>
  <c r="BF15" i="73"/>
  <c r="BL10" i="73"/>
  <c r="BF10" i="73"/>
  <c r="BL18" i="73"/>
  <c r="BF18" i="73"/>
  <c r="BL19" i="73"/>
  <c r="BF19" i="73"/>
  <c r="BL11" i="73"/>
  <c r="BF11" i="73"/>
  <c r="BL12" i="73"/>
  <c r="BF12" i="73"/>
  <c r="BL13" i="73"/>
  <c r="BF13" i="73"/>
  <c r="BL16" i="73"/>
  <c r="BF16" i="73"/>
  <c r="BL20" i="73"/>
  <c r="BF20" i="73"/>
  <c r="BL17" i="73"/>
  <c r="BF17" i="73"/>
  <c r="BL9" i="73"/>
  <c r="BF9" i="73"/>
  <c r="Z39" i="68"/>
  <c r="Z40" i="68" s="1"/>
  <c r="P39" i="68"/>
  <c r="P40" i="68" s="1"/>
  <c r="AJ39" i="68"/>
  <c r="AJ40" i="68" s="1"/>
  <c r="T39" i="68"/>
  <c r="T40" i="68" s="1"/>
  <c r="BF7" i="64"/>
  <c r="V53" i="68"/>
  <c r="BF31" i="64"/>
  <c r="AD39" i="68"/>
  <c r="AD40" i="68" s="1"/>
  <c r="AF39" i="68"/>
  <c r="AF40" i="68" s="1"/>
  <c r="V39" i="68"/>
  <c r="V40" i="68" s="1"/>
  <c r="X39" i="68"/>
  <c r="X40" i="68" s="1"/>
  <c r="N39" i="68"/>
  <c r="N40" i="68" s="1"/>
  <c r="AI19" i="64"/>
  <c r="AI20" i="64" s="1"/>
  <c r="AI7" i="64"/>
  <c r="AI34" i="64"/>
  <c r="AI35" i="64" s="1"/>
  <c r="AI10" i="64"/>
  <c r="AI40" i="64"/>
  <c r="AI41" i="64" s="1"/>
  <c r="AI16" i="64"/>
  <c r="AI17" i="64" s="1"/>
  <c r="AI28" i="64"/>
  <c r="AI29" i="64" s="1"/>
  <c r="AI37" i="64"/>
  <c r="AI38" i="64" s="1"/>
  <c r="AI22" i="64"/>
  <c r="AI23" i="64" s="1"/>
  <c r="AI13" i="64"/>
  <c r="AI14" i="64" s="1"/>
  <c r="AI31" i="64"/>
  <c r="AI32" i="64" s="1"/>
  <c r="AD53" i="68"/>
  <c r="AD54" i="68" s="1"/>
  <c r="AB53" i="68"/>
  <c r="AB54" i="68" s="1"/>
  <c r="R39" i="68"/>
  <c r="R40" i="68" s="1"/>
  <c r="BF19" i="64"/>
  <c r="AB39" i="68"/>
  <c r="AB40" i="68" s="1"/>
  <c r="AH39" i="68"/>
  <c r="AH40" i="68" s="1"/>
  <c r="AF53" i="68"/>
  <c r="AF54" i="68" s="1"/>
  <c r="BF40" i="64"/>
  <c r="V40" i="64"/>
  <c r="W45" i="64"/>
  <c r="U44" i="64"/>
  <c r="X40" i="64"/>
  <c r="W43" i="64"/>
  <c r="U45" i="64"/>
  <c r="C18" i="64"/>
  <c r="G5" i="77" s="1"/>
  <c r="Q20" i="73"/>
  <c r="Q14" i="73"/>
  <c r="Q15" i="73"/>
  <c r="Q21" i="73"/>
  <c r="V37" i="64"/>
  <c r="Q12" i="73"/>
  <c r="Q18" i="73"/>
  <c r="Q10" i="73"/>
  <c r="Q16" i="73"/>
  <c r="Q19" i="73"/>
  <c r="Q17" i="73"/>
  <c r="Q13" i="73"/>
  <c r="Q11" i="73"/>
  <c r="V19" i="64"/>
  <c r="AG26" i="71"/>
  <c r="AC18" i="71"/>
  <c r="V28" i="71"/>
  <c r="AN8" i="71"/>
  <c r="AP8" i="71" s="1"/>
  <c r="AQ7" i="71" s="1"/>
  <c r="E28" i="71"/>
  <c r="AT14" i="71"/>
  <c r="AP28" i="71"/>
  <c r="AQ27" i="71" s="1"/>
  <c r="P28" i="71"/>
  <c r="AJ22" i="72"/>
  <c r="M22" i="72"/>
  <c r="R22" i="72" s="1"/>
  <c r="S21" i="72" s="1"/>
  <c r="G28" i="72"/>
  <c r="J28" i="72" s="1"/>
  <c r="K27" i="72" s="1"/>
  <c r="M14" i="72"/>
  <c r="R14" i="72" s="1"/>
  <c r="S13" i="72" s="1"/>
  <c r="AO18" i="71"/>
  <c r="AT8" i="71"/>
  <c r="I10" i="71"/>
  <c r="BB11" i="71"/>
  <c r="Q12" i="71"/>
  <c r="R12" i="71" s="1"/>
  <c r="S11" i="71" s="1"/>
  <c r="AR14" i="71"/>
  <c r="AX14" i="71" s="1"/>
  <c r="AY13" i="71" s="1"/>
  <c r="G16" i="71"/>
  <c r="Z18" i="71"/>
  <c r="AA17" i="71" s="1"/>
  <c r="X18" i="71"/>
  <c r="AM20" i="71"/>
  <c r="D22" i="71"/>
  <c r="AW22" i="71"/>
  <c r="I28" i="71"/>
  <c r="D20" i="72"/>
  <c r="U22" i="72"/>
  <c r="Y30" i="72"/>
  <c r="AE20" i="72"/>
  <c r="AR30" i="72"/>
  <c r="AV26" i="72"/>
  <c r="AD8" i="72"/>
  <c r="Y10" i="72"/>
  <c r="Z10" i="72" s="1"/>
  <c r="AA9" i="72" s="1"/>
  <c r="AX12" i="72"/>
  <c r="AY11" i="72" s="1"/>
  <c r="AU12" i="72"/>
  <c r="H14" i="72"/>
  <c r="V16" i="72"/>
  <c r="U18" i="72"/>
  <c r="AF20" i="72"/>
  <c r="AK22" i="72"/>
  <c r="AJ24" i="72"/>
  <c r="T28" i="72"/>
  <c r="AT30" i="72"/>
  <c r="AN30" i="71"/>
  <c r="V14" i="71"/>
  <c r="I16" i="71"/>
  <c r="I30" i="71"/>
  <c r="AG20" i="71"/>
  <c r="AC12" i="71"/>
  <c r="E14" i="71"/>
  <c r="AT30" i="71"/>
  <c r="P18" i="71"/>
  <c r="P14" i="71"/>
  <c r="AJ18" i="72"/>
  <c r="G14" i="72"/>
  <c r="J14" i="72" s="1"/>
  <c r="K13" i="72" s="1"/>
  <c r="M30" i="72"/>
  <c r="G10" i="72"/>
  <c r="AR12" i="71"/>
  <c r="BC13" i="71"/>
  <c r="AS14" i="71"/>
  <c r="AO20" i="71"/>
  <c r="AP20" i="71" s="1"/>
  <c r="AQ19" i="71" s="1"/>
  <c r="U24" i="71"/>
  <c r="Z24" i="71" s="1"/>
  <c r="AA23" i="71" s="1"/>
  <c r="AR28" i="71"/>
  <c r="D8" i="72"/>
  <c r="AE8" i="72"/>
  <c r="AD10" i="72"/>
  <c r="I12" i="72"/>
  <c r="J12" i="72" s="1"/>
  <c r="K11" i="72" s="1"/>
  <c r="I14" i="72"/>
  <c r="Y16" i="72"/>
  <c r="X18" i="72"/>
  <c r="AO20" i="72"/>
  <c r="D22" i="72"/>
  <c r="AN24" i="72"/>
  <c r="L26" i="72"/>
  <c r="AK28" i="72"/>
  <c r="AU22" i="72"/>
  <c r="AX22" i="72" s="1"/>
  <c r="AY21" i="72" s="1"/>
  <c r="AT20" i="71"/>
  <c r="I22" i="71"/>
  <c r="AG12" i="71"/>
  <c r="AN10" i="71"/>
  <c r="AN24" i="71"/>
  <c r="V8" i="71"/>
  <c r="E22" i="71"/>
  <c r="E30" i="71"/>
  <c r="J30" i="71" s="1"/>
  <c r="AT16" i="71"/>
  <c r="AX16" i="71" s="1"/>
  <c r="AY15" i="71" s="1"/>
  <c r="P20" i="71"/>
  <c r="P30" i="71"/>
  <c r="G30" i="72"/>
  <c r="M16" i="72"/>
  <c r="AR30" i="71"/>
  <c r="AX30" i="71" s="1"/>
  <c r="AW20" i="71"/>
  <c r="AX20" i="71" s="1"/>
  <c r="AY19" i="71" s="1"/>
  <c r="BA19" i="71" s="1"/>
  <c r="AS25" i="64" s="1"/>
  <c r="I8" i="71"/>
  <c r="T10" i="71"/>
  <c r="AS12" i="71"/>
  <c r="AG18" i="71"/>
  <c r="T22" i="71"/>
  <c r="Z22" i="71" s="1"/>
  <c r="AA21" i="71" s="1"/>
  <c r="AT28" i="71"/>
  <c r="Q30" i="71"/>
  <c r="E18" i="72"/>
  <c r="V20" i="72"/>
  <c r="AF18" i="72"/>
  <c r="AS8" i="72"/>
  <c r="AJ8" i="72"/>
  <c r="AP8" i="72" s="1"/>
  <c r="AQ7" i="72" s="1"/>
  <c r="AR10" i="72"/>
  <c r="O12" i="72"/>
  <c r="Y18" i="72"/>
  <c r="AU20" i="72"/>
  <c r="AX20" i="72" s="1"/>
  <c r="AY19" i="72" s="1"/>
  <c r="E22" i="72"/>
  <c r="AO22" i="72"/>
  <c r="AW24" i="72"/>
  <c r="T26" i="72"/>
  <c r="AU10" i="72"/>
  <c r="AN16" i="71"/>
  <c r="AX10" i="71"/>
  <c r="AY9" i="71" s="1"/>
  <c r="V30" i="71"/>
  <c r="I18" i="71"/>
  <c r="AG8" i="71"/>
  <c r="AG22" i="71"/>
  <c r="AC14" i="71"/>
  <c r="AH14" i="71" s="1"/>
  <c r="AI13" i="71" s="1"/>
  <c r="AC28" i="71"/>
  <c r="E8" i="71"/>
  <c r="J8" i="71" s="1"/>
  <c r="K7" i="71" s="1"/>
  <c r="BA7" i="71" s="1"/>
  <c r="E18" i="71"/>
  <c r="AT18" i="71"/>
  <c r="AX18" i="71" s="1"/>
  <c r="AY17" i="71" s="1"/>
  <c r="P22" i="71"/>
  <c r="G20" i="72"/>
  <c r="M18" i="72"/>
  <c r="AH16" i="72"/>
  <c r="AI15" i="72" s="1"/>
  <c r="AC10" i="71"/>
  <c r="AH10" i="71" s="1"/>
  <c r="AI9" i="71" s="1"/>
  <c r="AT12" i="71"/>
  <c r="AX12" i="71" s="1"/>
  <c r="AY11" i="71" s="1"/>
  <c r="AG16" i="71"/>
  <c r="AN18" i="71"/>
  <c r="AP18" i="71" s="1"/>
  <c r="AQ17" i="71" s="1"/>
  <c r="R20" i="71"/>
  <c r="S19" i="71" s="1"/>
  <c r="V22" i="71"/>
  <c r="AM24" i="71"/>
  <c r="AG30" i="71"/>
  <c r="T12" i="72"/>
  <c r="AF14" i="72"/>
  <c r="AF16" i="72"/>
  <c r="AD18" i="72"/>
  <c r="AH18" i="72" s="1"/>
  <c r="AI17" i="72" s="1"/>
  <c r="I22" i="72"/>
  <c r="L24" i="72"/>
  <c r="U26" i="72"/>
  <c r="AU28" i="72"/>
  <c r="AX28" i="72" s="1"/>
  <c r="AY27" i="72" s="1"/>
  <c r="I30" i="72"/>
  <c r="AU8" i="72"/>
  <c r="AC20" i="71"/>
  <c r="AH12" i="71"/>
  <c r="AI11" i="71" s="1"/>
  <c r="AN12" i="71"/>
  <c r="Z14" i="71"/>
  <c r="AA13" i="71" s="1"/>
  <c r="V10" i="71"/>
  <c r="Z28" i="71"/>
  <c r="AA27" i="71" s="1"/>
  <c r="V24" i="71"/>
  <c r="E24" i="71"/>
  <c r="J24" i="71" s="1"/>
  <c r="K23" i="71" s="1"/>
  <c r="AT22" i="71"/>
  <c r="P8" i="71"/>
  <c r="R8" i="71" s="1"/>
  <c r="S7" i="71" s="1"/>
  <c r="AJ20" i="72"/>
  <c r="G22" i="72"/>
  <c r="M10" i="72"/>
  <c r="M20" i="72"/>
  <c r="AS28" i="71"/>
  <c r="U8" i="71"/>
  <c r="Z8" i="71" s="1"/>
  <c r="AA7" i="71" s="1"/>
  <c r="BB13" i="71"/>
  <c r="Q14" i="71"/>
  <c r="R14" i="71" s="1"/>
  <c r="S13" i="71" s="1"/>
  <c r="D18" i="71"/>
  <c r="BC21" i="71"/>
  <c r="AC22" i="71"/>
  <c r="AT24" i="71"/>
  <c r="AX24" i="71" s="1"/>
  <c r="AY23" i="71" s="1"/>
  <c r="AS30" i="71"/>
  <c r="L8" i="72"/>
  <c r="R8" i="72" s="1"/>
  <c r="S7" i="72" s="1"/>
  <c r="X12" i="72"/>
  <c r="AJ14" i="72"/>
  <c r="AJ16" i="72"/>
  <c r="AR18" i="72"/>
  <c r="AX18" i="72" s="1"/>
  <c r="AY17" i="72" s="1"/>
  <c r="G8" i="72"/>
  <c r="T8" i="71"/>
  <c r="Z20" i="71"/>
  <c r="AA19" i="71" s="1"/>
  <c r="V16" i="71"/>
  <c r="AG24" i="71"/>
  <c r="AC16" i="71"/>
  <c r="AC30" i="71"/>
  <c r="P16" i="71"/>
  <c r="P24" i="71"/>
  <c r="AJ12" i="72"/>
  <c r="AJ26" i="72"/>
  <c r="Z8" i="72"/>
  <c r="AA7" i="72" s="1"/>
  <c r="J10" i="72"/>
  <c r="K9" i="72" s="1"/>
  <c r="AH30" i="72"/>
  <c r="G24" i="72"/>
  <c r="M26" i="72"/>
  <c r="AX16" i="72"/>
  <c r="AY15" i="72" s="1"/>
  <c r="I26" i="71"/>
  <c r="J26" i="71" s="1"/>
  <c r="K25" i="71" s="1"/>
  <c r="V20" i="71"/>
  <c r="AC24" i="71"/>
  <c r="AH24" i="71" s="1"/>
  <c r="AI23" i="71" s="1"/>
  <c r="AG28" i="71"/>
  <c r="AC8" i="71"/>
  <c r="G18" i="72"/>
  <c r="M8" i="72"/>
  <c r="AJ28" i="72"/>
  <c r="AK12" i="72"/>
  <c r="V22" i="72"/>
  <c r="AJ30" i="72"/>
  <c r="AH12" i="72"/>
  <c r="AI11" i="72" s="1"/>
  <c r="Z20" i="72"/>
  <c r="AA19" i="72" s="1"/>
  <c r="I14" i="71"/>
  <c r="AH8" i="71"/>
  <c r="AI7" i="71" s="1"/>
  <c r="M24" i="72"/>
  <c r="AH22" i="71"/>
  <c r="AI21" i="71" s="1"/>
  <c r="I12" i="71"/>
  <c r="J12" i="71" s="1"/>
  <c r="K11" i="71" s="1"/>
  <c r="BC15" i="71"/>
  <c r="X16" i="64"/>
  <c r="X19" i="64"/>
  <c r="X22" i="64"/>
  <c r="X28" i="64"/>
  <c r="V34" i="64"/>
  <c r="V31" i="64"/>
  <c r="V16" i="64"/>
  <c r="X31" i="64"/>
  <c r="X37" i="64"/>
  <c r="X34" i="64"/>
  <c r="X25" i="64"/>
  <c r="V28" i="64"/>
  <c r="V25" i="64"/>
  <c r="V22" i="64"/>
  <c r="AX8" i="71"/>
  <c r="AY7" i="71" s="1"/>
  <c r="AX22" i="71"/>
  <c r="AY21" i="71" s="1"/>
  <c r="BA21" i="71" s="1"/>
  <c r="AS28" i="64" s="1"/>
  <c r="AX26" i="71"/>
  <c r="AY25" i="71" s="1"/>
  <c r="AP30" i="71"/>
  <c r="AQ29" i="71" s="1"/>
  <c r="AP26" i="71"/>
  <c r="AQ25" i="71" s="1"/>
  <c r="AP24" i="71"/>
  <c r="AQ23" i="71" s="1"/>
  <c r="AP16" i="71"/>
  <c r="AQ15" i="71" s="1"/>
  <c r="AP12" i="71"/>
  <c r="AQ11" i="71" s="1"/>
  <c r="AP10" i="71"/>
  <c r="AQ9" i="71" s="1"/>
  <c r="AH18" i="71"/>
  <c r="AI17" i="71" s="1"/>
  <c r="AH20" i="71"/>
  <c r="AI19" i="71" s="1"/>
  <c r="AH26" i="71"/>
  <c r="AI25" i="71" s="1"/>
  <c r="BC25" i="71"/>
  <c r="AH28" i="71"/>
  <c r="AI27" i="71" s="1"/>
  <c r="Z30" i="71"/>
  <c r="AA29" i="71" s="1"/>
  <c r="Z12" i="71"/>
  <c r="AA11" i="71" s="1"/>
  <c r="Z10" i="71"/>
  <c r="AA9" i="71" s="1"/>
  <c r="R10" i="71"/>
  <c r="S9" i="71" s="1"/>
  <c r="R16" i="71"/>
  <c r="S15" i="71" s="1"/>
  <c r="R18" i="71"/>
  <c r="S17" i="71" s="1"/>
  <c r="R22" i="71"/>
  <c r="S21" i="71" s="1"/>
  <c r="R24" i="71"/>
  <c r="S23" i="71" s="1"/>
  <c r="R26" i="71"/>
  <c r="S25" i="71" s="1"/>
  <c r="R28" i="71"/>
  <c r="S27" i="71" s="1"/>
  <c r="R30" i="71"/>
  <c r="S29" i="71" s="1"/>
  <c r="BC29" i="71"/>
  <c r="J28" i="71"/>
  <c r="K27" i="71" s="1"/>
  <c r="J22" i="71"/>
  <c r="K21" i="71" s="1"/>
  <c r="J20" i="71"/>
  <c r="K19" i="71" s="1"/>
  <c r="J18" i="71"/>
  <c r="K17" i="71" s="1"/>
  <c r="J16" i="71"/>
  <c r="K15" i="71" s="1"/>
  <c r="BC9" i="71"/>
  <c r="AH16" i="71"/>
  <c r="AI15" i="71" s="1"/>
  <c r="BC23" i="71"/>
  <c r="Z16" i="71"/>
  <c r="AA15" i="71" s="1"/>
  <c r="BC11" i="71"/>
  <c r="BB27" i="71"/>
  <c r="BC27" i="71"/>
  <c r="BB19" i="71"/>
  <c r="BC19" i="71"/>
  <c r="BC17" i="71"/>
  <c r="J14" i="71"/>
  <c r="K13" i="71" s="1"/>
  <c r="BB9" i="71"/>
  <c r="J10" i="71"/>
  <c r="K9" i="71" s="1"/>
  <c r="BB7" i="71"/>
  <c r="BC9" i="72"/>
  <c r="J22" i="72"/>
  <c r="K21" i="72" s="1"/>
  <c r="J24" i="72"/>
  <c r="K23" i="72" s="1"/>
  <c r="R30" i="72"/>
  <c r="S29" i="72" s="1"/>
  <c r="R28" i="72"/>
  <c r="S27" i="72" s="1"/>
  <c r="BB27" i="72"/>
  <c r="R18" i="72"/>
  <c r="S17" i="72" s="1"/>
  <c r="BB17" i="72"/>
  <c r="R16" i="72"/>
  <c r="S15" i="72" s="1"/>
  <c r="R10" i="72"/>
  <c r="S9" i="72" s="1"/>
  <c r="Z16" i="72"/>
  <c r="AA15" i="72" s="1"/>
  <c r="BC15" i="72"/>
  <c r="Z18" i="72"/>
  <c r="AA17" i="72" s="1"/>
  <c r="Z24" i="72"/>
  <c r="AA23" i="72" s="1"/>
  <c r="Z26" i="72"/>
  <c r="AA25" i="72" s="1"/>
  <c r="Z28" i="72"/>
  <c r="AA27" i="72" s="1"/>
  <c r="Z30" i="72"/>
  <c r="AA29" i="72" s="1"/>
  <c r="AH24" i="72"/>
  <c r="AI23" i="72" s="1"/>
  <c r="AH22" i="72"/>
  <c r="AI21" i="72" s="1"/>
  <c r="AH20" i="72"/>
  <c r="AI19" i="72" s="1"/>
  <c r="AH14" i="72"/>
  <c r="AI13" i="72" s="1"/>
  <c r="AH10" i="72"/>
  <c r="AI9" i="72" s="1"/>
  <c r="AH8" i="72"/>
  <c r="AI7" i="72" s="1"/>
  <c r="AP14" i="72"/>
  <c r="AQ13" i="72" s="1"/>
  <c r="AP16" i="72"/>
  <c r="AQ15" i="72" s="1"/>
  <c r="AP18" i="72"/>
  <c r="AQ17" i="72" s="1"/>
  <c r="AP20" i="72"/>
  <c r="AQ19" i="72" s="1"/>
  <c r="AP24" i="72"/>
  <c r="AQ23" i="72" s="1"/>
  <c r="AP26" i="72"/>
  <c r="AQ25" i="72" s="1"/>
  <c r="AP28" i="72"/>
  <c r="AQ27" i="72" s="1"/>
  <c r="AP30" i="72"/>
  <c r="AQ29" i="72" s="1"/>
  <c r="AX30" i="72"/>
  <c r="AY29" i="72" s="1"/>
  <c r="AX26" i="72"/>
  <c r="AY25" i="72" s="1"/>
  <c r="AX24" i="72"/>
  <c r="AY23" i="72" s="1"/>
  <c r="AX8" i="72"/>
  <c r="AY7" i="72" s="1"/>
  <c r="AX10" i="72"/>
  <c r="AY9" i="72" s="1"/>
  <c r="BC11" i="72"/>
  <c r="BC19" i="72"/>
  <c r="AP22" i="72"/>
  <c r="AQ21" i="72" s="1"/>
  <c r="AP12" i="72"/>
  <c r="AQ11" i="72" s="1"/>
  <c r="AP10" i="72"/>
  <c r="AQ9" i="72" s="1"/>
  <c r="BC21" i="72"/>
  <c r="BC23" i="72"/>
  <c r="AH26" i="72"/>
  <c r="AI25" i="72" s="1"/>
  <c r="AH28" i="72"/>
  <c r="AI27" i="72" s="1"/>
  <c r="AI29" i="72"/>
  <c r="BC27" i="72"/>
  <c r="BC25" i="72"/>
  <c r="Z12" i="72"/>
  <c r="AA11" i="72" s="1"/>
  <c r="R26" i="72"/>
  <c r="S25" i="72" s="1"/>
  <c r="BB25" i="72"/>
  <c r="R24" i="72"/>
  <c r="S23" i="72" s="1"/>
  <c r="BB21" i="72"/>
  <c r="R20" i="72"/>
  <c r="S19" i="72" s="1"/>
  <c r="BB19" i="72"/>
  <c r="R12" i="72"/>
  <c r="S11" i="72" s="1"/>
  <c r="BB7" i="72"/>
  <c r="J26" i="72"/>
  <c r="K25" i="72" s="1"/>
  <c r="J20" i="72"/>
  <c r="K19" i="72" s="1"/>
  <c r="J18" i="72"/>
  <c r="K17" i="72" s="1"/>
  <c r="J16" i="72"/>
  <c r="K15" i="72" s="1"/>
  <c r="BC7" i="72"/>
  <c r="J8" i="72"/>
  <c r="K7" i="72" s="1"/>
  <c r="AI8" i="64" l="1"/>
  <c r="T22" i="74"/>
  <c r="N54" i="68"/>
  <c r="BG7" i="64" s="1"/>
  <c r="T54" i="68"/>
  <c r="BG16" i="64" s="1"/>
  <c r="X54" i="68"/>
  <c r="BG22" i="64" s="1"/>
  <c r="AJ54" i="68"/>
  <c r="BG40" i="64" s="1"/>
  <c r="P54" i="68"/>
  <c r="BG10" i="64" s="1"/>
  <c r="V54" i="68"/>
  <c r="BG19" i="64" s="1"/>
  <c r="K86" i="69"/>
  <c r="K87" i="69"/>
  <c r="G73" i="69"/>
  <c r="G72" i="69"/>
  <c r="L86" i="69"/>
  <c r="L87" i="69"/>
  <c r="O86" i="69"/>
  <c r="O87" i="69"/>
  <c r="Q86" i="69"/>
  <c r="Q87" i="69"/>
  <c r="R86" i="69"/>
  <c r="R91" i="69" s="1"/>
  <c r="R87" i="69"/>
  <c r="G87" i="69"/>
  <c r="G86" i="69"/>
  <c r="G91" i="69" s="1"/>
  <c r="H87" i="69"/>
  <c r="H86" i="69"/>
  <c r="H91" i="69" s="1"/>
  <c r="M86" i="69"/>
  <c r="M87" i="69"/>
  <c r="N86" i="69"/>
  <c r="N87" i="69"/>
  <c r="P86" i="69"/>
  <c r="P87" i="69"/>
  <c r="J86" i="69"/>
  <c r="J87" i="69"/>
  <c r="I86" i="69"/>
  <c r="I87" i="69"/>
  <c r="T24" i="74"/>
  <c r="AI11" i="64"/>
  <c r="T16" i="74"/>
  <c r="T18" i="74"/>
  <c r="T25" i="74"/>
  <c r="BG31" i="64"/>
  <c r="BG34" i="64"/>
  <c r="BG28" i="64"/>
  <c r="T19" i="74"/>
  <c r="C21" i="64"/>
  <c r="G6" i="77" s="1"/>
  <c r="T23" i="74"/>
  <c r="C16" i="64"/>
  <c r="E5" i="77" s="1"/>
  <c r="D18" i="64"/>
  <c r="J5" i="77" s="1"/>
  <c r="T15" i="74"/>
  <c r="N15" i="74" s="1"/>
  <c r="O15" i="74" s="1"/>
  <c r="AE10" i="64" s="1"/>
  <c r="AG10" i="64" s="1"/>
  <c r="D17" i="64"/>
  <c r="I5" i="77" s="1"/>
  <c r="D16" i="64"/>
  <c r="H5" i="77" s="1"/>
  <c r="AC43" i="64"/>
  <c r="N73" i="69"/>
  <c r="N72" i="69"/>
  <c r="M73" i="69"/>
  <c r="M72" i="69"/>
  <c r="L73" i="69"/>
  <c r="L72" i="69"/>
  <c r="K73" i="69"/>
  <c r="K72" i="69"/>
  <c r="J73" i="69"/>
  <c r="J72" i="69"/>
  <c r="I73" i="69"/>
  <c r="I72" i="69"/>
  <c r="Q73" i="69"/>
  <c r="Q72" i="69"/>
  <c r="O73" i="69"/>
  <c r="O72" i="69"/>
  <c r="P73" i="69"/>
  <c r="P72" i="69"/>
  <c r="R73" i="69"/>
  <c r="R72" i="69"/>
  <c r="AK41" i="68" s="1"/>
  <c r="H73" i="69"/>
  <c r="H72" i="69"/>
  <c r="Q41" i="68" s="1"/>
  <c r="AC44" i="64"/>
  <c r="AU10" i="64"/>
  <c r="W10" i="73" s="1"/>
  <c r="AN20" i="64"/>
  <c r="AN38" i="64"/>
  <c r="AZ11" i="73"/>
  <c r="Y14" i="64"/>
  <c r="AN10" i="64"/>
  <c r="BP10" i="64" s="1"/>
  <c r="X43" i="64"/>
  <c r="AN32" i="64"/>
  <c r="C16" i="74"/>
  <c r="F16" i="74" s="1"/>
  <c r="BU43" i="64"/>
  <c r="AN29" i="64"/>
  <c r="AN34" i="64"/>
  <c r="BP34" i="64" s="1"/>
  <c r="AN8" i="64"/>
  <c r="AN22" i="64"/>
  <c r="BP22" i="64" s="1"/>
  <c r="AN14" i="64"/>
  <c r="AN16" i="64"/>
  <c r="BP16" i="64" s="1"/>
  <c r="BU31" i="64"/>
  <c r="AN26" i="64"/>
  <c r="AN40" i="64"/>
  <c r="BP40" i="64" s="1"/>
  <c r="BU13" i="64"/>
  <c r="BA15" i="72"/>
  <c r="AT19" i="64" s="1"/>
  <c r="AB34" i="64"/>
  <c r="AA35" i="64" s="1"/>
  <c r="AB28" i="64"/>
  <c r="AA29" i="64" s="1"/>
  <c r="AV13" i="64"/>
  <c r="Z11" i="73" s="1"/>
  <c r="AB13" i="64"/>
  <c r="AA14" i="64" s="1"/>
  <c r="AB19" i="64"/>
  <c r="AA20" i="64" s="1"/>
  <c r="AB22" i="64"/>
  <c r="AA23" i="64" s="1"/>
  <c r="AB31" i="64"/>
  <c r="AA32" i="64" s="1"/>
  <c r="AB16" i="64"/>
  <c r="AA17" i="64" s="1"/>
  <c r="BA23" i="71"/>
  <c r="AS31" i="64" s="1"/>
  <c r="AB37" i="64"/>
  <c r="AA38" i="64" s="1"/>
  <c r="AB10" i="64"/>
  <c r="AH3" i="77" s="1"/>
  <c r="AV10" i="64"/>
  <c r="Z10" i="73" s="1"/>
  <c r="AB25" i="64"/>
  <c r="AA26" i="64" s="1"/>
  <c r="AB40" i="64"/>
  <c r="AA41" i="64" s="1"/>
  <c r="AB7" i="64"/>
  <c r="AH2" i="77" s="1"/>
  <c r="AV7" i="64"/>
  <c r="Z9" i="73" s="1"/>
  <c r="AN11" i="64"/>
  <c r="BU10" i="64"/>
  <c r="AI43" i="64"/>
  <c r="AI44" i="64" s="1"/>
  <c r="AN19" i="64"/>
  <c r="BP19" i="64" s="1"/>
  <c r="BU7" i="64"/>
  <c r="AN41" i="64"/>
  <c r="AN37" i="64"/>
  <c r="BP37" i="64" s="1"/>
  <c r="AN17" i="64"/>
  <c r="AN31" i="64"/>
  <c r="BP31" i="64" s="1"/>
  <c r="AN13" i="64"/>
  <c r="BP13" i="64" s="1"/>
  <c r="AN28" i="64"/>
  <c r="BP28" i="64" s="1"/>
  <c r="AN25" i="64"/>
  <c r="AU7" i="64"/>
  <c r="W9" i="73" s="1"/>
  <c r="AN35" i="64"/>
  <c r="AN7" i="64"/>
  <c r="BP7" i="64" s="1"/>
  <c r="AN23" i="64"/>
  <c r="V43" i="64"/>
  <c r="C17" i="64"/>
  <c r="F5" i="77" s="1"/>
  <c r="BA17" i="71"/>
  <c r="AS22" i="64" s="1"/>
  <c r="K29" i="71"/>
  <c r="BA11" i="71"/>
  <c r="AS13" i="64" s="1"/>
  <c r="AY29" i="71"/>
  <c r="AX28" i="71"/>
  <c r="AY27" i="71" s="1"/>
  <c r="BA27" i="71" s="1"/>
  <c r="AS37" i="64" s="1"/>
  <c r="Z22" i="72"/>
  <c r="AA21" i="72" s="1"/>
  <c r="BA21" i="72" s="1"/>
  <c r="AT28" i="64" s="1"/>
  <c r="BA9" i="71"/>
  <c r="AS10" i="64" s="1"/>
  <c r="BA17" i="72"/>
  <c r="AT22" i="64" s="1"/>
  <c r="BA9" i="72"/>
  <c r="AT10" i="64" s="1"/>
  <c r="BA13" i="71"/>
  <c r="AS16" i="64" s="1"/>
  <c r="J30" i="72"/>
  <c r="AH30" i="71"/>
  <c r="BA13" i="72"/>
  <c r="AT16" i="64" s="1"/>
  <c r="AS7" i="64"/>
  <c r="BA25" i="71"/>
  <c r="AS34" i="64" s="1"/>
  <c r="BA15" i="71"/>
  <c r="AS19" i="64" s="1"/>
  <c r="BA23" i="72"/>
  <c r="AT31" i="64" s="1"/>
  <c r="BA27" i="72"/>
  <c r="AT37" i="64" s="1"/>
  <c r="BA7" i="72"/>
  <c r="AT7" i="64" s="1"/>
  <c r="BA11" i="72"/>
  <c r="AT13" i="64" s="1"/>
  <c r="BA25" i="72"/>
  <c r="AT34" i="64" s="1"/>
  <c r="BA19" i="72"/>
  <c r="AT25" i="64" s="1"/>
  <c r="I91" i="69" l="1"/>
  <c r="AC41" i="68"/>
  <c r="BD28" i="64" s="1"/>
  <c r="CB28" i="64" s="1"/>
  <c r="M91" i="69"/>
  <c r="L91" i="69"/>
  <c r="K91" i="69"/>
  <c r="J91" i="69"/>
  <c r="Q91" i="69"/>
  <c r="N91" i="69"/>
  <c r="P91" i="69"/>
  <c r="O91" i="69"/>
  <c r="AG41" i="68"/>
  <c r="BD34" i="64" s="1"/>
  <c r="CB34" i="64" s="1"/>
  <c r="O41" i="68"/>
  <c r="BD7" i="64" s="1"/>
  <c r="CB7" i="64" s="1"/>
  <c r="N16" i="74"/>
  <c r="O16" i="74" s="1"/>
  <c r="AE13" i="64" s="1"/>
  <c r="AG13" i="64" s="1"/>
  <c r="AF14" i="64" s="1"/>
  <c r="K11" i="73" s="1"/>
  <c r="H11" i="73" s="1"/>
  <c r="AH7" i="64"/>
  <c r="AF11" i="64"/>
  <c r="W41" i="68"/>
  <c r="BD19" i="64" s="1"/>
  <c r="CB19" i="64" s="1"/>
  <c r="Y41" i="68"/>
  <c r="BD22" i="64" s="1"/>
  <c r="CB22" i="64" s="1"/>
  <c r="AE41" i="68"/>
  <c r="BD31" i="64" s="1"/>
  <c r="CB31" i="64" s="1"/>
  <c r="AA41" i="68"/>
  <c r="U41" i="68"/>
  <c r="AI41" i="68"/>
  <c r="BD37" i="64" s="1"/>
  <c r="CB37" i="64" s="1"/>
  <c r="S41" i="68"/>
  <c r="BD13" i="64" s="1"/>
  <c r="CB13" i="64" s="1"/>
  <c r="G74" i="69"/>
  <c r="C19" i="64"/>
  <c r="E6" i="77" s="1"/>
  <c r="BG43" i="64"/>
  <c r="D21" i="64"/>
  <c r="J6" i="77" s="1"/>
  <c r="D19" i="64"/>
  <c r="H6" i="77" s="1"/>
  <c r="AH10" i="64"/>
  <c r="D20" i="64"/>
  <c r="I6" i="77" s="1"/>
  <c r="C24" i="64"/>
  <c r="G7" i="77" s="1"/>
  <c r="H74" i="69"/>
  <c r="BD10" i="64"/>
  <c r="CB10" i="64" s="1"/>
  <c r="J74" i="69"/>
  <c r="BD16" i="64"/>
  <c r="CB16" i="64" s="1"/>
  <c r="R74" i="69"/>
  <c r="BD40" i="64"/>
  <c r="CB40" i="64" s="1"/>
  <c r="K74" i="69"/>
  <c r="P74" i="69"/>
  <c r="I74" i="69"/>
  <c r="L74" i="69"/>
  <c r="O74" i="69"/>
  <c r="M74" i="69"/>
  <c r="BD25" i="64"/>
  <c r="CB25" i="64" s="1"/>
  <c r="Q74" i="69"/>
  <c r="N74" i="69"/>
  <c r="AN43" i="64"/>
  <c r="BP43" i="64" s="1"/>
  <c r="AZ12" i="73"/>
  <c r="Y17" i="64"/>
  <c r="C17" i="74"/>
  <c r="F17" i="74" s="1"/>
  <c r="N17" i="74" s="1"/>
  <c r="O17" i="74" s="1"/>
  <c r="AE16" i="64" s="1"/>
  <c r="AG16" i="64" s="1"/>
  <c r="AF17" i="64" s="1"/>
  <c r="AV16" i="64"/>
  <c r="Z12" i="73" s="1"/>
  <c r="T17" i="73"/>
  <c r="AA11" i="64"/>
  <c r="AA8" i="64"/>
  <c r="BP8" i="64" s="1"/>
  <c r="AN44" i="64"/>
  <c r="T12" i="73"/>
  <c r="Z13" i="64"/>
  <c r="AH4" i="77" s="1"/>
  <c r="T10" i="73"/>
  <c r="T9" i="73"/>
  <c r="C20" i="64"/>
  <c r="F6" i="77" s="1"/>
  <c r="T16" i="73"/>
  <c r="K29" i="72"/>
  <c r="BA29" i="72" s="1"/>
  <c r="T14" i="73"/>
  <c r="AI29" i="71"/>
  <c r="BA29" i="71" s="1"/>
  <c r="AS40" i="64" s="1"/>
  <c r="BP25" i="64"/>
  <c r="T13" i="73"/>
  <c r="T19" i="73"/>
  <c r="T11" i="73"/>
  <c r="T18" i="73"/>
  <c r="T15" i="73"/>
  <c r="K10" i="73" l="1"/>
  <c r="H10" i="73" s="1"/>
  <c r="AV10" i="73" s="1"/>
  <c r="BU14" i="64"/>
  <c r="BV14" i="64" s="1"/>
  <c r="C22" i="64"/>
  <c r="E7" i="77" s="1"/>
  <c r="BP11" i="64"/>
  <c r="BQ10" i="64" s="1"/>
  <c r="BQ11" i="64" s="1"/>
  <c r="CA10" i="64"/>
  <c r="CC10" i="64" s="1"/>
  <c r="CD10" i="64" s="1"/>
  <c r="BH10" i="64" s="1"/>
  <c r="CA7" i="64"/>
  <c r="CC7" i="64" s="1"/>
  <c r="CD7" i="64" s="1"/>
  <c r="D23" i="64"/>
  <c r="I7" i="77" s="1"/>
  <c r="C27" i="64"/>
  <c r="G8" i="77" s="1"/>
  <c r="D22" i="64"/>
  <c r="H7" i="77" s="1"/>
  <c r="D24" i="64"/>
  <c r="J7" i="77" s="1"/>
  <c r="AH13" i="64"/>
  <c r="BD43" i="64"/>
  <c r="BH43" i="64" s="1"/>
  <c r="C18" i="74"/>
  <c r="F18" i="74" s="1"/>
  <c r="N18" i="74" s="1"/>
  <c r="O18" i="74" s="1"/>
  <c r="AE19" i="64" s="1"/>
  <c r="AG19" i="64" s="1"/>
  <c r="AF20" i="64" s="1"/>
  <c r="Y20" i="64"/>
  <c r="C25" i="64"/>
  <c r="E8" i="77" s="1"/>
  <c r="AZ13" i="73"/>
  <c r="AV19" i="64"/>
  <c r="Z13" i="73" s="1"/>
  <c r="BU11" i="64"/>
  <c r="K9" i="73"/>
  <c r="BQ7" i="64"/>
  <c r="BQ8" i="64" s="1"/>
  <c r="BU8" i="64"/>
  <c r="BV7" i="64" s="1"/>
  <c r="Z16" i="64"/>
  <c r="AH5" i="77" s="1"/>
  <c r="BU17" i="64"/>
  <c r="AU13" i="64"/>
  <c r="BP14" i="64" s="1"/>
  <c r="AT40" i="64"/>
  <c r="T20" i="73" s="1"/>
  <c r="K12" i="73"/>
  <c r="H12" i="73" s="1"/>
  <c r="C23" i="64"/>
  <c r="F7" i="77" s="1"/>
  <c r="D10" i="73" l="1"/>
  <c r="BV13" i="64"/>
  <c r="BH7" i="64"/>
  <c r="D9" i="73" s="1"/>
  <c r="AO7" i="64"/>
  <c r="CA13" i="64"/>
  <c r="CC13" i="64" s="1"/>
  <c r="CD13" i="64" s="1"/>
  <c r="BH13" i="64" s="1"/>
  <c r="AO10" i="64"/>
  <c r="AX10" i="64" s="1"/>
  <c r="H9" i="73"/>
  <c r="AV9" i="73" s="1"/>
  <c r="D27" i="64"/>
  <c r="J8" i="77" s="1"/>
  <c r="D25" i="64"/>
  <c r="H8" i="77" s="1"/>
  <c r="C30" i="64"/>
  <c r="G9" i="77" s="1"/>
  <c r="D26" i="64"/>
  <c r="I8" i="77" s="1"/>
  <c r="AH16" i="64"/>
  <c r="C19" i="74"/>
  <c r="F19" i="74" s="1"/>
  <c r="N19" i="74" s="1"/>
  <c r="O19" i="74" s="1"/>
  <c r="AE22" i="64" s="1"/>
  <c r="AG22" i="64" s="1"/>
  <c r="AF23" i="64" s="1"/>
  <c r="Y23" i="64"/>
  <c r="AU16" i="64"/>
  <c r="C28" i="64"/>
  <c r="E9" i="77" s="1"/>
  <c r="AZ14" i="73"/>
  <c r="AV22" i="64"/>
  <c r="Z14" i="73" s="1"/>
  <c r="BV11" i="64"/>
  <c r="BV10" i="64"/>
  <c r="BV8" i="64"/>
  <c r="W11" i="73"/>
  <c r="BQ13" i="64"/>
  <c r="BQ14" i="64" s="1"/>
  <c r="BU20" i="64"/>
  <c r="BV17" i="64"/>
  <c r="BV16" i="64"/>
  <c r="Z19" i="64"/>
  <c r="AH6" i="77" s="1"/>
  <c r="K13" i="73"/>
  <c r="H13" i="73" s="1"/>
  <c r="C26" i="64"/>
  <c r="F8" i="77" s="1"/>
  <c r="D11" i="73" l="1"/>
  <c r="G10" i="73"/>
  <c r="AG10" i="73" s="1"/>
  <c r="G9" i="73"/>
  <c r="F9" i="73" s="1"/>
  <c r="AF9" i="73" s="1"/>
  <c r="BI7" i="64"/>
  <c r="AE2" i="77" s="1"/>
  <c r="BI10" i="64"/>
  <c r="AE3" i="77" s="1"/>
  <c r="AG2" i="77"/>
  <c r="AF2" i="77"/>
  <c r="AI2" i="77"/>
  <c r="AX7" i="64"/>
  <c r="AO13" i="64"/>
  <c r="BI13" i="64" s="1"/>
  <c r="AE4" i="77" s="1"/>
  <c r="AF3" i="77"/>
  <c r="AG3" i="77"/>
  <c r="AI3" i="77"/>
  <c r="CA16" i="64"/>
  <c r="CC16" i="64" s="1"/>
  <c r="CD16" i="64" s="1"/>
  <c r="BH16" i="64" s="1"/>
  <c r="BP17" i="64"/>
  <c r="BQ16" i="64" s="1"/>
  <c r="BQ17" i="64" s="1"/>
  <c r="D29" i="64"/>
  <c r="I9" i="77" s="1"/>
  <c r="C33" i="64"/>
  <c r="G10" i="77" s="1"/>
  <c r="D28" i="64"/>
  <c r="H9" i="77" s="1"/>
  <c r="D30" i="64"/>
  <c r="J9" i="77" s="1"/>
  <c r="AH19" i="64"/>
  <c r="W12" i="73"/>
  <c r="C20" i="74"/>
  <c r="F20" i="74" s="1"/>
  <c r="N20" i="74" s="1"/>
  <c r="O20" i="74" s="1"/>
  <c r="AE25" i="64" s="1"/>
  <c r="AG25" i="64" s="1"/>
  <c r="AF26" i="64" s="1"/>
  <c r="Y26" i="64"/>
  <c r="C31" i="64"/>
  <c r="E10" i="77" s="1"/>
  <c r="AZ15" i="73"/>
  <c r="AV25" i="64"/>
  <c r="Z15" i="73" s="1"/>
  <c r="BU23" i="64"/>
  <c r="BV20" i="64"/>
  <c r="BV19" i="64"/>
  <c r="AV11" i="73"/>
  <c r="AV12" i="73"/>
  <c r="Z22" i="64"/>
  <c r="AH7" i="77" s="1"/>
  <c r="K14" i="73"/>
  <c r="H14" i="73" s="1"/>
  <c r="C29" i="64"/>
  <c r="F9" i="77" s="1"/>
  <c r="AU19" i="64"/>
  <c r="BP20" i="64" s="1"/>
  <c r="D12" i="73" l="1"/>
  <c r="AG9" i="73"/>
  <c r="F10" i="73"/>
  <c r="AF10" i="73" s="1"/>
  <c r="G11" i="73"/>
  <c r="F11" i="73" s="1"/>
  <c r="AF11" i="73" s="1"/>
  <c r="AG4" i="77"/>
  <c r="AI4" i="77"/>
  <c r="AX13" i="64"/>
  <c r="AF4" i="77"/>
  <c r="AO16" i="64"/>
  <c r="BI16" i="64" s="1"/>
  <c r="AE5" i="77" s="1"/>
  <c r="CA19" i="64"/>
  <c r="CC19" i="64" s="1"/>
  <c r="CD19" i="64" s="1"/>
  <c r="BH19" i="64" s="1"/>
  <c r="D13" i="73" s="1"/>
  <c r="D32" i="64"/>
  <c r="I10" i="77" s="1"/>
  <c r="D33" i="64"/>
  <c r="J10" i="77" s="1"/>
  <c r="D31" i="64"/>
  <c r="H10" i="77" s="1"/>
  <c r="C36" i="64"/>
  <c r="G11" i="77" s="1"/>
  <c r="AH22" i="64"/>
  <c r="C21" i="74"/>
  <c r="F21" i="74" s="1"/>
  <c r="N21" i="74" s="1"/>
  <c r="O21" i="74" s="1"/>
  <c r="AE28" i="64" s="1"/>
  <c r="AG28" i="64" s="1"/>
  <c r="AF29" i="64" s="1"/>
  <c r="Y29" i="64"/>
  <c r="C34" i="64"/>
  <c r="E11" i="77" s="1"/>
  <c r="AZ16" i="73"/>
  <c r="AV28" i="64"/>
  <c r="Z16" i="73" s="1"/>
  <c r="E9" i="73"/>
  <c r="AN9" i="73" s="1"/>
  <c r="AU9" i="73" s="1"/>
  <c r="BU26" i="64"/>
  <c r="BV23" i="64"/>
  <c r="BV22" i="64"/>
  <c r="C32" i="64"/>
  <c r="F10" i="77" s="1"/>
  <c r="Z25" i="64"/>
  <c r="AH8" i="77" s="1"/>
  <c r="K15" i="73"/>
  <c r="H15" i="73" s="1"/>
  <c r="AU22" i="64"/>
  <c r="BP23" i="64" s="1"/>
  <c r="W13" i="73"/>
  <c r="BQ19" i="64"/>
  <c r="BQ20" i="64" s="1"/>
  <c r="AG11" i="73" l="1"/>
  <c r="E10" i="73"/>
  <c r="AN10" i="73" s="1"/>
  <c r="AU10" i="73" s="1"/>
  <c r="E11" i="73"/>
  <c r="AN11" i="73" s="1"/>
  <c r="AU11" i="73" s="1"/>
  <c r="G12" i="73"/>
  <c r="F12" i="73" s="1"/>
  <c r="AF12" i="73" s="1"/>
  <c r="AX16" i="64"/>
  <c r="AI5" i="77"/>
  <c r="AG5" i="77"/>
  <c r="AF5" i="77"/>
  <c r="AO19" i="64"/>
  <c r="BI19" i="64" s="1"/>
  <c r="AE6" i="77" s="1"/>
  <c r="CA22" i="64"/>
  <c r="CC22" i="64" s="1"/>
  <c r="CD22" i="64" s="1"/>
  <c r="BH22" i="64" s="1"/>
  <c r="AL9" i="73"/>
  <c r="AS9" i="73" s="1"/>
  <c r="AM9" i="73"/>
  <c r="AT9" i="73" s="1"/>
  <c r="D35" i="64"/>
  <c r="I11" i="77" s="1"/>
  <c r="C39" i="64"/>
  <c r="G12" i="77" s="1"/>
  <c r="D34" i="64"/>
  <c r="H11" i="77" s="1"/>
  <c r="D36" i="64"/>
  <c r="J11" i="77" s="1"/>
  <c r="AH25" i="64"/>
  <c r="C22" i="74"/>
  <c r="F22" i="74" s="1"/>
  <c r="N22" i="74" s="1"/>
  <c r="O22" i="74" s="1"/>
  <c r="AE31" i="64" s="1"/>
  <c r="AG31" i="64" s="1"/>
  <c r="AF32" i="64" s="1"/>
  <c r="Y32" i="64"/>
  <c r="C37" i="64"/>
  <c r="E12" i="77" s="1"/>
  <c r="AI9" i="73"/>
  <c r="AP9" i="73" s="1"/>
  <c r="AZ17" i="73"/>
  <c r="AV31" i="64"/>
  <c r="Z17" i="73" s="1"/>
  <c r="AJ9" i="73"/>
  <c r="AQ9" i="73" s="1"/>
  <c r="AK9" i="73"/>
  <c r="AR9" i="73" s="1"/>
  <c r="BV26" i="64"/>
  <c r="BV25" i="64"/>
  <c r="BU29" i="64"/>
  <c r="W14" i="73"/>
  <c r="BQ22" i="64"/>
  <c r="BQ23" i="64" s="1"/>
  <c r="AV13" i="73"/>
  <c r="AU25" i="64"/>
  <c r="BP26" i="64" s="1"/>
  <c r="Z28" i="64"/>
  <c r="AH9" i="77" s="1"/>
  <c r="K16" i="73"/>
  <c r="H16" i="73" s="1"/>
  <c r="C35" i="64"/>
  <c r="F11" i="77" s="1"/>
  <c r="AK10" i="73" l="1"/>
  <c r="AR10" i="73" s="1"/>
  <c r="AL10" i="73"/>
  <c r="AS10" i="73" s="1"/>
  <c r="AM10" i="73"/>
  <c r="AT10" i="73" s="1"/>
  <c r="D14" i="73"/>
  <c r="AI10" i="73"/>
  <c r="AP10" i="73" s="1"/>
  <c r="AJ10" i="73"/>
  <c r="AQ10" i="73" s="1"/>
  <c r="AG12" i="73"/>
  <c r="AI11" i="73"/>
  <c r="AP11" i="73" s="1"/>
  <c r="AL11" i="73"/>
  <c r="AS11" i="73" s="1"/>
  <c r="AJ11" i="73"/>
  <c r="AQ11" i="73" s="1"/>
  <c r="AM11" i="73"/>
  <c r="AT11" i="73" s="1"/>
  <c r="AK11" i="73"/>
  <c r="AR11" i="73" s="1"/>
  <c r="G13" i="73"/>
  <c r="AG13" i="73" s="1"/>
  <c r="E12" i="73"/>
  <c r="AN12" i="73" s="1"/>
  <c r="AU12" i="73" s="1"/>
  <c r="AF6" i="77"/>
  <c r="AX19" i="64"/>
  <c r="AG6" i="77"/>
  <c r="AI6" i="77"/>
  <c r="AO22" i="64"/>
  <c r="AX22" i="64" s="1"/>
  <c r="CA25" i="64"/>
  <c r="CC25" i="64" s="1"/>
  <c r="CD25" i="64" s="1"/>
  <c r="BH25" i="64" s="1"/>
  <c r="D38" i="64"/>
  <c r="I12" i="77" s="1"/>
  <c r="D39" i="64"/>
  <c r="J12" i="77" s="1"/>
  <c r="D37" i="64"/>
  <c r="H12" i="77" s="1"/>
  <c r="C42" i="64"/>
  <c r="G13" i="77" s="1"/>
  <c r="AH28" i="64"/>
  <c r="C23" i="74"/>
  <c r="F23" i="74" s="1"/>
  <c r="N23" i="74" s="1"/>
  <c r="O23" i="74" s="1"/>
  <c r="AE34" i="64" s="1"/>
  <c r="AG34" i="64" s="1"/>
  <c r="AF35" i="64" s="1"/>
  <c r="Y35" i="64"/>
  <c r="C40" i="64"/>
  <c r="E13" i="77" s="1"/>
  <c r="AZ18" i="73"/>
  <c r="AV34" i="64"/>
  <c r="Z18" i="73" s="1"/>
  <c r="AW9" i="73"/>
  <c r="AE9" i="73" s="1"/>
  <c r="AD9" i="73" s="1"/>
  <c r="BV29" i="64"/>
  <c r="BV28" i="64"/>
  <c r="BU32" i="64"/>
  <c r="W15" i="73"/>
  <c r="BQ25" i="64"/>
  <c r="BQ26" i="64" s="1"/>
  <c r="Z31" i="64"/>
  <c r="AH10" i="77" s="1"/>
  <c r="K17" i="73"/>
  <c r="H17" i="73" s="1"/>
  <c r="C38" i="64"/>
  <c r="F12" i="77" s="1"/>
  <c r="AU28" i="64"/>
  <c r="BP29" i="64" s="1"/>
  <c r="AV14" i="73"/>
  <c r="D15" i="73" l="1"/>
  <c r="AW10" i="73"/>
  <c r="AE10" i="73" s="1"/>
  <c r="AD10" i="73" s="1"/>
  <c r="F13" i="73"/>
  <c r="AF13" i="73" s="1"/>
  <c r="AW11" i="73"/>
  <c r="AE11" i="73" s="1"/>
  <c r="AD11" i="73" s="1"/>
  <c r="AL12" i="73"/>
  <c r="AS12" i="73" s="1"/>
  <c r="AM12" i="73"/>
  <c r="AT12" i="73" s="1"/>
  <c r="G14" i="73"/>
  <c r="F14" i="73" s="1"/>
  <c r="AJ12" i="73"/>
  <c r="AQ12" i="73" s="1"/>
  <c r="AK12" i="73"/>
  <c r="AR12" i="73" s="1"/>
  <c r="AI12" i="73"/>
  <c r="AP12" i="73" s="1"/>
  <c r="AO25" i="64"/>
  <c r="BI25" i="64" s="1"/>
  <c r="AE8" i="77" s="1"/>
  <c r="AI7" i="77"/>
  <c r="AF7" i="77"/>
  <c r="AG7" i="77"/>
  <c r="CA28" i="64"/>
  <c r="CC28" i="64" s="1"/>
  <c r="CD28" i="64" s="1"/>
  <c r="BH28" i="64" s="1"/>
  <c r="BI22" i="64"/>
  <c r="AE7" i="77" s="1"/>
  <c r="D41" i="64"/>
  <c r="I13" i="77" s="1"/>
  <c r="C45" i="64"/>
  <c r="D40" i="64"/>
  <c r="H13" i="77" s="1"/>
  <c r="D42" i="64"/>
  <c r="J13" i="77" s="1"/>
  <c r="AH31" i="64"/>
  <c r="C24" i="74"/>
  <c r="F24" i="74" s="1"/>
  <c r="N24" i="74" s="1"/>
  <c r="O24" i="74" s="1"/>
  <c r="AE37" i="64" s="1"/>
  <c r="AG37" i="64" s="1"/>
  <c r="AF38" i="64" s="1"/>
  <c r="Y38" i="64"/>
  <c r="C43" i="64"/>
  <c r="AZ19" i="73"/>
  <c r="AV37" i="64"/>
  <c r="Z19" i="73" s="1"/>
  <c r="BU35" i="64"/>
  <c r="BV32" i="64"/>
  <c r="BV31" i="64"/>
  <c r="W16" i="73"/>
  <c r="BQ28" i="64"/>
  <c r="BQ29" i="64" s="1"/>
  <c r="AV15" i="73"/>
  <c r="AU31" i="64"/>
  <c r="BP32" i="64" s="1"/>
  <c r="Z34" i="64"/>
  <c r="AH11" i="77" s="1"/>
  <c r="K18" i="73"/>
  <c r="H18" i="73" s="1"/>
  <c r="C41" i="64"/>
  <c r="F13" i="77" s="1"/>
  <c r="D43" i="64" l="1"/>
  <c r="D16" i="73"/>
  <c r="AG14" i="73"/>
  <c r="E13" i="73"/>
  <c r="AN13" i="73" s="1"/>
  <c r="AU13" i="73" s="1"/>
  <c r="AW12" i="73"/>
  <c r="AE12" i="73" s="1"/>
  <c r="AD12" i="73" s="1"/>
  <c r="AF14" i="73"/>
  <c r="E14" i="73"/>
  <c r="AN14" i="73" s="1"/>
  <c r="AU14" i="73" s="1"/>
  <c r="G15" i="73"/>
  <c r="F15" i="73" s="1"/>
  <c r="AF15" i="73" s="1"/>
  <c r="AX25" i="64"/>
  <c r="AO28" i="64"/>
  <c r="BI28" i="64" s="1"/>
  <c r="AE9" i="77" s="1"/>
  <c r="CA31" i="64"/>
  <c r="CC31" i="64" s="1"/>
  <c r="CD31" i="64" s="1"/>
  <c r="BH31" i="64" s="1"/>
  <c r="D17" i="73" s="1"/>
  <c r="AF8" i="77"/>
  <c r="AG8" i="77"/>
  <c r="AI8" i="77"/>
  <c r="D44" i="64"/>
  <c r="D45" i="64"/>
  <c r="AH34" i="64"/>
  <c r="C25" i="74"/>
  <c r="F25" i="74" s="1"/>
  <c r="N25" i="74" s="1"/>
  <c r="O25" i="74" s="1"/>
  <c r="AE40" i="64" s="1"/>
  <c r="AG40" i="64" s="1"/>
  <c r="Y41" i="64"/>
  <c r="AZ20" i="73"/>
  <c r="AV40" i="64"/>
  <c r="Z20" i="73" s="1"/>
  <c r="BU38" i="64"/>
  <c r="BV34" i="64"/>
  <c r="BV35" i="64"/>
  <c r="Z37" i="64"/>
  <c r="AH12" i="77" s="1"/>
  <c r="K19" i="73"/>
  <c r="H19" i="73" s="1"/>
  <c r="AV16" i="73"/>
  <c r="W17" i="73"/>
  <c r="AV17" i="73" s="1"/>
  <c r="BQ31" i="64"/>
  <c r="BQ32" i="64" s="1"/>
  <c r="AU34" i="64"/>
  <c r="BP35" i="64" s="1"/>
  <c r="C44" i="64"/>
  <c r="AJ13" i="73" l="1"/>
  <c r="AQ13" i="73" s="1"/>
  <c r="AI13" i="73"/>
  <c r="AP13" i="73" s="1"/>
  <c r="AK13" i="73"/>
  <c r="AR13" i="73" s="1"/>
  <c r="AM13" i="73"/>
  <c r="AT13" i="73" s="1"/>
  <c r="AL13" i="73"/>
  <c r="AS13" i="73" s="1"/>
  <c r="AL14" i="73"/>
  <c r="AS14" i="73" s="1"/>
  <c r="AM14" i="73"/>
  <c r="AT14" i="73" s="1"/>
  <c r="AK14" i="73"/>
  <c r="AR14" i="73" s="1"/>
  <c r="AJ14" i="73"/>
  <c r="AQ14" i="73" s="1"/>
  <c r="AI14" i="73"/>
  <c r="AP14" i="73" s="1"/>
  <c r="AG15" i="73"/>
  <c r="AF41" i="64"/>
  <c r="K20" i="73" s="1"/>
  <c r="H20" i="73" s="1"/>
  <c r="AG43" i="64"/>
  <c r="AF44" i="64" s="1"/>
  <c r="G16" i="73"/>
  <c r="AG16" i="73" s="1"/>
  <c r="Y44" i="64"/>
  <c r="E15" i="73"/>
  <c r="AM15" i="73" s="1"/>
  <c r="AT15" i="73" s="1"/>
  <c r="AX28" i="64"/>
  <c r="CA34" i="64"/>
  <c r="CC34" i="64" s="1"/>
  <c r="CD34" i="64" s="1"/>
  <c r="BH34" i="64" s="1"/>
  <c r="AO31" i="64"/>
  <c r="AX31" i="64" s="1"/>
  <c r="AG9" i="77"/>
  <c r="AI9" i="77"/>
  <c r="AF9" i="77"/>
  <c r="AH37" i="64"/>
  <c r="AZ21" i="73"/>
  <c r="AV43" i="64"/>
  <c r="Z21" i="73" s="1"/>
  <c r="Z40" i="64"/>
  <c r="AH13" i="77" s="1"/>
  <c r="BV38" i="64"/>
  <c r="BV37" i="64"/>
  <c r="W18" i="73"/>
  <c r="BQ34" i="64"/>
  <c r="BQ35" i="64" s="1"/>
  <c r="AU37" i="64"/>
  <c r="BP38" i="64" s="1"/>
  <c r="D18" i="73" l="1"/>
  <c r="BU41" i="64"/>
  <c r="AW13" i="73"/>
  <c r="AE13" i="73" s="1"/>
  <c r="AD13" i="73" s="1"/>
  <c r="AW14" i="73"/>
  <c r="AE14" i="73" s="1"/>
  <c r="AD14" i="73" s="1"/>
  <c r="AL15" i="73"/>
  <c r="AS15" i="73" s="1"/>
  <c r="AI15" i="73"/>
  <c r="AP15" i="73" s="1"/>
  <c r="AK15" i="73"/>
  <c r="AR15" i="73" s="1"/>
  <c r="G17" i="73"/>
  <c r="F17" i="73" s="1"/>
  <c r="AN15" i="73"/>
  <c r="AU15" i="73" s="1"/>
  <c r="AJ15" i="73"/>
  <c r="AQ15" i="73" s="1"/>
  <c r="F16" i="73"/>
  <c r="CA37" i="64"/>
  <c r="CC37" i="64" s="1"/>
  <c r="CD37" i="64" s="1"/>
  <c r="BH37" i="64" s="1"/>
  <c r="D19" i="73" s="1"/>
  <c r="AG10" i="77"/>
  <c r="AI10" i="77"/>
  <c r="AF10" i="77"/>
  <c r="AO34" i="64"/>
  <c r="AX34" i="64" s="1"/>
  <c r="BI31" i="64"/>
  <c r="AE10" i="77" s="1"/>
  <c r="AH40" i="64"/>
  <c r="AH43" i="64" s="1"/>
  <c r="AU40" i="64"/>
  <c r="BV41" i="64"/>
  <c r="BV40" i="64"/>
  <c r="Z43" i="64"/>
  <c r="BU44" i="64"/>
  <c r="K21" i="73"/>
  <c r="W19" i="73"/>
  <c r="BQ37" i="64"/>
  <c r="BQ38" i="64" s="1"/>
  <c r="AV18" i="73"/>
  <c r="AW15" i="73" l="1"/>
  <c r="AE15" i="73" s="1"/>
  <c r="AD15" i="73" s="1"/>
  <c r="AF17" i="73"/>
  <c r="E17" i="73"/>
  <c r="AN17" i="73" s="1"/>
  <c r="AU17" i="73" s="1"/>
  <c r="G18" i="73"/>
  <c r="F18" i="73" s="1"/>
  <c r="AF18" i="73" s="1"/>
  <c r="AG17" i="73"/>
  <c r="AF16" i="73"/>
  <c r="E16" i="73"/>
  <c r="CA40" i="64"/>
  <c r="CC40" i="64" s="1"/>
  <c r="CD40" i="64" s="1"/>
  <c r="BH40" i="64" s="1"/>
  <c r="D20" i="73" s="1"/>
  <c r="AI11" i="77"/>
  <c r="AF11" i="77"/>
  <c r="AG11" i="77"/>
  <c r="BI34" i="64"/>
  <c r="AE11" i="77" s="1"/>
  <c r="AO37" i="64"/>
  <c r="AX37" i="64" s="1"/>
  <c r="BP41" i="64"/>
  <c r="BQ40" i="64" s="1"/>
  <c r="BQ41" i="64" s="1"/>
  <c r="W20" i="73"/>
  <c r="AV20" i="73" s="1"/>
  <c r="AO43" i="64"/>
  <c r="AX43" i="64" s="1"/>
  <c r="AU43" i="64"/>
  <c r="BV43" i="64"/>
  <c r="BV44" i="64"/>
  <c r="AV19" i="73"/>
  <c r="AM17" i="73" l="1"/>
  <c r="AT17" i="73" s="1"/>
  <c r="AK17" i="73"/>
  <c r="AR17" i="73" s="1"/>
  <c r="AJ17" i="73"/>
  <c r="AQ17" i="73" s="1"/>
  <c r="AG18" i="73"/>
  <c r="AI17" i="73"/>
  <c r="AP17" i="73" s="1"/>
  <c r="G19" i="73"/>
  <c r="F19" i="73" s="1"/>
  <c r="AM16" i="73"/>
  <c r="AT16" i="73" s="1"/>
  <c r="AK16" i="73"/>
  <c r="AR16" i="73" s="1"/>
  <c r="AN16" i="73"/>
  <c r="AU16" i="73" s="1"/>
  <c r="AL16" i="73"/>
  <c r="AS16" i="73" s="1"/>
  <c r="AI16" i="73"/>
  <c r="AP16" i="73" s="1"/>
  <c r="AJ16" i="73"/>
  <c r="AQ16" i="73" s="1"/>
  <c r="AL17" i="73"/>
  <c r="AS17" i="73" s="1"/>
  <c r="E18" i="73"/>
  <c r="AL18" i="73" s="1"/>
  <c r="AS18" i="73" s="1"/>
  <c r="AI12" i="77"/>
  <c r="AF12" i="77"/>
  <c r="AG12" i="77"/>
  <c r="BI37" i="64"/>
  <c r="AE12" i="77" s="1"/>
  <c r="AO40" i="64"/>
  <c r="BI40" i="64" s="1"/>
  <c r="AE13" i="77" s="1"/>
  <c r="BP44" i="64"/>
  <c r="BQ43" i="64" s="1"/>
  <c r="BQ44" i="64" s="1"/>
  <c r="D21" i="73" s="1"/>
  <c r="BI43" i="64"/>
  <c r="W21" i="73"/>
  <c r="H21" i="73" s="1"/>
  <c r="AG19" i="73" l="1"/>
  <c r="AF19" i="73"/>
  <c r="E19" i="73"/>
  <c r="AJ19" i="73" s="1"/>
  <c r="AQ19" i="73" s="1"/>
  <c r="AW16" i="73"/>
  <c r="AE16" i="73" s="1"/>
  <c r="AD16" i="73" s="1"/>
  <c r="AW17" i="73"/>
  <c r="AE17" i="73" s="1"/>
  <c r="AD17" i="73" s="1"/>
  <c r="AK18" i="73"/>
  <c r="AR18" i="73" s="1"/>
  <c r="AM18" i="73"/>
  <c r="AT18" i="73" s="1"/>
  <c r="AJ18" i="73"/>
  <c r="AQ18" i="73" s="1"/>
  <c r="AI18" i="73"/>
  <c r="AP18" i="73" s="1"/>
  <c r="AN18" i="73"/>
  <c r="AU18" i="73" s="1"/>
  <c r="G20" i="73"/>
  <c r="F20" i="73" s="1"/>
  <c r="AF20" i="73" s="1"/>
  <c r="AX40" i="64"/>
  <c r="AF13" i="77"/>
  <c r="AG13" i="77"/>
  <c r="AI13" i="77"/>
  <c r="AW18" i="73" l="1"/>
  <c r="AE18" i="73" s="1"/>
  <c r="AD18" i="73" s="1"/>
  <c r="AK19" i="73"/>
  <c r="AR19" i="73" s="1"/>
  <c r="AL19" i="73"/>
  <c r="AS19" i="73" s="1"/>
  <c r="AI19" i="73"/>
  <c r="AP19" i="73" s="1"/>
  <c r="AM19" i="73"/>
  <c r="AT19" i="73" s="1"/>
  <c r="AN19" i="73"/>
  <c r="AU19" i="73" s="1"/>
  <c r="AG20" i="73"/>
  <c r="G21" i="73"/>
  <c r="F21" i="73" s="1"/>
  <c r="AF21" i="73" s="1"/>
  <c r="N49" i="64" s="1"/>
  <c r="E20" i="73"/>
  <c r="AN20" i="73" s="1"/>
  <c r="AU20" i="73" s="1"/>
  <c r="U51" i="64"/>
  <c r="U52" i="64" s="1"/>
  <c r="U53" i="64" s="1"/>
  <c r="T51" i="64"/>
  <c r="T52" i="64" s="1"/>
  <c r="T53" i="64" s="1"/>
  <c r="S51" i="64"/>
  <c r="S52" i="64" s="1"/>
  <c r="S53" i="64" s="1"/>
  <c r="V51" i="64"/>
  <c r="V52" i="64" s="1"/>
  <c r="V53" i="64" s="1"/>
  <c r="R51" i="64"/>
  <c r="R52" i="64" s="1"/>
  <c r="R53" i="64" s="1"/>
  <c r="T49" i="64"/>
  <c r="AV21" i="73"/>
  <c r="AW19" i="73" l="1"/>
  <c r="AE19" i="73" s="1"/>
  <c r="AD19" i="73" s="1"/>
  <c r="AL20" i="73"/>
  <c r="AS20" i="73" s="1"/>
  <c r="AK20" i="73"/>
  <c r="AR20" i="73" s="1"/>
  <c r="AI20" i="73"/>
  <c r="AP20" i="73" s="1"/>
  <c r="AM20" i="73"/>
  <c r="AT20" i="73" s="1"/>
  <c r="AJ20" i="73"/>
  <c r="AQ20" i="73" s="1"/>
  <c r="AG21" i="73"/>
  <c r="O49" i="64" s="1"/>
  <c r="AW20" i="73" l="1"/>
  <c r="AE20" i="73" s="1"/>
  <c r="AD20" i="73" s="1"/>
  <c r="E21" i="73"/>
  <c r="AN21" i="73" s="1"/>
  <c r="AU21" i="73" s="1"/>
  <c r="AI21" i="73" l="1"/>
  <c r="AP21" i="73" s="1"/>
  <c r="AM21" i="73"/>
  <c r="AT21" i="73" s="1"/>
  <c r="AL21" i="73"/>
  <c r="AS21" i="73" s="1"/>
  <c r="AJ21" i="73"/>
  <c r="AQ21" i="73" s="1"/>
  <c r="AK21" i="73"/>
  <c r="AR21" i="73" s="1"/>
  <c r="AW21" i="73" l="1"/>
  <c r="AE21" i="73" s="1"/>
  <c r="L49" i="64" s="1"/>
  <c r="AD21" i="7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Jyumpei Watanabe</author>
  </authors>
  <commentList>
    <comment ref="AI8" authorId="0" shapeId="0" xr:uid="{677C79C1-3A12-4E26-B997-5CCCC4B6DBF9}">
      <text>
        <r>
          <rPr>
            <b/>
            <sz val="9"/>
            <color indexed="81"/>
            <rFont val="MS P ゴシック"/>
            <family val="3"/>
            <charset val="128"/>
          </rPr>
          <t>（③+…）のパターン</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Jyumpei Watanabe</author>
    <author>tanaka</author>
    <author>Kyoto</author>
  </authors>
  <commentList>
    <comment ref="BB3" authorId="0" shapeId="0" xr:uid="{00000000-0006-0000-0000-000004000000}">
      <text>
        <r>
          <rPr>
            <sz val="10"/>
            <color indexed="81"/>
            <rFont val="ＭＳ Ｐゴシック"/>
            <family val="3"/>
            <charset val="128"/>
          </rPr>
          <t xml:space="preserve">・幼稚園教諭免許又は保育士資格保有者が対象
</t>
        </r>
      </text>
    </comment>
    <comment ref="C4" authorId="1" shapeId="0" xr:uid="{7BABC83E-E96D-444E-828D-61CF5831088B}">
      <text>
        <r>
          <rPr>
            <b/>
            <sz val="9"/>
            <color indexed="10"/>
            <rFont val="MS P ゴシック"/>
            <family val="3"/>
            <charset val="128"/>
          </rPr>
          <t xml:space="preserve">利用定員の変更があった場合は、数式を壊して、
数値を直接入力して下さい。
</t>
        </r>
        <r>
          <rPr>
            <b/>
            <sz val="9"/>
            <color indexed="81"/>
            <rFont val="MS P ゴシック"/>
            <family val="3"/>
            <charset val="128"/>
          </rPr>
          <t xml:space="preserve">
</t>
        </r>
        <r>
          <rPr>
            <sz val="9"/>
            <color indexed="81"/>
            <rFont val="MS P ゴシック"/>
            <family val="3"/>
            <charset val="128"/>
          </rPr>
          <t>例）6月1日付で定員変更⇒6月分の定員を修正
（以降の月は、前月数値を自動引用されます）</t>
        </r>
      </text>
    </comment>
    <comment ref="D4" authorId="1" shapeId="0" xr:uid="{5907F17E-6A91-4B8A-902D-2DED3715F7E5}">
      <text>
        <r>
          <rPr>
            <b/>
            <sz val="9"/>
            <color indexed="81"/>
            <rFont val="MS P ゴシック"/>
            <family val="3"/>
            <charset val="128"/>
          </rPr>
          <t>同左</t>
        </r>
      </text>
    </comment>
    <comment ref="AP4" authorId="0" shapeId="0" xr:uid="{3F28C2C6-3923-43C2-A789-BC6C3326E8DF}">
      <text>
        <r>
          <rPr>
            <b/>
            <u/>
            <sz val="10"/>
            <color indexed="10"/>
            <rFont val="ＭＳ Ｐゴシック"/>
            <family val="3"/>
            <charset val="128"/>
          </rPr>
          <t>１号児童分、２・３号児童分ごとに、</t>
        </r>
        <r>
          <rPr>
            <b/>
            <sz val="9"/>
            <color indexed="81"/>
            <rFont val="ＭＳ Ｐゴシック"/>
            <family val="3"/>
            <charset val="128"/>
          </rPr>
          <t xml:space="preserve">小数点第1位まで入力してください。　区分1⇒1、区分2⇒0.6、区分3⇒0.5、区分4⇒0.3、区分5⇒0.2
※認定されている月ごとに記載してください。（例：６月に入所し、同月から区分１が適用→６月から１を記載）
</t>
        </r>
        <r>
          <rPr>
            <b/>
            <sz val="10"/>
            <color indexed="10"/>
            <rFont val="ＭＳ Ｐゴシック"/>
            <family val="3"/>
            <charset val="128"/>
          </rPr>
          <t>※人件費等補助金における</t>
        </r>
        <r>
          <rPr>
            <b/>
            <u/>
            <sz val="10"/>
            <color indexed="10"/>
            <rFont val="ＭＳ Ｐゴシック"/>
            <family val="3"/>
            <charset val="128"/>
          </rPr>
          <t>第３期・実績報告期</t>
        </r>
        <r>
          <rPr>
            <b/>
            <sz val="10"/>
            <color indexed="10"/>
            <rFont val="ＭＳ Ｐゴシック"/>
            <family val="3"/>
            <charset val="128"/>
          </rPr>
          <t>では、申請月時点での認定実績に加え、申請月以降の認定の見込みも加味し、３月分まで入力</t>
        </r>
        <r>
          <rPr>
            <b/>
            <sz val="10"/>
            <color indexed="81"/>
            <rFont val="ＭＳ Ｐゴシック"/>
            <family val="3"/>
            <charset val="128"/>
          </rPr>
          <t>してください。　見込むことが難しい場合は、例えば昨年度の認定実績を参考にするなどしてください。</t>
        </r>
        <r>
          <rPr>
            <b/>
            <sz val="10"/>
            <color indexed="10"/>
            <rFont val="ＭＳ Ｐゴシック"/>
            <family val="3"/>
            <charset val="128"/>
          </rPr>
          <t>最終的に見込から変動が生じた場合は、翌年７月以降の最終精算で修正し、再提出していただきます。</t>
        </r>
        <r>
          <rPr>
            <b/>
            <sz val="10"/>
            <color indexed="81"/>
            <rFont val="ＭＳ Ｐゴシック"/>
            <family val="3"/>
            <charset val="128"/>
          </rPr>
          <t>　</t>
        </r>
      </text>
    </comment>
    <comment ref="BE4" authorId="2" shapeId="0" xr:uid="{00000000-0006-0000-0000-00000B000000}">
      <text>
        <r>
          <rPr>
            <b/>
            <sz val="11"/>
            <color indexed="81"/>
            <rFont val="MS P ゴシック"/>
            <family val="3"/>
            <charset val="128"/>
          </rPr>
          <t>【教育補助者】</t>
        </r>
        <r>
          <rPr>
            <sz val="11"/>
            <color indexed="81"/>
            <rFont val="MS P ゴシック"/>
            <family val="3"/>
            <charset val="128"/>
          </rPr>
          <t xml:space="preserve">
　幼稚園教諭の免許状を有するが教諭等の発令を受けていない者
　※⑦チーム保育加配人数の範囲内で職員としてカウントできます。</t>
        </r>
      </text>
    </comment>
    <comment ref="BI5" authorId="3" shapeId="0" xr:uid="{604E00AD-6001-4AD6-980B-5B699A162C1A}">
      <text>
        <r>
          <rPr>
            <b/>
            <u/>
            <sz val="11"/>
            <color indexed="10"/>
            <rFont val="BIZ UDPゴシック"/>
            <family val="3"/>
            <charset val="128"/>
          </rPr>
          <t>【注意】
この欄は、現在の実配置数が、必置職員数（条例で定める配置基準）や給付費の加算要件を満たしているかを示しています。
マイナスの場合は、配置基準を満たしていないか、給付費の加算の適用ができません。
※人件費等補助金の補助算定職員数との関連を示したものではありません。これについては、本表の下部を御確認ください。</t>
        </r>
      </text>
    </comment>
    <comment ref="BD6" authorId="3" shapeId="0" xr:uid="{00000000-0006-0000-0000-00000C000000}">
      <text>
        <r>
          <rPr>
            <b/>
            <sz val="9"/>
            <color indexed="81"/>
            <rFont val="MS P ゴシック"/>
            <family val="3"/>
            <charset val="128"/>
          </rPr>
          <t>教職員としてみなすことのできる保健師、看護師又は准看護師を含む。</t>
        </r>
      </text>
    </comment>
    <comment ref="I7" authorId="0" shapeId="0" xr:uid="{E1121B11-7740-4185-84AE-B1C1309C338D}">
      <text>
        <r>
          <rPr>
            <b/>
            <sz val="10"/>
            <color indexed="81"/>
            <rFont val="ＭＳ Ｐゴシック"/>
            <family val="3"/>
            <charset val="128"/>
          </rPr>
          <t>満3歳児を除く。</t>
        </r>
      </text>
    </comment>
    <comment ref="Q7" authorId="0" shapeId="0" xr:uid="{CE2FCFDF-1830-4605-BA5A-94DD70F07D8D}">
      <text>
        <r>
          <rPr>
            <b/>
            <sz val="10"/>
            <color indexed="81"/>
            <rFont val="ＭＳ Ｐゴシック"/>
            <family val="3"/>
            <charset val="128"/>
          </rPr>
          <t>満3歳児を除く。</t>
        </r>
      </text>
    </comment>
    <comment ref="P53" authorId="1" shapeId="0" xr:uid="{2177CEB5-3BD7-4288-9D02-6B850E26A0FF}">
      <text>
        <r>
          <rPr>
            <sz val="9"/>
            <color indexed="81"/>
            <rFont val="MS P ゴシック"/>
            <family val="3"/>
            <charset val="128"/>
          </rPr>
          <t>10月から雇用開始なら、「10」を選択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K12" authorId="0" shapeId="0" xr:uid="{A6F23572-1A1A-4F06-A520-95D8648C5F85}">
      <text>
        <r>
          <rPr>
            <b/>
            <sz val="9"/>
            <color indexed="81"/>
            <rFont val="MS P ゴシック"/>
            <family val="3"/>
            <charset val="128"/>
          </rPr>
          <t>Kyoto:</t>
        </r>
        <r>
          <rPr>
            <sz val="9"/>
            <color indexed="81"/>
            <rFont val="MS P ゴシック"/>
            <family val="3"/>
            <charset val="128"/>
          </rPr>
          <t xml:space="preserve">
1・2号の利用定員が31人以上300人以下の施設が対象</t>
        </r>
      </text>
    </comment>
    <comment ref="M12" authorId="0" shapeId="0" xr:uid="{DCB7D9AC-38D8-4E43-A2E0-BB25B8BB075E}">
      <text>
        <r>
          <rPr>
            <sz val="9"/>
            <color indexed="81"/>
            <rFont val="MS P ゴシック"/>
            <family val="3"/>
            <charset val="128"/>
          </rPr>
          <t>主幹保育教諭等を専任化するための代替保育教諭等として非常勤講師等を充てることが可能です。ただし、本園・分園ごとに、2名の専任化が必要な場合（＝１号子どもと２号子どものどちらもがいる場合）につき1名が上限。
該当する非常勤講師等がいない場合は「0」を選択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小林</author>
  </authors>
  <commentList>
    <comment ref="C7" authorId="0" shapeId="0" xr:uid="{00000000-0006-0000-0100-000001000000}">
      <text>
        <r>
          <rPr>
            <b/>
            <sz val="9"/>
            <color indexed="81"/>
            <rFont val="MS P ゴシック"/>
            <family val="3"/>
            <charset val="128"/>
          </rPr>
          <t>本園の標準時間利用児童の内訳を入力してください。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小林</author>
  </authors>
  <commentList>
    <comment ref="C7" authorId="0" shapeId="0" xr:uid="{00000000-0006-0000-0200-000001000000}">
      <text>
        <r>
          <rPr>
            <b/>
            <sz val="9"/>
            <color indexed="81"/>
            <rFont val="MS P ゴシック"/>
            <family val="3"/>
            <charset val="128"/>
          </rPr>
          <t>本園の標準時間利用児童の内訳を入力してください。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Kyoto</author>
    <author>nakajo</author>
    <author>tanaka-y</author>
    <author>Sai</author>
  </authors>
  <commentList>
    <comment ref="B6" authorId="0" shapeId="0" xr:uid="{00000000-0006-0000-0300-000001000000}">
      <text>
        <r>
          <rPr>
            <b/>
            <sz val="18"/>
            <color indexed="10"/>
            <rFont val="MS P ゴシック"/>
            <family val="3"/>
            <charset val="128"/>
          </rPr>
          <t>本園に専従の常勤保育士以外の職員は入力しないでください。
（他の保育所又は社会福祉施設等と兼務している常勤保育士は、本シートではなく、様式３に入力してください）
また、園長は含めません。</t>
        </r>
      </text>
    </comment>
    <comment ref="G6" authorId="0" shapeId="0" xr:uid="{00000000-0006-0000-0300-000002000000}">
      <text>
        <r>
          <rPr>
            <b/>
            <sz val="12"/>
            <color indexed="81"/>
            <rFont val="MS P ゴシック"/>
            <family val="3"/>
            <charset val="128"/>
          </rPr>
          <t>勤務した月について○を入力してください。</t>
        </r>
      </text>
    </comment>
    <comment ref="D7" authorId="0" shapeId="0" xr:uid="{F213B684-81A1-4C63-B01D-653014C8480E}">
      <text>
        <r>
          <rPr>
            <b/>
            <sz val="12"/>
            <color indexed="81"/>
            <rFont val="MS P ゴシック"/>
            <family val="3"/>
            <charset val="128"/>
          </rPr>
          <t>令和11年度までは、保育士資格又は幼稚園教諭普通免許状保有のみで可。ただし、副園長又は教頭を職員配置の人数に含める場合の経過措置は、令和８年度末まで</t>
        </r>
      </text>
    </comment>
    <comment ref="E7" authorId="0" shapeId="0" xr:uid="{83BC9F23-6EF3-4943-9939-B4504B5A1AF2}">
      <text>
        <r>
          <rPr>
            <b/>
            <sz val="12"/>
            <color indexed="81"/>
            <rFont val="MS P ゴシック"/>
            <family val="3"/>
            <charset val="128"/>
          </rPr>
          <t>令和11年度までは、保育士資格を有していなくても可</t>
        </r>
      </text>
    </comment>
    <comment ref="F7" authorId="0" shapeId="0" xr:uid="{00000000-0006-0000-0300-000005000000}">
      <text>
        <r>
          <rPr>
            <b/>
            <sz val="12"/>
            <color indexed="81"/>
            <rFont val="MS P ゴシック"/>
            <family val="3"/>
            <charset val="128"/>
          </rPr>
          <t>小学校教諭又は養護教諭に係る普通免許状を有している指定研修修了者は、京都市に対して事前の届出が必要です。
※当面の間</t>
        </r>
      </text>
    </comment>
    <comment ref="B8" authorId="1" shapeId="0" xr:uid="{1F4C6B64-D493-4ED0-8012-B81E2B31E8F0}">
      <text>
        <r>
          <rPr>
            <b/>
            <sz val="16"/>
            <color indexed="81"/>
            <rFont val="MS P ゴシック"/>
            <family val="3"/>
            <charset val="128"/>
          </rPr>
          <t>【誰でも通園コメント】
誰でも通園として配置された職員は、様式３（非専従の常勤＋非常勤）シートに記載してください。</t>
        </r>
      </text>
    </comment>
    <comment ref="D63" authorId="2" shapeId="0" xr:uid="{00000000-0006-0000-0300-000006000000}">
      <text>
        <r>
          <rPr>
            <b/>
            <sz val="12"/>
            <color indexed="81"/>
            <rFont val="MS P ゴシック"/>
            <family val="3"/>
            <charset val="128"/>
          </rPr>
          <t>乳児３名以下の場合は、以下の２要件を満たす認定こども園に限り、これらの職員を１人（常勤換算後）に限って保育士とみなすことができる。
①勤務経験が概ね３年に満たない看護師等については、子育て支援員研修の受講（又は直近の研修を受講予定）していること
②看護師等が保育士と合同の組・グループを編成し、原則として同一の乳児室など同一空間内で保育を行うこと</t>
        </r>
      </text>
    </comment>
    <comment ref="G63" authorId="0" shapeId="0" xr:uid="{00000000-0006-0000-0300-000007000000}">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 ref="G74" authorId="3" shapeId="0" xr:uid="{A2B4AF9B-1CE9-43E8-A903-DF9506185DF4}">
      <text>
        <r>
          <rPr>
            <b/>
            <sz val="12"/>
            <color indexed="81"/>
            <rFont val="MS P ゴシック"/>
            <family val="3"/>
            <charset val="128"/>
          </rPr>
          <t>「注」が表示される場合
　表示される月の乳児の初日児童数が３名以下なので、保育士とみなす看護師等の勤務経験が概ね３年に満たない場合、子育て支援員研修を受講（又は直近の研修を受講予定）している必要があります。
　別途ご案内する、受講状況に関する所定の手続きをしてください。</t>
        </r>
      </text>
    </comment>
    <comment ref="G77" authorId="0" shapeId="0" xr:uid="{4A4EB43C-D7F1-4F9C-87BD-438A8DE8C1B4}">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kyoto</author>
    <author>中谷</author>
  </authors>
  <commentList>
    <comment ref="L5" authorId="0" shapeId="0" xr:uid="{A50CBF8F-9FA2-4F72-AA3E-64C2E58EC71D}">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 ref="B6" authorId="1" shapeId="0" xr:uid="{1ECFA815-400E-49AF-B7DD-E563687F74A3}">
      <text>
        <r>
          <rPr>
            <b/>
            <sz val="16"/>
            <color indexed="10"/>
            <rFont val="MS P ゴシック"/>
            <family val="3"/>
            <charset val="128"/>
          </rPr>
          <t>他の保育所又は社会福祉施設等と兼務</t>
        </r>
        <r>
          <rPr>
            <b/>
            <sz val="16"/>
            <color indexed="81"/>
            <rFont val="MS P ゴシック"/>
            <family val="3"/>
            <charset val="128"/>
          </rPr>
          <t>している常勤保育士は、</t>
        </r>
        <r>
          <rPr>
            <b/>
            <sz val="16"/>
            <color indexed="10"/>
            <rFont val="MS P ゴシック"/>
            <family val="3"/>
            <charset val="128"/>
          </rPr>
          <t>本保育所の勤務時間数だけを水色網掛け箇所（Ｎ列～ＡＫ列）に直接入力</t>
        </r>
        <r>
          <rPr>
            <b/>
            <sz val="16"/>
            <color indexed="81"/>
            <rFont val="MS P ゴシック"/>
            <family val="3"/>
            <charset val="128"/>
          </rPr>
          <t>してください。
※</t>
        </r>
        <r>
          <rPr>
            <b/>
            <sz val="16"/>
            <color indexed="10"/>
            <rFont val="MS P ゴシック"/>
            <family val="3"/>
            <charset val="128"/>
          </rPr>
          <t>他の保育所又は社会福祉施設等の勤務時間は含まない</t>
        </r>
        <r>
          <rPr>
            <b/>
            <sz val="16"/>
            <color indexed="81"/>
            <rFont val="MS P ゴシック"/>
            <family val="3"/>
            <charset val="128"/>
          </rPr>
          <t>でください。</t>
        </r>
      </text>
    </comment>
    <comment ref="L6" authorId="0" shapeId="0" xr:uid="{00000000-0006-0000-0400-000001000000}">
      <text>
        <r>
          <rPr>
            <b/>
            <sz val="12"/>
            <color indexed="81"/>
            <rFont val="ＭＳ Ｐゴシック"/>
            <family val="3"/>
            <charset val="128"/>
          </rPr>
          <t>雇用契約等における1箇月あたりの勤務時間を入力してください。
変形労働時間を採用されている場合は、各月の勤務時間を直接入力してください。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C6" authorId="0" shapeId="0" xr:uid="{00000000-0006-0000-0700-000001000000}">
      <text>
        <r>
          <rPr>
            <b/>
            <sz val="12"/>
            <color indexed="81"/>
            <rFont val="ＭＳ Ｐゴシック"/>
            <family val="3"/>
            <charset val="128"/>
          </rPr>
          <t>以前からの継続雇用の場合は，平成27年4月～と入力してください。</t>
        </r>
      </text>
    </comment>
    <comment ref="A30" authorId="0" shapeId="0" xr:uid="{00000000-0006-0000-0700-000002000000}">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<sst xmlns="http://schemas.openxmlformats.org/spreadsheetml/2006/main" count="1487" uniqueCount="420">
  <si>
    <t>３歳児</t>
    <rPh sb="1" eb="2">
      <t>サイ</t>
    </rPh>
    <rPh sb="2" eb="3">
      <t>ジ</t>
    </rPh>
    <phoneticPr fontId="3"/>
  </si>
  <si>
    <t>対象月</t>
    <rPh sb="0" eb="2">
      <t>タイショウ</t>
    </rPh>
    <rPh sb="2" eb="3">
      <t>ツキ</t>
    </rPh>
    <phoneticPr fontId="3"/>
  </si>
  <si>
    <t>５月</t>
    <rPh sb="1" eb="2">
      <t>ツキ</t>
    </rPh>
    <phoneticPr fontId="3"/>
  </si>
  <si>
    <t>６月</t>
    <rPh sb="1" eb="2">
      <t>ツキ</t>
    </rPh>
    <phoneticPr fontId="3"/>
  </si>
  <si>
    <t>７月</t>
    <rPh sb="1" eb="2">
      <t>ツキ</t>
    </rPh>
    <phoneticPr fontId="3"/>
  </si>
  <si>
    <t>８月</t>
    <rPh sb="1" eb="2">
      <t>ツキ</t>
    </rPh>
    <phoneticPr fontId="3"/>
  </si>
  <si>
    <t>９月</t>
    <rPh sb="1" eb="2">
      <t>ツキ</t>
    </rPh>
    <phoneticPr fontId="3"/>
  </si>
  <si>
    <t>１０月</t>
    <rPh sb="2" eb="3">
      <t>ツキ</t>
    </rPh>
    <phoneticPr fontId="3"/>
  </si>
  <si>
    <t>１１月</t>
    <rPh sb="2" eb="3">
      <t>ツキ</t>
    </rPh>
    <phoneticPr fontId="3"/>
  </si>
  <si>
    <t>１２月</t>
    <rPh sb="2" eb="3">
      <t>ツキ</t>
    </rPh>
    <phoneticPr fontId="3"/>
  </si>
  <si>
    <t>３月</t>
    <rPh sb="1" eb="2">
      <t>ツキ</t>
    </rPh>
    <phoneticPr fontId="3"/>
  </si>
  <si>
    <t>４月</t>
    <rPh sb="1" eb="2">
      <t>ツキ</t>
    </rPh>
    <phoneticPr fontId="3"/>
  </si>
  <si>
    <t>１月</t>
    <rPh sb="1" eb="2">
      <t>ツキ</t>
    </rPh>
    <phoneticPr fontId="3"/>
  </si>
  <si>
    <t>番号</t>
    <rPh sb="0" eb="2">
      <t>バンゴウ</t>
    </rPh>
    <phoneticPr fontId="3"/>
  </si>
  <si>
    <t>時間数合計（Ａ）</t>
    <rPh sb="0" eb="3">
      <t>ジカンスウ</t>
    </rPh>
    <rPh sb="3" eb="5">
      <t>ゴウケイ</t>
    </rPh>
    <phoneticPr fontId="3"/>
  </si>
  <si>
    <t>２月</t>
  </si>
  <si>
    <t>２歳児</t>
    <rPh sb="1" eb="3">
      <t>サイジ</t>
    </rPh>
    <phoneticPr fontId="3"/>
  </si>
  <si>
    <t>４歳児</t>
    <rPh sb="1" eb="3">
      <t>サイジ</t>
    </rPh>
    <phoneticPr fontId="3"/>
  </si>
  <si>
    <t>５歳児</t>
    <rPh sb="1" eb="3">
      <t>サイジ</t>
    </rPh>
    <phoneticPr fontId="3"/>
  </si>
  <si>
    <t>０歳児</t>
    <rPh sb="1" eb="3">
      <t>サイジ</t>
    </rPh>
    <phoneticPr fontId="3"/>
  </si>
  <si>
    <t>時間</t>
    <rPh sb="0" eb="2">
      <t>ジカン</t>
    </rPh>
    <phoneticPr fontId="3"/>
  </si>
  <si>
    <t>分</t>
    <rPh sb="0" eb="1">
      <t>ブン</t>
    </rPh>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</si>
  <si>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</si>
  <si>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</si>
  <si>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</si>
  <si>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</si>
  <si>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</si>
  <si>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</si>
  <si>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</si>
  <si>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</si>
  <si>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</si>
  <si>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</si>
  <si>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</si>
  <si>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</si>
  <si>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</si>
  <si>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</si>
  <si>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</si>
  <si>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</si>
  <si>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</si>
  <si>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</si>
  <si>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</si>
  <si>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</si>
  <si>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標準時間対応</t>
    <rPh sb="0" eb="2">
      <t>ヒョウジュン</t>
    </rPh>
    <rPh sb="2" eb="4">
      <t>ジカン</t>
    </rPh>
    <rPh sb="4" eb="6">
      <t>タイオウ</t>
    </rPh>
    <phoneticPr fontId="3"/>
  </si>
  <si>
    <t>過不足</t>
    <rPh sb="0" eb="3">
      <t>カブソク</t>
    </rPh>
    <phoneticPr fontId="3"/>
  </si>
  <si>
    <t>雇用期間</t>
    <rPh sb="0" eb="2">
      <t>コヨウ</t>
    </rPh>
    <rPh sb="2" eb="4">
      <t>キカン</t>
    </rPh>
    <phoneticPr fontId="3"/>
  </si>
  <si>
    <t>月</t>
    <rPh sb="0" eb="1">
      <t>ガツ</t>
    </rPh>
    <phoneticPr fontId="3"/>
  </si>
  <si>
    <t>～</t>
    <phoneticPr fontId="3"/>
  </si>
  <si>
    <t>月</t>
    <rPh sb="0" eb="1">
      <t>ツキ</t>
    </rPh>
    <phoneticPr fontId="3"/>
  </si>
  <si>
    <t>年</t>
    <rPh sb="0" eb="1">
      <t>ネン</t>
    </rPh>
    <phoneticPr fontId="3"/>
  </si>
  <si>
    <t>○</t>
    <phoneticPr fontId="3"/>
  </si>
  <si>
    <t>保育園名</t>
    <phoneticPr fontId="3"/>
  </si>
  <si>
    <t>※水色の部分は計算式が入っているため，入力できません。</t>
    <phoneticPr fontId="3"/>
  </si>
  <si>
    <t>【非常勤の保育士】</t>
    <phoneticPr fontId="3"/>
  </si>
  <si>
    <t>番号</t>
    <phoneticPr fontId="3"/>
  </si>
  <si>
    <t>保育士</t>
    <phoneticPr fontId="3"/>
  </si>
  <si>
    <t>雇用期間</t>
    <phoneticPr fontId="3"/>
  </si>
  <si>
    <t>1月あたりの平均勤務時間</t>
    <phoneticPr fontId="3"/>
  </si>
  <si>
    <t>時間</t>
    <phoneticPr fontId="3"/>
  </si>
  <si>
    <t>分</t>
    <phoneticPr fontId="3"/>
  </si>
  <si>
    <t>平成</t>
    <phoneticPr fontId="3"/>
  </si>
  <si>
    <t>年</t>
    <phoneticPr fontId="3"/>
  </si>
  <si>
    <t>月</t>
    <phoneticPr fontId="3"/>
  </si>
  <si>
    <t>時間数合計（Ａ）</t>
    <phoneticPr fontId="3"/>
  </si>
  <si>
    <t>就業規則で定める常勤職員の1ヶ月の労働時間数（Ｂ）</t>
    <phoneticPr fontId="3"/>
  </si>
  <si>
    <t>常勤者換算（Ａ／Ｂ）（小数点２位を切り捨て　例： 1.46⇒1.4）</t>
    <phoneticPr fontId="3"/>
  </si>
  <si>
    <t>(単位:人）</t>
    <rPh sb="1" eb="3">
      <t>タンイ</t>
    </rPh>
    <rPh sb="4" eb="5">
      <t>ニン</t>
    </rPh>
    <phoneticPr fontId="3"/>
  </si>
  <si>
    <t>他市町村児童がいる場合は「○」を入力してください。</t>
    <rPh sb="0" eb="1">
      <t>タ</t>
    </rPh>
    <rPh sb="1" eb="4">
      <t>シチョウソン</t>
    </rPh>
    <rPh sb="4" eb="6">
      <t>ジドウ</t>
    </rPh>
    <rPh sb="9" eb="11">
      <t>バアイ</t>
    </rPh>
    <rPh sb="16" eb="18">
      <t>ニュウリョク</t>
    </rPh>
    <phoneticPr fontId="3"/>
  </si>
  <si>
    <t>就業規則で定める常勤職員の1箇月の勤務時間数（Ｂ）</t>
    <rPh sb="0" eb="2">
      <t>シュウギョウ</t>
    </rPh>
    <rPh sb="2" eb="4">
      <t>キソク</t>
    </rPh>
    <rPh sb="5" eb="6">
      <t>サダ</t>
    </rPh>
    <rPh sb="8" eb="10">
      <t>ジョウキン</t>
    </rPh>
    <rPh sb="10" eb="12">
      <t>ショクイン</t>
    </rPh>
    <rPh sb="14" eb="15">
      <t>カ</t>
    </rPh>
    <rPh sb="15" eb="16">
      <t>ゲツ</t>
    </rPh>
    <rPh sb="17" eb="19">
      <t>キンム</t>
    </rPh>
    <rPh sb="19" eb="22">
      <t>ジカンスウ</t>
    </rPh>
    <phoneticPr fontId="3"/>
  </si>
  <si>
    <t>1箇月あたりの勤務時間</t>
    <rPh sb="1" eb="2">
      <t>カ</t>
    </rPh>
    <rPh sb="2" eb="3">
      <t>ガツ</t>
    </rPh>
    <rPh sb="7" eb="9">
      <t>キンム</t>
    </rPh>
    <rPh sb="9" eb="11">
      <t>ジカン</t>
    </rPh>
    <phoneticPr fontId="3"/>
  </si>
  <si>
    <t>勤　　務　　時　　間</t>
    <rPh sb="0" eb="1">
      <t>ツトム</t>
    </rPh>
    <rPh sb="3" eb="4">
      <t>ツトム</t>
    </rPh>
    <rPh sb="6" eb="7">
      <t>トキ</t>
    </rPh>
    <rPh sb="9" eb="10">
      <t>アイダ</t>
    </rPh>
    <phoneticPr fontId="3"/>
  </si>
  <si>
    <t>1号</t>
    <rPh sb="1" eb="2">
      <t>ゴウ</t>
    </rPh>
    <phoneticPr fontId="3"/>
  </si>
  <si>
    <t>2号</t>
    <rPh sb="1" eb="2">
      <t>ゴウ</t>
    </rPh>
    <phoneticPr fontId="3"/>
  </si>
  <si>
    <t>3号</t>
    <rPh sb="1" eb="2">
      <t>ゴウ</t>
    </rPh>
    <phoneticPr fontId="3"/>
  </si>
  <si>
    <t>満3歳児</t>
    <rPh sb="0" eb="1">
      <t>マン</t>
    </rPh>
    <rPh sb="2" eb="4">
      <t>サイジ</t>
    </rPh>
    <phoneticPr fontId="3"/>
  </si>
  <si>
    <t>②</t>
    <phoneticPr fontId="3"/>
  </si>
  <si>
    <t>③</t>
    <phoneticPr fontId="3"/>
  </si>
  <si>
    <t>①</t>
    <phoneticPr fontId="3"/>
  </si>
  <si>
    <t>4月</t>
    <rPh sb="1" eb="2">
      <t>ガツ</t>
    </rPh>
    <phoneticPr fontId="3"/>
  </si>
  <si>
    <t>支給認定区分</t>
    <rPh sb="0" eb="2">
      <t>シキュウ</t>
    </rPh>
    <rPh sb="2" eb="4">
      <t>ニンテイ</t>
    </rPh>
    <rPh sb="4" eb="6">
      <t>クブン</t>
    </rPh>
    <phoneticPr fontId="3"/>
  </si>
  <si>
    <t>施設名</t>
    <rPh sb="0" eb="2">
      <t>シセツ</t>
    </rPh>
    <rPh sb="2" eb="3">
      <t>メイ</t>
    </rPh>
    <phoneticPr fontId="3"/>
  </si>
  <si>
    <t>教職員</t>
    <rPh sb="0" eb="3">
      <t>キョウショクイン</t>
    </rPh>
    <phoneticPr fontId="3"/>
  </si>
  <si>
    <t>チーム保育加配</t>
    <rPh sb="3" eb="5">
      <t>ホイク</t>
    </rPh>
    <rPh sb="5" eb="7">
      <t>カハイ</t>
    </rPh>
    <phoneticPr fontId="3"/>
  </si>
  <si>
    <t>主幹保育教諭等</t>
    <rPh sb="0" eb="2">
      <t>シュカン</t>
    </rPh>
    <rPh sb="2" eb="4">
      <t>ホイク</t>
    </rPh>
    <rPh sb="4" eb="6">
      <t>キョウユ</t>
    </rPh>
    <rPh sb="6" eb="7">
      <t>トウ</t>
    </rPh>
    <phoneticPr fontId="3"/>
  </si>
  <si>
    <t>当該施設に勤務する職員数
（各月初日時点）</t>
    <rPh sb="2" eb="4">
      <t>シセツ</t>
    </rPh>
    <rPh sb="18" eb="20">
      <t>ジテン</t>
    </rPh>
    <phoneticPr fontId="3"/>
  </si>
  <si>
    <t>非常勤</t>
    <rPh sb="0" eb="3">
      <t>ヒジョウキン</t>
    </rPh>
    <phoneticPr fontId="3"/>
  </si>
  <si>
    <t>教育補助者</t>
    <rPh sb="0" eb="2">
      <t>キョウイク</t>
    </rPh>
    <rPh sb="2" eb="5">
      <t>ホジョシャ</t>
    </rPh>
    <phoneticPr fontId="3"/>
  </si>
  <si>
    <t>常勤</t>
    <rPh sb="0" eb="2">
      <t>ジョウキン</t>
    </rPh>
    <phoneticPr fontId="3"/>
  </si>
  <si>
    <t>教育補助者のうち常勤換算後の数</t>
    <rPh sb="0" eb="2">
      <t>キョウイク</t>
    </rPh>
    <rPh sb="2" eb="5">
      <t>ホジョシャ</t>
    </rPh>
    <rPh sb="8" eb="10">
      <t>ジョウキン</t>
    </rPh>
    <rPh sb="10" eb="12">
      <t>カンサン</t>
    </rPh>
    <rPh sb="12" eb="13">
      <t>ゴ</t>
    </rPh>
    <rPh sb="14" eb="15">
      <t>カズ</t>
    </rPh>
    <phoneticPr fontId="3"/>
  </si>
  <si>
    <t>園長の兼務状況（非専任の場合は必要教職員数に+1される）</t>
    <rPh sb="0" eb="2">
      <t>エンチョウ</t>
    </rPh>
    <rPh sb="3" eb="5">
      <t>ケンム</t>
    </rPh>
    <rPh sb="5" eb="7">
      <t>ジョウキョウ</t>
    </rPh>
    <rPh sb="8" eb="9">
      <t>ヒ</t>
    </rPh>
    <rPh sb="9" eb="11">
      <t>センニン</t>
    </rPh>
    <rPh sb="12" eb="14">
      <t>バアイ</t>
    </rPh>
    <rPh sb="15" eb="17">
      <t>ヒツヨウ</t>
    </rPh>
    <rPh sb="17" eb="20">
      <t>キョウショクイン</t>
    </rPh>
    <rPh sb="20" eb="21">
      <t>スウ</t>
    </rPh>
    <phoneticPr fontId="3"/>
  </si>
  <si>
    <t>【非常勤の教育補助者】</t>
    <rPh sb="1" eb="4">
      <t>ヒジョウキン</t>
    </rPh>
    <rPh sb="5" eb="7">
      <t>キョウイク</t>
    </rPh>
    <rPh sb="7" eb="10">
      <t>ホジョシャ</t>
    </rPh>
    <phoneticPr fontId="3"/>
  </si>
  <si>
    <t>1歳児加配</t>
    <rPh sb="1" eb="3">
      <t>サイジ</t>
    </rPh>
    <rPh sb="3" eb="5">
      <t>カハイ</t>
    </rPh>
    <phoneticPr fontId="3"/>
  </si>
  <si>
    <t>④</t>
  </si>
  <si>
    <t>③</t>
  </si>
  <si>
    <t>～</t>
    <phoneticPr fontId="3"/>
  </si>
  <si>
    <t>教職員等の合計（ただし教育補助者は⑦チーム保育加配数が上限）</t>
    <rPh sb="0" eb="3">
      <t>キョウショクイン</t>
    </rPh>
    <rPh sb="3" eb="4">
      <t>トウ</t>
    </rPh>
    <rPh sb="5" eb="6">
      <t>ゴウ</t>
    </rPh>
    <rPh sb="6" eb="7">
      <t>ケイ</t>
    </rPh>
    <rPh sb="11" eb="13">
      <t>キョウイク</t>
    </rPh>
    <rPh sb="13" eb="16">
      <t>ホジョシャ</t>
    </rPh>
    <rPh sb="21" eb="23">
      <t>ホイク</t>
    </rPh>
    <rPh sb="23" eb="25">
      <t>カハイ</t>
    </rPh>
    <rPh sb="25" eb="26">
      <t>スウ</t>
    </rPh>
    <rPh sb="27" eb="29">
      <t>ジョウゲン</t>
    </rPh>
    <phoneticPr fontId="3"/>
  </si>
  <si>
    <t>施設名</t>
    <rPh sb="0" eb="1">
      <t>シ</t>
    </rPh>
    <rPh sb="1" eb="2">
      <t>セツ</t>
    </rPh>
    <phoneticPr fontId="3"/>
  </si>
  <si>
    <t>保育教諭
（氏名）</t>
    <rPh sb="0" eb="2">
      <t>ホイク</t>
    </rPh>
    <rPh sb="2" eb="4">
      <t>キョウユ</t>
    </rPh>
    <rPh sb="6" eb="8">
      <t>シメイ</t>
    </rPh>
    <phoneticPr fontId="3"/>
  </si>
  <si>
    <t>教育補助者
（氏名）</t>
    <rPh sb="0" eb="2">
      <t>キョウイク</t>
    </rPh>
    <rPh sb="2" eb="5">
      <t>ホジョシャ</t>
    </rPh>
    <rPh sb="7" eb="9">
      <t>シメイ</t>
    </rPh>
    <phoneticPr fontId="3"/>
  </si>
  <si>
    <t>保育士（氏名）</t>
    <rPh sb="0" eb="3">
      <t>ホイクシ</t>
    </rPh>
    <rPh sb="4" eb="6">
      <t>シメイ</t>
    </rPh>
    <phoneticPr fontId="3"/>
  </si>
  <si>
    <t>資格内容</t>
    <rPh sb="0" eb="2">
      <t>シカク</t>
    </rPh>
    <rPh sb="2" eb="4">
      <t>ナイヨウ</t>
    </rPh>
    <phoneticPr fontId="3"/>
  </si>
  <si>
    <t>勤　　務　　実　　績</t>
    <rPh sb="0" eb="1">
      <t>ツトム</t>
    </rPh>
    <rPh sb="3" eb="4">
      <t>ツトム</t>
    </rPh>
    <rPh sb="6" eb="7">
      <t>ジツ</t>
    </rPh>
    <rPh sb="9" eb="10">
      <t>セキ</t>
    </rPh>
    <phoneticPr fontId="3"/>
  </si>
  <si>
    <t>小学校教諭
又は養護教諭</t>
    <rPh sb="0" eb="3">
      <t>ショウガッコウ</t>
    </rPh>
    <rPh sb="3" eb="5">
      <t>キョウユ</t>
    </rPh>
    <rPh sb="6" eb="7">
      <t>マタ</t>
    </rPh>
    <rPh sb="8" eb="10">
      <t>ヨウゴ</t>
    </rPh>
    <rPh sb="10" eb="12">
      <t>キョウユ</t>
    </rPh>
    <phoneticPr fontId="3"/>
  </si>
  <si>
    <t>常勤職員数合計</t>
    <rPh sb="0" eb="2">
      <t>ジョウキン</t>
    </rPh>
    <rPh sb="2" eb="4">
      <t>ショクイン</t>
    </rPh>
    <rPh sb="4" eb="5">
      <t>スウ</t>
    </rPh>
    <rPh sb="5" eb="7">
      <t>ゴウケイ</t>
    </rPh>
    <phoneticPr fontId="3"/>
  </si>
  <si>
    <t>助保育教諭</t>
    <rPh sb="0" eb="1">
      <t>ジョ</t>
    </rPh>
    <rPh sb="1" eb="3">
      <t>ホイク</t>
    </rPh>
    <rPh sb="3" eb="5">
      <t>キョウユ</t>
    </rPh>
    <phoneticPr fontId="3"/>
  </si>
  <si>
    <t>施設名</t>
    <rPh sb="0" eb="1">
      <t>シ</t>
    </rPh>
    <rPh sb="1" eb="2">
      <t>セツ</t>
    </rPh>
    <rPh sb="2" eb="3">
      <t>メイ</t>
    </rPh>
    <phoneticPr fontId="3"/>
  </si>
  <si>
    <t>【保健師・看護師・准看護師】</t>
    <rPh sb="1" eb="3">
      <t>ホケン</t>
    </rPh>
    <rPh sb="3" eb="4">
      <t>シ</t>
    </rPh>
    <rPh sb="5" eb="7">
      <t>カンゴ</t>
    </rPh>
    <rPh sb="7" eb="8">
      <t>シ</t>
    </rPh>
    <rPh sb="9" eb="10">
      <t>ジュン</t>
    </rPh>
    <rPh sb="10" eb="12">
      <t>カンゴ</t>
    </rPh>
    <rPh sb="12" eb="13">
      <t>シ</t>
    </rPh>
    <phoneticPr fontId="3"/>
  </si>
  <si>
    <t>氏　名</t>
    <rPh sb="0" eb="1">
      <t>シ</t>
    </rPh>
    <rPh sb="2" eb="3">
      <t>メイ</t>
    </rPh>
    <phoneticPr fontId="3"/>
  </si>
  <si>
    <t>就業規則で定める常勤職員の１箇月の勤務時間数</t>
    <rPh sb="0" eb="2">
      <t>シュウギョウ</t>
    </rPh>
    <rPh sb="2" eb="4">
      <t>キソク</t>
    </rPh>
    <rPh sb="5" eb="6">
      <t>サダ</t>
    </rPh>
    <rPh sb="8" eb="10">
      <t>ジョウキン</t>
    </rPh>
    <rPh sb="10" eb="12">
      <t>ショクイン</t>
    </rPh>
    <rPh sb="14" eb="15">
      <t>カ</t>
    </rPh>
    <rPh sb="15" eb="16">
      <t>ゲツ</t>
    </rPh>
    <rPh sb="17" eb="19">
      <t>キンム</t>
    </rPh>
    <rPh sb="19" eb="21">
      <t>ジカン</t>
    </rPh>
    <rPh sb="21" eb="22">
      <t>スウ</t>
    </rPh>
    <phoneticPr fontId="3"/>
  </si>
  <si>
    <t>保健師</t>
    <rPh sb="0" eb="2">
      <t>ホケン</t>
    </rPh>
    <rPh sb="2" eb="3">
      <t>シ</t>
    </rPh>
    <phoneticPr fontId="3"/>
  </si>
  <si>
    <t>看護師</t>
    <rPh sb="0" eb="2">
      <t>カンゴ</t>
    </rPh>
    <rPh sb="2" eb="3">
      <t>シ</t>
    </rPh>
    <phoneticPr fontId="3"/>
  </si>
  <si>
    <t>准看護師</t>
    <rPh sb="0" eb="1">
      <t>ジュン</t>
    </rPh>
    <rPh sb="1" eb="3">
      <t>カンゴ</t>
    </rPh>
    <rPh sb="3" eb="4">
      <t>シ</t>
    </rPh>
    <phoneticPr fontId="3"/>
  </si>
  <si>
    <t>職員数合計</t>
    <rPh sb="0" eb="2">
      <t>ショクイン</t>
    </rPh>
    <rPh sb="2" eb="3">
      <t>スウ</t>
    </rPh>
    <rPh sb="3" eb="4">
      <t>ゴウ</t>
    </rPh>
    <rPh sb="4" eb="5">
      <t>ケイ</t>
    </rPh>
    <phoneticPr fontId="3"/>
  </si>
  <si>
    <t>学級編制調整加配加算</t>
    <rPh sb="0" eb="2">
      <t>ガッキュウ</t>
    </rPh>
    <rPh sb="2" eb="4">
      <t>ヘンセイ</t>
    </rPh>
    <rPh sb="4" eb="6">
      <t>チョウセイ</t>
    </rPh>
    <rPh sb="6" eb="8">
      <t>カハイ</t>
    </rPh>
    <rPh sb="8" eb="10">
      <t>カサン</t>
    </rPh>
    <phoneticPr fontId="3"/>
  </si>
  <si>
    <t xml:space="preserve">
入所児童数（本園）</t>
    <rPh sb="1" eb="3">
      <t>ニュウショ</t>
    </rPh>
    <rPh sb="3" eb="5">
      <t>ジドウ</t>
    </rPh>
    <rPh sb="5" eb="6">
      <t>スウ</t>
    </rPh>
    <rPh sb="7" eb="8">
      <t>ホン</t>
    </rPh>
    <rPh sb="8" eb="9">
      <t>エン</t>
    </rPh>
    <phoneticPr fontId="3"/>
  </si>
  <si>
    <t xml:space="preserve">
入所児童数（分園）</t>
    <rPh sb="1" eb="3">
      <t>ニュウショ</t>
    </rPh>
    <rPh sb="3" eb="5">
      <t>ジドウ</t>
    </rPh>
    <rPh sb="5" eb="6">
      <t>スウ</t>
    </rPh>
    <rPh sb="7" eb="9">
      <t>ブンエン</t>
    </rPh>
    <phoneticPr fontId="3"/>
  </si>
  <si>
    <t>合計
（本園）</t>
    <rPh sb="0" eb="1">
      <t>ゴウ</t>
    </rPh>
    <rPh sb="1" eb="2">
      <t>ケイ</t>
    </rPh>
    <rPh sb="4" eb="5">
      <t>ホン</t>
    </rPh>
    <rPh sb="5" eb="6">
      <t>エン</t>
    </rPh>
    <phoneticPr fontId="3"/>
  </si>
  <si>
    <t>合計
（分園）</t>
    <rPh sb="0" eb="1">
      <t>ゴウ</t>
    </rPh>
    <rPh sb="1" eb="2">
      <t>ケイ</t>
    </rPh>
    <rPh sb="4" eb="6">
      <t>ブンエン</t>
    </rPh>
    <phoneticPr fontId="3"/>
  </si>
  <si>
    <t>（４桁コード）</t>
    <rPh sb="2" eb="3">
      <t>ケタ</t>
    </rPh>
    <phoneticPr fontId="3"/>
  </si>
  <si>
    <t>（4桁コード）</t>
    <rPh sb="2" eb="3">
      <t>ケタ</t>
    </rPh>
    <phoneticPr fontId="3"/>
  </si>
  <si>
    <t>4桁コード</t>
    <rPh sb="1" eb="2">
      <t>ケタ</t>
    </rPh>
    <phoneticPr fontId="3"/>
  </si>
  <si>
    <t>２・３号</t>
    <rPh sb="3" eb="4">
      <t>ゴウ</t>
    </rPh>
    <phoneticPr fontId="3"/>
  </si>
  <si>
    <t>国制度給付費における加算</t>
    <phoneticPr fontId="3"/>
  </si>
  <si>
    <t>標準対応休憩保育士</t>
    <rPh sb="0" eb="2">
      <t>ヒョウジュン</t>
    </rPh>
    <rPh sb="2" eb="4">
      <t>タイオウ</t>
    </rPh>
    <rPh sb="4" eb="6">
      <t>キュウケイ</t>
    </rPh>
    <rPh sb="6" eb="8">
      <t>ホイク</t>
    </rPh>
    <rPh sb="8" eb="9">
      <t>シ</t>
    </rPh>
    <phoneticPr fontId="3"/>
  </si>
  <si>
    <t>0歳児</t>
    <rPh sb="1" eb="3">
      <t>サイジ</t>
    </rPh>
    <phoneticPr fontId="3"/>
  </si>
  <si>
    <t>1歳児</t>
    <rPh sb="1" eb="3">
      <t>サイジ</t>
    </rPh>
    <phoneticPr fontId="3"/>
  </si>
  <si>
    <t>2歳児</t>
    <rPh sb="1" eb="3">
      <t>サイジ</t>
    </rPh>
    <phoneticPr fontId="3"/>
  </si>
  <si>
    <t>3歳児</t>
    <rPh sb="1" eb="3">
      <t>サイジ</t>
    </rPh>
    <phoneticPr fontId="3"/>
  </si>
  <si>
    <t>4歳児</t>
    <rPh sb="1" eb="3">
      <t>サイジ</t>
    </rPh>
    <phoneticPr fontId="3"/>
  </si>
  <si>
    <t>5歳児</t>
    <rPh sb="1" eb="3">
      <t>サイジ</t>
    </rPh>
    <phoneticPr fontId="3"/>
  </si>
  <si>
    <t>標準保育時間対応</t>
  </si>
  <si>
    <t>0,1歳児の標準時間利用児の有無</t>
    <rPh sb="3" eb="4">
      <t>サイ</t>
    </rPh>
    <rPh sb="4" eb="5">
      <t>ジ</t>
    </rPh>
    <rPh sb="6" eb="8">
      <t>ヒョウジュン</t>
    </rPh>
    <rPh sb="8" eb="10">
      <t>ジカン</t>
    </rPh>
    <rPh sb="10" eb="12">
      <t>リヨウ</t>
    </rPh>
    <rPh sb="12" eb="13">
      <t>ジ</t>
    </rPh>
    <rPh sb="14" eb="16">
      <t>ウム</t>
    </rPh>
    <phoneticPr fontId="3"/>
  </si>
  <si>
    <t>標準時間利用児童の人数</t>
    <rPh sb="0" eb="2">
      <t>ヒョウジュン</t>
    </rPh>
    <rPh sb="2" eb="4">
      <t>ジカン</t>
    </rPh>
    <rPh sb="4" eb="6">
      <t>リヨウ</t>
    </rPh>
    <rPh sb="6" eb="8">
      <t>ジドウ</t>
    </rPh>
    <rPh sb="9" eb="11">
      <t>ニンズウ</t>
    </rPh>
    <phoneticPr fontId="3"/>
  </si>
  <si>
    <t>8.5時間</t>
    <rPh sb="3" eb="5">
      <t>ジカン</t>
    </rPh>
    <phoneticPr fontId="3"/>
  </si>
  <si>
    <t>9時間</t>
    <rPh sb="1" eb="3">
      <t>ジカン</t>
    </rPh>
    <phoneticPr fontId="3"/>
  </si>
  <si>
    <t>9.5時間</t>
    <rPh sb="3" eb="5">
      <t>ジカン</t>
    </rPh>
    <phoneticPr fontId="3"/>
  </si>
  <si>
    <t>10時間</t>
    <rPh sb="2" eb="4">
      <t>ジカン</t>
    </rPh>
    <phoneticPr fontId="3"/>
  </si>
  <si>
    <t>10.5時間</t>
    <rPh sb="4" eb="6">
      <t>ジカン</t>
    </rPh>
    <phoneticPr fontId="3"/>
  </si>
  <si>
    <t>11時間</t>
    <rPh sb="2" eb="4">
      <t>ジカン</t>
    </rPh>
    <phoneticPr fontId="3"/>
  </si>
  <si>
    <t>計</t>
    <rPh sb="0" eb="1">
      <t>ケイ</t>
    </rPh>
    <phoneticPr fontId="3"/>
  </si>
  <si>
    <t>必要職員数</t>
    <rPh sb="0" eb="5">
      <t>ヒツヨウショクインスウ</t>
    </rPh>
    <phoneticPr fontId="3"/>
  </si>
  <si>
    <t>利用人数</t>
    <rPh sb="0" eb="2">
      <t>リヨウ</t>
    </rPh>
    <rPh sb="2" eb="4">
      <t>ニンズウ</t>
    </rPh>
    <phoneticPr fontId="3"/>
  </si>
  <si>
    <t>割合</t>
    <rPh sb="0" eb="2">
      <t>ワリアイ</t>
    </rPh>
    <phoneticPr fontId="3"/>
  </si>
  <si>
    <t>５月</t>
  </si>
  <si>
    <t>６月</t>
  </si>
  <si>
    <t>７月</t>
  </si>
  <si>
    <t>８月</t>
  </si>
  <si>
    <t>９月</t>
  </si>
  <si>
    <t>１０月</t>
  </si>
  <si>
    <t>１１月</t>
  </si>
  <si>
    <t>１２月</t>
  </si>
  <si>
    <t>１月</t>
  </si>
  <si>
    <t>３月</t>
  </si>
  <si>
    <t>平均</t>
    <rPh sb="0" eb="2">
      <t>ヘイキン</t>
    </rPh>
    <phoneticPr fontId="3"/>
  </si>
  <si>
    <t>４桁コード</t>
    <rPh sb="1" eb="2">
      <t>ケタ</t>
    </rPh>
    <phoneticPr fontId="3"/>
  </si>
  <si>
    <t>国基準＋
条例基準</t>
    <rPh sb="0" eb="1">
      <t>クニ</t>
    </rPh>
    <rPh sb="1" eb="3">
      <t>キジュン</t>
    </rPh>
    <rPh sb="5" eb="7">
      <t>ジョウレイ</t>
    </rPh>
    <rPh sb="7" eb="9">
      <t>キジュン</t>
    </rPh>
    <phoneticPr fontId="3"/>
  </si>
  <si>
    <t>障害児</t>
    <rPh sb="0" eb="2">
      <t>ショウガイ</t>
    </rPh>
    <rPh sb="2" eb="3">
      <t>ジ</t>
    </rPh>
    <phoneticPr fontId="3"/>
  </si>
  <si>
    <t>１歳児</t>
    <rPh sb="1" eb="3">
      <t>サイジ</t>
    </rPh>
    <phoneticPr fontId="3"/>
  </si>
  <si>
    <t>休憩対応</t>
    <rPh sb="0" eb="2">
      <t>キュウケイ</t>
    </rPh>
    <rPh sb="2" eb="4">
      <t>タイオウ</t>
    </rPh>
    <phoneticPr fontId="3"/>
  </si>
  <si>
    <t>標準時間休憩</t>
    <rPh sb="0" eb="2">
      <t>ヒョウジュン</t>
    </rPh>
    <rPh sb="2" eb="4">
      <t>ジカン</t>
    </rPh>
    <rPh sb="4" eb="6">
      <t>キュウケイ</t>
    </rPh>
    <phoneticPr fontId="3"/>
  </si>
  <si>
    <t>４月</t>
    <rPh sb="1" eb="2">
      <t>ガツ</t>
    </rPh>
    <phoneticPr fontId="3"/>
  </si>
  <si>
    <t>５月</t>
    <rPh sb="1" eb="2">
      <t>ガツ</t>
    </rPh>
    <phoneticPr fontId="3"/>
  </si>
  <si>
    <t>６月</t>
    <rPh sb="1" eb="2">
      <t>ガツ</t>
    </rPh>
    <phoneticPr fontId="3"/>
  </si>
  <si>
    <t>Ａ</t>
    <phoneticPr fontId="3"/>
  </si>
  <si>
    <t>実配置＞最大配置</t>
    <rPh sb="0" eb="1">
      <t>ジツ</t>
    </rPh>
    <rPh sb="1" eb="3">
      <t>ハイチ</t>
    </rPh>
    <rPh sb="4" eb="6">
      <t>サイダイ</t>
    </rPh>
    <rPh sb="6" eb="8">
      <t>ハイチ</t>
    </rPh>
    <phoneticPr fontId="3"/>
  </si>
  <si>
    <t>Ｂ</t>
    <phoneticPr fontId="3"/>
  </si>
  <si>
    <t>①＋②＜実配置＜最大配置</t>
    <rPh sb="4" eb="5">
      <t>ジツ</t>
    </rPh>
    <rPh sb="5" eb="7">
      <t>ハイチ</t>
    </rPh>
    <rPh sb="8" eb="10">
      <t>サイダイ</t>
    </rPh>
    <rPh sb="10" eb="12">
      <t>ハイチ</t>
    </rPh>
    <phoneticPr fontId="3"/>
  </si>
  <si>
    <t>Ｃ</t>
    <phoneticPr fontId="3"/>
  </si>
  <si>
    <t>実配置＜①＋②</t>
    <rPh sb="0" eb="1">
      <t>ジツ</t>
    </rPh>
    <rPh sb="1" eb="3">
      <t>ハイチ</t>
    </rPh>
    <phoneticPr fontId="3"/>
  </si>
  <si>
    <t>認定別</t>
    <rPh sb="0" eb="2">
      <t>ニンテイ</t>
    </rPh>
    <rPh sb="2" eb="3">
      <t>ベツ</t>
    </rPh>
    <phoneticPr fontId="3"/>
  </si>
  <si>
    <t>標準保育時間対応
（分園分）</t>
    <rPh sb="0" eb="2">
      <t>ヒョウジュン</t>
    </rPh>
    <rPh sb="2" eb="4">
      <t>ホイク</t>
    </rPh>
    <rPh sb="4" eb="6">
      <t>ジカン</t>
    </rPh>
    <rPh sb="6" eb="8">
      <t>タイオウ</t>
    </rPh>
    <rPh sb="10" eb="11">
      <t>ブン</t>
    </rPh>
    <rPh sb="11" eb="12">
      <t>エン</t>
    </rPh>
    <rPh sb="12" eb="13">
      <t>ブン</t>
    </rPh>
    <phoneticPr fontId="3"/>
  </si>
  <si>
    <t>標準保育時間対応
（本園分）</t>
    <rPh sb="0" eb="2">
      <t>ヒョウジュン</t>
    </rPh>
    <rPh sb="2" eb="4">
      <t>ホイク</t>
    </rPh>
    <rPh sb="4" eb="6">
      <t>ジカン</t>
    </rPh>
    <rPh sb="6" eb="8">
      <t>タイオウ</t>
    </rPh>
    <rPh sb="10" eb="11">
      <t>ホン</t>
    </rPh>
    <rPh sb="11" eb="12">
      <t>エン</t>
    </rPh>
    <rPh sb="12" eb="13">
      <t>ブン</t>
    </rPh>
    <phoneticPr fontId="3"/>
  </si>
  <si>
    <t>様式ver.</t>
    <rPh sb="0" eb="2">
      <t>ヨウシキ</t>
    </rPh>
    <phoneticPr fontId="38"/>
  </si>
  <si>
    <t>利用定員（本園）</t>
    <rPh sb="5" eb="6">
      <t>ホン</t>
    </rPh>
    <rPh sb="6" eb="7">
      <t>エン</t>
    </rPh>
    <phoneticPr fontId="3"/>
  </si>
  <si>
    <t>利用定員（分園）</t>
    <rPh sb="5" eb="7">
      <t>ブンエン</t>
    </rPh>
    <phoneticPr fontId="3"/>
  </si>
  <si>
    <t>2号・3号の利用定員が90人以下の場合</t>
    <rPh sb="1" eb="2">
      <t>ゴウ</t>
    </rPh>
    <rPh sb="4" eb="5">
      <t>ゴウ</t>
    </rPh>
    <rPh sb="13" eb="14">
      <t>ニン</t>
    </rPh>
    <rPh sb="14" eb="16">
      <t>イカ</t>
    </rPh>
    <rPh sb="17" eb="19">
      <t>バアイ</t>
    </rPh>
    <phoneticPr fontId="3"/>
  </si>
  <si>
    <t>年度平均</t>
    <rPh sb="0" eb="2">
      <t>ネンド</t>
    </rPh>
    <rPh sb="2" eb="4">
      <t>ヘイキン</t>
    </rPh>
    <phoneticPr fontId="3"/>
  </si>
  <si>
    <t>＜新補助集計用＞</t>
    <rPh sb="1" eb="2">
      <t>シン</t>
    </rPh>
    <rPh sb="2" eb="4">
      <t>ホジョ</t>
    </rPh>
    <rPh sb="4" eb="6">
      <t>シュウケイ</t>
    </rPh>
    <rPh sb="6" eb="7">
      <t>ヨウ</t>
    </rPh>
    <phoneticPr fontId="3"/>
  </si>
  <si>
    <t>＜条例基準集計用＞</t>
    <rPh sb="1" eb="3">
      <t>ジョウレイ</t>
    </rPh>
    <rPh sb="3" eb="5">
      <t>キジュン</t>
    </rPh>
    <rPh sb="5" eb="7">
      <t>シュウケイ</t>
    </rPh>
    <rPh sb="7" eb="8">
      <t>ヨウ</t>
    </rPh>
    <phoneticPr fontId="3"/>
  </si>
  <si>
    <t>必要職員数
【市基準】</t>
    <rPh sb="0" eb="2">
      <t>ヒツヨウ</t>
    </rPh>
    <rPh sb="2" eb="5">
      <t>ショクインスウ</t>
    </rPh>
    <phoneticPr fontId="3"/>
  </si>
  <si>
    <t>常勤換算後
実配置数
ア</t>
    <rPh sb="0" eb="2">
      <t>ジョウキン</t>
    </rPh>
    <rPh sb="2" eb="4">
      <t>カンサン</t>
    </rPh>
    <rPh sb="4" eb="5">
      <t>ゴ</t>
    </rPh>
    <rPh sb="6" eb="7">
      <t>ジツ</t>
    </rPh>
    <rPh sb="7" eb="9">
      <t>ハイチ</t>
    </rPh>
    <rPh sb="9" eb="10">
      <t>スウ</t>
    </rPh>
    <phoneticPr fontId="3"/>
  </si>
  <si>
    <t>補助算定時
の職員数
（※２）</t>
    <rPh sb="0" eb="2">
      <t>ホジョ</t>
    </rPh>
    <rPh sb="2" eb="4">
      <t>サンテイ</t>
    </rPh>
    <rPh sb="4" eb="5">
      <t>ジ</t>
    </rPh>
    <rPh sb="7" eb="9">
      <t>ショクイン</t>
    </rPh>
    <rPh sb="9" eb="10">
      <t>スウ</t>
    </rPh>
    <phoneticPr fontId="3"/>
  </si>
  <si>
    <r>
      <t xml:space="preserve">各月初日入所児童数
</t>
    </r>
    <r>
      <rPr>
        <b/>
        <sz val="10"/>
        <color rgb="FFFF0000"/>
        <rFont val="ＭＳ Ｐゴシック"/>
        <family val="3"/>
        <charset val="128"/>
      </rPr>
      <t>（利用定員内外及び他市町村児童を含む。私的契約児は含まない。）</t>
    </r>
    <rPh sb="0" eb="2">
      <t>カクツキ</t>
    </rPh>
    <rPh sb="2" eb="4">
      <t>ショニチ</t>
    </rPh>
    <rPh sb="4" eb="6">
      <t>ニュウショ</t>
    </rPh>
    <rPh sb="6" eb="9">
      <t>ジドウスウ</t>
    </rPh>
    <rPh sb="15" eb="17">
      <t>ナイガイ</t>
    </rPh>
    <rPh sb="17" eb="18">
      <t>オヨ</t>
    </rPh>
    <rPh sb="19" eb="20">
      <t>タ</t>
    </rPh>
    <rPh sb="20" eb="23">
      <t>シチョウソン</t>
    </rPh>
    <rPh sb="23" eb="25">
      <t>ジドウ</t>
    </rPh>
    <rPh sb="26" eb="27">
      <t>フク</t>
    </rPh>
    <rPh sb="29" eb="31">
      <t>シテキ</t>
    </rPh>
    <rPh sb="31" eb="33">
      <t>ケイヤク</t>
    </rPh>
    <rPh sb="33" eb="34">
      <t>ジ</t>
    </rPh>
    <rPh sb="35" eb="36">
      <t>フク</t>
    </rPh>
    <phoneticPr fontId="3"/>
  </si>
  <si>
    <t>(給付関係）</t>
    <rPh sb="1" eb="5">
      <t>キュウフカンケイ</t>
    </rPh>
    <phoneticPr fontId="3"/>
  </si>
  <si>
    <t>１号
児童分</t>
    <rPh sb="1" eb="2">
      <t>ゴウ</t>
    </rPh>
    <rPh sb="3" eb="5">
      <t>ジドウ</t>
    </rPh>
    <rPh sb="5" eb="6">
      <t>ブン</t>
    </rPh>
    <phoneticPr fontId="3"/>
  </si>
  <si>
    <t>２・３号
児童分</t>
    <phoneticPr fontId="3"/>
  </si>
  <si>
    <t>障害児加配</t>
    <rPh sb="0" eb="3">
      <t>ショウガイジ</t>
    </rPh>
    <rPh sb="3" eb="5">
      <t>カハイ</t>
    </rPh>
    <phoneticPr fontId="3"/>
  </si>
  <si>
    <t>１号分</t>
    <phoneticPr fontId="3"/>
  </si>
  <si>
    <t>２・３号分</t>
    <phoneticPr fontId="3"/>
  </si>
  <si>
    <t>１号分</t>
    <rPh sb="1" eb="2">
      <t>ゴウ</t>
    </rPh>
    <rPh sb="2" eb="3">
      <t>ブン</t>
    </rPh>
    <phoneticPr fontId="3"/>
  </si>
  <si>
    <t>２・３号分</t>
    <rPh sb="3" eb="4">
      <t>ゴウ</t>
    </rPh>
    <rPh sb="4" eb="5">
      <t>ブン</t>
    </rPh>
    <phoneticPr fontId="3"/>
  </si>
  <si>
    <t>⑤</t>
  </si>
  <si>
    <t>⑥</t>
  </si>
  <si>
    <t>⑦</t>
    <phoneticPr fontId="3"/>
  </si>
  <si>
    <t>⑧</t>
    <phoneticPr fontId="3"/>
  </si>
  <si>
    <t>⑩</t>
    <phoneticPr fontId="3"/>
  </si>
  <si>
    <t>補助算定時の職員数（保育士等分）</t>
    <rPh sb="0" eb="2">
      <t>ホジョ</t>
    </rPh>
    <rPh sb="2" eb="4">
      <t>サンテイ</t>
    </rPh>
    <rPh sb="4" eb="5">
      <t>ジ</t>
    </rPh>
    <rPh sb="6" eb="8">
      <t>ショクイン</t>
    </rPh>
    <rPh sb="8" eb="9">
      <t>スウ</t>
    </rPh>
    <rPh sb="10" eb="13">
      <t>ホイクシ</t>
    </rPh>
    <rPh sb="13" eb="14">
      <t>トウ</t>
    </rPh>
    <rPh sb="14" eb="15">
      <t>ブン</t>
    </rPh>
    <phoneticPr fontId="3"/>
  </si>
  <si>
    <t>判定（保育士等分）</t>
    <phoneticPr fontId="3"/>
  </si>
  <si>
    <t>③+⑤</t>
    <phoneticPr fontId="3"/>
  </si>
  <si>
    <t>③+⑤+⑥</t>
    <phoneticPr fontId="3"/>
  </si>
  <si>
    <t>③+⑤+⑥+⑦</t>
    <phoneticPr fontId="3"/>
  </si>
  <si>
    <t>③+⑤+⑥+⑦+⑧</t>
    <phoneticPr fontId="3"/>
  </si>
  <si>
    <t>最大配置数</t>
    <rPh sb="0" eb="5">
      <t>サイダイハイチスウ</t>
    </rPh>
    <phoneticPr fontId="3"/>
  </si>
  <si>
    <t>引用値</t>
    <phoneticPr fontId="3"/>
  </si>
  <si>
    <t>利用定員</t>
    <rPh sb="0" eb="2">
      <t>リヨウ</t>
    </rPh>
    <rPh sb="2" eb="4">
      <t>テイイン</t>
    </rPh>
    <phoneticPr fontId="3"/>
  </si>
  <si>
    <t>０歳・標準</t>
    <rPh sb="1" eb="2">
      <t>サイ</t>
    </rPh>
    <rPh sb="3" eb="5">
      <t>ヒョウジュン</t>
    </rPh>
    <phoneticPr fontId="3"/>
  </si>
  <si>
    <t>１歳・標準</t>
    <rPh sb="1" eb="2">
      <t>サイ</t>
    </rPh>
    <rPh sb="3" eb="5">
      <t>ヒョウジュン</t>
    </rPh>
    <phoneticPr fontId="3"/>
  </si>
  <si>
    <t>２歳・標準</t>
    <rPh sb="1" eb="2">
      <t>サイ</t>
    </rPh>
    <rPh sb="3" eb="5">
      <t>ヒョウジュン</t>
    </rPh>
    <phoneticPr fontId="3"/>
  </si>
  <si>
    <t>３歳・標準</t>
    <rPh sb="1" eb="2">
      <t>サイ</t>
    </rPh>
    <rPh sb="3" eb="5">
      <t>ヒョウジュン</t>
    </rPh>
    <phoneticPr fontId="3"/>
  </si>
  <si>
    <t>４歳・標準</t>
    <rPh sb="1" eb="2">
      <t>サイ</t>
    </rPh>
    <rPh sb="3" eb="5">
      <t>ヒョウジュン</t>
    </rPh>
    <phoneticPr fontId="3"/>
  </si>
  <si>
    <t>５歳・標準</t>
    <rPh sb="1" eb="2">
      <t>サイ</t>
    </rPh>
    <rPh sb="3" eb="5">
      <t>ヒョウジュン</t>
    </rPh>
    <phoneticPr fontId="3"/>
  </si>
  <si>
    <t>０歳・短</t>
    <rPh sb="1" eb="2">
      <t>サイ</t>
    </rPh>
    <rPh sb="3" eb="4">
      <t>タン</t>
    </rPh>
    <phoneticPr fontId="3"/>
  </si>
  <si>
    <t>１歳・短</t>
    <rPh sb="1" eb="2">
      <t>サイ</t>
    </rPh>
    <rPh sb="3" eb="4">
      <t>タン</t>
    </rPh>
    <phoneticPr fontId="3"/>
  </si>
  <si>
    <t>２歳・短</t>
    <rPh sb="1" eb="2">
      <t>サイ</t>
    </rPh>
    <rPh sb="3" eb="4">
      <t>タン</t>
    </rPh>
    <phoneticPr fontId="3"/>
  </si>
  <si>
    <t>３歳・短</t>
    <rPh sb="1" eb="2">
      <t>サイ</t>
    </rPh>
    <rPh sb="3" eb="4">
      <t>タン</t>
    </rPh>
    <phoneticPr fontId="3"/>
  </si>
  <si>
    <t>４歳・短</t>
    <rPh sb="1" eb="2">
      <t>サイ</t>
    </rPh>
    <rPh sb="3" eb="4">
      <t>タン</t>
    </rPh>
    <phoneticPr fontId="3"/>
  </si>
  <si>
    <t>５歳・短</t>
    <rPh sb="1" eb="2">
      <t>サイ</t>
    </rPh>
    <rPh sb="3" eb="4">
      <t>タン</t>
    </rPh>
    <phoneticPr fontId="3"/>
  </si>
  <si>
    <t>クエリ抽出用</t>
    <rPh sb="3" eb="6">
      <t>チュウシュツヨウ</t>
    </rPh>
    <phoneticPr fontId="3"/>
  </si>
  <si>
    <t>１号分</t>
    <phoneticPr fontId="3"/>
  </si>
  <si>
    <t>２・３号分</t>
    <phoneticPr fontId="3"/>
  </si>
  <si>
    <t>最大配置数
イ</t>
    <rPh sb="0" eb="2">
      <t>サイダイ</t>
    </rPh>
    <rPh sb="2" eb="4">
      <t>ハイチ</t>
    </rPh>
    <rPh sb="4" eb="5">
      <t>スウ</t>
    </rPh>
    <phoneticPr fontId="3"/>
  </si>
  <si>
    <t>＜原則、２・３号のみ＞（※1）</t>
    <rPh sb="1" eb="3">
      <t>ゲンソク</t>
    </rPh>
    <rPh sb="7" eb="8">
      <t>ゴウ</t>
    </rPh>
    <phoneticPr fontId="3"/>
  </si>
  <si>
    <r>
      <t>①－（</t>
    </r>
    <r>
      <rPr>
        <u/>
        <sz val="11"/>
        <rFont val="ＭＳ Ｐゴシック"/>
        <family val="3"/>
        <charset val="128"/>
      </rPr>
      <t>③+・・・</t>
    </r>
    <r>
      <rPr>
        <sz val="11"/>
        <rFont val="ＭＳ Ｐゴシック"/>
        <family val="3"/>
        <charset val="128"/>
      </rPr>
      <t>）</t>
    </r>
    <phoneticPr fontId="3"/>
  </si>
  <si>
    <t>最大保育士数
(人件費補助金分)</t>
    <rPh sb="0" eb="2">
      <t>サイダイ</t>
    </rPh>
    <rPh sb="2" eb="5">
      <t>ホイクシ</t>
    </rPh>
    <rPh sb="5" eb="6">
      <t>スウ</t>
    </rPh>
    <phoneticPr fontId="3"/>
  </si>
  <si>
    <t>「人件費等補助金」及び「障害児加配補助金」の算定に係る職員数について</t>
    <rPh sb="1" eb="4">
      <t>ジンケンヒ</t>
    </rPh>
    <rPh sb="4" eb="5">
      <t>トウ</t>
    </rPh>
    <rPh sb="5" eb="8">
      <t>ホジョキン</t>
    </rPh>
    <rPh sb="9" eb="10">
      <t>オヨ</t>
    </rPh>
    <rPh sb="12" eb="14">
      <t>ショウガイ</t>
    </rPh>
    <rPh sb="14" eb="15">
      <t>ジ</t>
    </rPh>
    <rPh sb="15" eb="17">
      <t>カハイ</t>
    </rPh>
    <rPh sb="17" eb="20">
      <t>ホジョキン</t>
    </rPh>
    <rPh sb="22" eb="24">
      <t>サンテイ</t>
    </rPh>
    <rPh sb="25" eb="26">
      <t>カカ</t>
    </rPh>
    <rPh sb="27" eb="29">
      <t>ショクイン</t>
    </rPh>
    <rPh sb="29" eb="30">
      <t>スウ</t>
    </rPh>
    <phoneticPr fontId="3"/>
  </si>
  <si>
    <t>障害児補助金分</t>
    <rPh sb="0" eb="2">
      <t>ショウガイ</t>
    </rPh>
    <rPh sb="2" eb="3">
      <t>ジ</t>
    </rPh>
    <rPh sb="3" eb="6">
      <t>ホジョキン</t>
    </rPh>
    <rPh sb="6" eb="7">
      <t>ブン</t>
    </rPh>
    <phoneticPr fontId="3"/>
  </si>
  <si>
    <t>「人件費等補助金」及び「障害児加配補助金」の算定対象となる本市独自の加配保育士等数</t>
    <rPh sb="1" eb="4">
      <t>ジンケンヒ</t>
    </rPh>
    <rPh sb="4" eb="5">
      <t>トウ</t>
    </rPh>
    <rPh sb="5" eb="8">
      <t>ホジョキン</t>
    </rPh>
    <rPh sb="9" eb="10">
      <t>オヨ</t>
    </rPh>
    <rPh sb="12" eb="14">
      <t>ショウガイ</t>
    </rPh>
    <rPh sb="14" eb="15">
      <t>ジ</t>
    </rPh>
    <rPh sb="15" eb="17">
      <t>カハイ</t>
    </rPh>
    <rPh sb="17" eb="20">
      <t>ホジョキン</t>
    </rPh>
    <rPh sb="22" eb="24">
      <t>サンテイ</t>
    </rPh>
    <rPh sb="24" eb="26">
      <t>タイショウ</t>
    </rPh>
    <rPh sb="29" eb="31">
      <t>ホンシ</t>
    </rPh>
    <rPh sb="31" eb="33">
      <t>ドクジ</t>
    </rPh>
    <rPh sb="34" eb="36">
      <t>カハイ</t>
    </rPh>
    <rPh sb="36" eb="39">
      <t>ホイクシ</t>
    </rPh>
    <rPh sb="39" eb="40">
      <t>トウ</t>
    </rPh>
    <rPh sb="40" eb="41">
      <t>スウ</t>
    </rPh>
    <phoneticPr fontId="3"/>
  </si>
  <si>
    <r>
      <rPr>
        <b/>
        <sz val="8"/>
        <rFont val="ＭＳ Ｐゴシック"/>
        <family val="3"/>
        <charset val="128"/>
      </rPr>
      <t>常勤専従保育士</t>
    </r>
    <r>
      <rPr>
        <sz val="8"/>
        <rFont val="ＭＳ Ｐゴシック"/>
        <family val="3"/>
        <charset val="128"/>
      </rPr>
      <t xml:space="preserve">
（園長は含めない。）</t>
    </r>
    <rPh sb="0" eb="2">
      <t>ジョウキン</t>
    </rPh>
    <rPh sb="2" eb="4">
      <t>センジュウ</t>
    </rPh>
    <rPh sb="4" eb="7">
      <t>ホイクシ</t>
    </rPh>
    <rPh sb="9" eb="11">
      <t>エンチョウ</t>
    </rPh>
    <rPh sb="12" eb="13">
      <t>フク</t>
    </rPh>
    <phoneticPr fontId="3"/>
  </si>
  <si>
    <t>常勤非専従・非常勤保育士</t>
    <rPh sb="0" eb="2">
      <t>ジョウキン</t>
    </rPh>
    <rPh sb="2" eb="3">
      <t>ヒ</t>
    </rPh>
    <rPh sb="3" eb="5">
      <t>センジュウ</t>
    </rPh>
    <rPh sb="6" eb="9">
      <t>ヒジョウキン</t>
    </rPh>
    <rPh sb="9" eb="12">
      <t>ホイクシ</t>
    </rPh>
    <phoneticPr fontId="3"/>
  </si>
  <si>
    <t>うち常勤換算後の数</t>
    <phoneticPr fontId="3"/>
  </si>
  <si>
    <t>【非専従の常勤保育士及び非常勤の保育教諭】</t>
    <rPh sb="1" eb="2">
      <t>ヒ</t>
    </rPh>
    <rPh sb="2" eb="4">
      <t>センジュウ</t>
    </rPh>
    <rPh sb="5" eb="7">
      <t>ジョウキン</t>
    </rPh>
    <rPh sb="7" eb="9">
      <t>ホイク</t>
    </rPh>
    <rPh sb="9" eb="10">
      <t>シ</t>
    </rPh>
    <rPh sb="10" eb="11">
      <t>オヨ</t>
    </rPh>
    <rPh sb="12" eb="15">
      <t>ヒジョウキン</t>
    </rPh>
    <rPh sb="16" eb="18">
      <t>ホイク</t>
    </rPh>
    <rPh sb="18" eb="20">
      <t>キョウユ</t>
    </rPh>
    <phoneticPr fontId="3"/>
  </si>
  <si>
    <t>人件費
補助金分</t>
    <rPh sb="0" eb="3">
      <t>ジンケンヒ</t>
    </rPh>
    <rPh sb="4" eb="7">
      <t>ホジョキン</t>
    </rPh>
    <rPh sb="7" eb="8">
      <t>ブン</t>
    </rPh>
    <phoneticPr fontId="3"/>
  </si>
  <si>
    <r>
      <t>【常勤の</t>
    </r>
    <r>
      <rPr>
        <b/>
        <sz val="18"/>
        <color rgb="FFFF0000"/>
        <rFont val="ＭＳ Ｐゴシック"/>
        <family val="3"/>
        <charset val="128"/>
      </rPr>
      <t>専従</t>
    </r>
    <r>
      <rPr>
        <b/>
        <sz val="18"/>
        <rFont val="ＭＳ Ｐゴシック"/>
        <family val="3"/>
        <charset val="128"/>
      </rPr>
      <t>保育士】</t>
    </r>
    <rPh sb="1" eb="3">
      <t>ジョウキン</t>
    </rPh>
    <rPh sb="4" eb="6">
      <t>センジュウ</t>
    </rPh>
    <rPh sb="6" eb="9">
      <t>ホイクシ</t>
    </rPh>
    <phoneticPr fontId="3"/>
  </si>
  <si>
    <t>副園長、教頭、主観保育教諭、指導保育教諭、保育教諭及び講師</t>
    <rPh sb="0" eb="3">
      <t>フクエンチョウ</t>
    </rPh>
    <rPh sb="4" eb="6">
      <t>キョウトウ</t>
    </rPh>
    <rPh sb="7" eb="9">
      <t>シュカン</t>
    </rPh>
    <rPh sb="9" eb="11">
      <t>ホイク</t>
    </rPh>
    <rPh sb="11" eb="13">
      <t>キョウユ</t>
    </rPh>
    <rPh sb="14" eb="16">
      <t>シドウ</t>
    </rPh>
    <rPh sb="16" eb="18">
      <t>ホイク</t>
    </rPh>
    <rPh sb="18" eb="20">
      <t>キョウユ</t>
    </rPh>
    <rPh sb="21" eb="23">
      <t>ホイク</t>
    </rPh>
    <rPh sb="23" eb="25">
      <t>キョウユ</t>
    </rPh>
    <rPh sb="25" eb="26">
      <t>オヨ</t>
    </rPh>
    <rPh sb="27" eb="29">
      <t>コウシ</t>
    </rPh>
    <phoneticPr fontId="3"/>
  </si>
  <si>
    <t>分園における２・３号の標準時間利用児童の内訳を入力してください！（本園分は様式１-１に入力し、こちらには入力しないでください！）</t>
    <rPh sb="0" eb="2">
      <t>ブンエン</t>
    </rPh>
    <rPh sb="9" eb="10">
      <t>ゴウ</t>
    </rPh>
    <rPh sb="11" eb="13">
      <t>ヒョウジュン</t>
    </rPh>
    <rPh sb="13" eb="15">
      <t>ジカン</t>
    </rPh>
    <rPh sb="15" eb="17">
      <t>リヨウ</t>
    </rPh>
    <rPh sb="17" eb="19">
      <t>ジドウ</t>
    </rPh>
    <rPh sb="20" eb="22">
      <t>ウチワケ</t>
    </rPh>
    <rPh sb="23" eb="25">
      <t>ニュウリョク</t>
    </rPh>
    <rPh sb="33" eb="34">
      <t>ホン</t>
    </rPh>
    <rPh sb="34" eb="35">
      <t>エン</t>
    </rPh>
    <rPh sb="35" eb="36">
      <t>ブン</t>
    </rPh>
    <rPh sb="37" eb="39">
      <t>ヨウシキ</t>
    </rPh>
    <rPh sb="43" eb="45">
      <t>ニュウリョク</t>
    </rPh>
    <rPh sb="52" eb="54">
      <t>ニュウリョク</t>
    </rPh>
    <phoneticPr fontId="3"/>
  </si>
  <si>
    <t>※水色の部分は計算式が入っているため、入力できません。</t>
    <rPh sb="1" eb="3">
      <t>ミズイロ</t>
    </rPh>
    <rPh sb="4" eb="6">
      <t>ブブン</t>
    </rPh>
    <rPh sb="7" eb="9">
      <t>ケイサン</t>
    </rPh>
    <rPh sb="9" eb="10">
      <t>シキ</t>
    </rPh>
    <rPh sb="11" eb="12">
      <t>ハイ</t>
    </rPh>
    <rPh sb="19" eb="21">
      <t>ニュウリョク</t>
    </rPh>
    <phoneticPr fontId="3"/>
  </si>
  <si>
    <r>
      <t>本園における</t>
    </r>
    <r>
      <rPr>
        <b/>
        <u/>
        <sz val="14"/>
        <rFont val="ＭＳ Ｐゴシック"/>
        <family val="3"/>
        <charset val="128"/>
      </rPr>
      <t>２・３号</t>
    </r>
    <r>
      <rPr>
        <b/>
        <sz val="14"/>
        <rFont val="ＭＳ Ｐゴシック"/>
        <family val="3"/>
        <charset val="128"/>
      </rPr>
      <t>の標準時間利用児童の内訳を入力してください！（分園分は様式１-２に入力し、こちらには入力しないでください！）</t>
    </r>
    <rPh sb="0" eb="2">
      <t>ホンエン</t>
    </rPh>
    <rPh sb="9" eb="10">
      <t>ゴウ</t>
    </rPh>
    <rPh sb="11" eb="13">
      <t>ヒョウジュン</t>
    </rPh>
    <rPh sb="13" eb="15">
      <t>ジカン</t>
    </rPh>
    <rPh sb="15" eb="17">
      <t>リヨウ</t>
    </rPh>
    <rPh sb="17" eb="19">
      <t>ジドウ</t>
    </rPh>
    <rPh sb="20" eb="22">
      <t>ウチワケ</t>
    </rPh>
    <rPh sb="23" eb="25">
      <t>ニュウリョク</t>
    </rPh>
    <rPh sb="33" eb="35">
      <t>ブンエン</t>
    </rPh>
    <rPh sb="35" eb="36">
      <t>ブン</t>
    </rPh>
    <rPh sb="37" eb="39">
      <t>ヨウシキ</t>
    </rPh>
    <rPh sb="43" eb="45">
      <t>ニュウリョク</t>
    </rPh>
    <rPh sb="52" eb="54">
      <t>ニュウリョク</t>
    </rPh>
    <phoneticPr fontId="3"/>
  </si>
  <si>
    <t>【補助算定職員数（人件費等補助金関係）】</t>
    <rPh sb="1" eb="3">
      <t>ホジョ</t>
    </rPh>
    <rPh sb="3" eb="5">
      <t>サンテイ</t>
    </rPh>
    <rPh sb="5" eb="8">
      <t>ショクインスウ</t>
    </rPh>
    <rPh sb="9" eb="12">
      <t>ジンケンヒ</t>
    </rPh>
    <rPh sb="12" eb="13">
      <t>トウ</t>
    </rPh>
    <rPh sb="13" eb="16">
      <t>ホジョキン</t>
    </rPh>
    <rPh sb="16" eb="18">
      <t>カンケイ</t>
    </rPh>
    <phoneticPr fontId="3"/>
  </si>
  <si>
    <t>【過不足（人件費等補助金関係）】</t>
    <rPh sb="1" eb="4">
      <t>カフソク</t>
    </rPh>
    <rPh sb="5" eb="8">
      <t>ジンケンヒ</t>
    </rPh>
    <rPh sb="8" eb="9">
      <t>トウ</t>
    </rPh>
    <rPh sb="9" eb="12">
      <t>ホジョキン</t>
    </rPh>
    <rPh sb="12" eb="14">
      <t>カンケイ</t>
    </rPh>
    <phoneticPr fontId="3"/>
  </si>
  <si>
    <t>※人件費等補助金の補助算定職員数は、年間平均で算出します。</t>
    <phoneticPr fontId="3"/>
  </si>
  <si>
    <t>職種別補助金</t>
    <rPh sb="0" eb="3">
      <t>ショクシュベツ</t>
    </rPh>
    <rPh sb="3" eb="6">
      <t>ホジョキン</t>
    </rPh>
    <phoneticPr fontId="3"/>
  </si>
  <si>
    <t>障害児（２・３号）</t>
    <rPh sb="0" eb="2">
      <t>ショウガイ</t>
    </rPh>
    <rPh sb="2" eb="3">
      <t>ジ</t>
    </rPh>
    <rPh sb="7" eb="8">
      <t>ゴウ</t>
    </rPh>
    <phoneticPr fontId="3"/>
  </si>
  <si>
    <t>　また、補助算定職員数は、補助上限に影響します。</t>
    <phoneticPr fontId="3"/>
  </si>
  <si>
    <r>
      <t>マイナスの場合、表示されている人数まで追加で雇用しても、人件費等補助金の算定対象になります。
ただし、</t>
    </r>
    <r>
      <rPr>
        <b/>
        <u/>
        <sz val="11"/>
        <color rgb="FFFF0000"/>
        <rFont val="ＭＳ Ｐゴシック"/>
        <family val="3"/>
        <charset val="128"/>
      </rPr>
      <t>実配置数の増減で変わるのは「保育士等の補助上限」であり、直ちに補助金は増えません。</t>
    </r>
    <r>
      <rPr>
        <sz val="11"/>
        <rFont val="ＭＳ Ｐゴシック"/>
        <family val="3"/>
        <charset val="128"/>
      </rPr>
      <t xml:space="preserve">
補助金額は、補助上限のほか、各園の人件費総額、給付費収入によって変わります。御留意ください。</t>
    </r>
    <phoneticPr fontId="3"/>
  </si>
  <si>
    <t>障害児
加配</t>
    <rPh sb="0" eb="3">
      <t>ショウガイジ</t>
    </rPh>
    <rPh sb="4" eb="6">
      <t>カハイ</t>
    </rPh>
    <phoneticPr fontId="3"/>
  </si>
  <si>
    <t>1歳児
加配</t>
    <rPh sb="1" eb="3">
      <t>サイジ</t>
    </rPh>
    <rPh sb="4" eb="6">
      <t>カハイ</t>
    </rPh>
    <phoneticPr fontId="3"/>
  </si>
  <si>
    <t>標準保育
時間対応</t>
    <phoneticPr fontId="3"/>
  </si>
  <si>
    <t>休憩
保育士
（利用定員90超）</t>
    <phoneticPr fontId="3"/>
  </si>
  <si>
    <t>標準対応休憩
保育士</t>
    <phoneticPr fontId="3"/>
  </si>
  <si>
    <t>①上記【補助算定職員数】の算定に含まれている加配</t>
    <rPh sb="1" eb="3">
      <t>ジョウキ</t>
    </rPh>
    <rPh sb="4" eb="6">
      <t>ホジョ</t>
    </rPh>
    <rPh sb="6" eb="8">
      <t>サンテイ</t>
    </rPh>
    <rPh sb="8" eb="10">
      <t>ショクイン</t>
    </rPh>
    <rPh sb="10" eb="11">
      <t>スウ</t>
    </rPh>
    <rPh sb="13" eb="15">
      <t>サンテイ</t>
    </rPh>
    <rPh sb="16" eb="17">
      <t>フク</t>
    </rPh>
    <rPh sb="22" eb="24">
      <t>カハイ</t>
    </rPh>
    <phoneticPr fontId="3"/>
  </si>
  <si>
    <t>②各加配を算定に含めるために必要な実配置数（年間平均）</t>
    <rPh sb="1" eb="2">
      <t>カク</t>
    </rPh>
    <rPh sb="2" eb="4">
      <t>カハイ</t>
    </rPh>
    <rPh sb="5" eb="7">
      <t>サンテイ</t>
    </rPh>
    <rPh sb="8" eb="9">
      <t>フク</t>
    </rPh>
    <rPh sb="14" eb="16">
      <t>ヒツヨウ</t>
    </rPh>
    <rPh sb="17" eb="18">
      <t>ジツ</t>
    </rPh>
    <rPh sb="18" eb="20">
      <t>ハイチ</t>
    </rPh>
    <rPh sb="20" eb="21">
      <t>スウ</t>
    </rPh>
    <rPh sb="22" eb="24">
      <t>ネンカン</t>
    </rPh>
    <rPh sb="24" eb="26">
      <t>ヘイキンネンヘイキン</t>
    </rPh>
    <phoneticPr fontId="3"/>
  </si>
  <si>
    <t>雇用
開始月</t>
    <phoneticPr fontId="3"/>
  </si>
  <si>
    <t>職員数合計（常勤換算値、小数点第２位まで表示）</t>
    <phoneticPr fontId="3"/>
  </si>
  <si>
    <t>常勤換算Ａ／Ｂ（小数点第２位まで表示）</t>
    <phoneticPr fontId="3"/>
  </si>
  <si>
    <t>【このシートについて】</t>
    <phoneticPr fontId="3"/>
  </si>
  <si>
    <t>対象月</t>
    <rPh sb="0" eb="2">
      <t>タイショウ</t>
    </rPh>
    <rPh sb="2" eb="3">
      <t>ゲツ</t>
    </rPh>
    <phoneticPr fontId="3"/>
  </si>
  <si>
    <t>備考（エラーがあると表示されます）</t>
    <rPh sb="0" eb="2">
      <t>ビコウ</t>
    </rPh>
    <rPh sb="10" eb="12">
      <t>ヒョウジ</t>
    </rPh>
    <phoneticPr fontId="3"/>
  </si>
  <si>
    <t>上限※</t>
    <rPh sb="0" eb="2">
      <t>ジョウゲン</t>
    </rPh>
    <phoneticPr fontId="3"/>
  </si>
  <si>
    <t>5月</t>
  </si>
  <si>
    <t>6月</t>
  </si>
  <si>
    <t>7月</t>
  </si>
  <si>
    <t>8月</t>
  </si>
  <si>
    <t>9月</t>
  </si>
  <si>
    <t>10月</t>
  </si>
  <si>
    <t>11月</t>
  </si>
  <si>
    <t>12月</t>
  </si>
  <si>
    <t>1月</t>
  </si>
  <si>
    <t>2月</t>
  </si>
  <si>
    <t>3月</t>
  </si>
  <si>
    <t>※1号+2号の利用定員が</t>
    <rPh sb="2" eb="3">
      <t>ゴウ</t>
    </rPh>
    <rPh sb="5" eb="6">
      <t>ゴウ</t>
    </rPh>
    <rPh sb="7" eb="9">
      <t>リヨウ</t>
    </rPh>
    <rPh sb="9" eb="11">
      <t>テイイン</t>
    </rPh>
    <phoneticPr fontId="3"/>
  </si>
  <si>
    <t>45人以下</t>
    <rPh sb="2" eb="3">
      <t>ニン</t>
    </rPh>
    <rPh sb="3" eb="5">
      <t>イカ</t>
    </rPh>
    <phoneticPr fontId="3"/>
  </si>
  <si>
    <t>46～150人</t>
    <rPh sb="6" eb="7">
      <t>ニン</t>
    </rPh>
    <phoneticPr fontId="3"/>
  </si>
  <si>
    <t>151～240人</t>
    <rPh sb="7" eb="8">
      <t>ニン</t>
    </rPh>
    <phoneticPr fontId="3"/>
  </si>
  <si>
    <t>241～270人</t>
    <rPh sb="7" eb="8">
      <t>ニン</t>
    </rPh>
    <phoneticPr fontId="3"/>
  </si>
  <si>
    <t>271～300人</t>
    <rPh sb="7" eb="8">
      <t>ニン</t>
    </rPh>
    <phoneticPr fontId="3"/>
  </si>
  <si>
    <t>301～450人</t>
    <rPh sb="7" eb="8">
      <t>ニン</t>
    </rPh>
    <phoneticPr fontId="3"/>
  </si>
  <si>
    <t>451人～</t>
    <rPh sb="3" eb="4">
      <t>ニン</t>
    </rPh>
    <phoneticPr fontId="3"/>
  </si>
  <si>
    <r>
      <t xml:space="preserve">必要
教職員数
【年齢別
配置
基準】
</t>
    </r>
    <r>
      <rPr>
        <sz val="8.5"/>
        <rFont val="ＭＳ Ｐゴシック"/>
        <family val="3"/>
        <charset val="128"/>
      </rPr>
      <t>(歳児別の加算を考慮)</t>
    </r>
    <r>
      <rPr>
        <b/>
        <sz val="8.5"/>
        <rFont val="ＭＳ Ｐゴシック"/>
        <family val="3"/>
        <charset val="128"/>
      </rPr>
      <t xml:space="preserve">
②～⑤</t>
    </r>
    <r>
      <rPr>
        <b/>
        <sz val="9"/>
        <rFont val="ＭＳ Ｐゴシック"/>
        <family val="3"/>
        <charset val="128"/>
      </rPr>
      <t>の合計</t>
    </r>
    <rPh sb="36" eb="38">
      <t>ゴウケイ</t>
    </rPh>
    <phoneticPr fontId="3"/>
  </si>
  <si>
    <t>年齢別配置基準
※　4歳以上児、3歳児、満3歳児の加算取得状況に応じ、2・3号児童の条例基準部分補助金対象分を含む</t>
    <rPh sb="0" eb="2">
      <t>ネンレイ</t>
    </rPh>
    <rPh sb="2" eb="3">
      <t>ベツ</t>
    </rPh>
    <rPh sb="3" eb="5">
      <t>ハイチ</t>
    </rPh>
    <rPh sb="5" eb="7">
      <t>キジュン</t>
    </rPh>
    <rPh sb="11" eb="14">
      <t>サイイジョウ</t>
    </rPh>
    <rPh sb="14" eb="15">
      <t>ジ</t>
    </rPh>
    <rPh sb="17" eb="19">
      <t>サイジ</t>
    </rPh>
    <rPh sb="20" eb="21">
      <t>マン</t>
    </rPh>
    <rPh sb="22" eb="24">
      <t>サイジ</t>
    </rPh>
    <rPh sb="25" eb="27">
      <t>カサン</t>
    </rPh>
    <rPh sb="27" eb="29">
      <t>シュトク</t>
    </rPh>
    <rPh sb="29" eb="31">
      <t>ジョウキョウ</t>
    </rPh>
    <rPh sb="32" eb="33">
      <t>オウ</t>
    </rPh>
    <rPh sb="38" eb="39">
      <t>ゴウ</t>
    </rPh>
    <rPh sb="39" eb="41">
      <t>ジドウ</t>
    </rPh>
    <rPh sb="42" eb="44">
      <t>ジョウレイ</t>
    </rPh>
    <rPh sb="44" eb="46">
      <t>キジュン</t>
    </rPh>
    <rPh sb="46" eb="48">
      <t>ブブン</t>
    </rPh>
    <rPh sb="48" eb="51">
      <t>ホジョキン</t>
    </rPh>
    <rPh sb="51" eb="53">
      <t>タイショウ</t>
    </rPh>
    <rPh sb="53" eb="54">
      <t>フン</t>
    </rPh>
    <rPh sb="55" eb="56">
      <t>フク</t>
    </rPh>
    <phoneticPr fontId="3"/>
  </si>
  <si>
    <r>
      <t>必要
教職員数
【年齢別
配置基準</t>
    </r>
    <r>
      <rPr>
        <u/>
        <sz val="8.5"/>
        <rFont val="ＭＳ Ｐゴシック"/>
        <family val="3"/>
        <charset val="128"/>
      </rPr>
      <t>（歳児別の加算を考慮）</t>
    </r>
    <r>
      <rPr>
        <b/>
        <u/>
        <sz val="8.5"/>
        <rFont val="ＭＳ Ｐゴシック"/>
        <family val="3"/>
        <charset val="128"/>
      </rPr>
      <t xml:space="preserve">
+国加配】
⑥～⑨</t>
    </r>
    <r>
      <rPr>
        <b/>
        <u/>
        <sz val="9"/>
        <rFont val="ＭＳ Ｐゴシック"/>
        <family val="3"/>
        <charset val="128"/>
      </rPr>
      <t>の合計</t>
    </r>
    <rPh sb="0" eb="2">
      <t>ヒツヨウ</t>
    </rPh>
    <rPh sb="3" eb="5">
      <t>キョウショク</t>
    </rPh>
    <rPh sb="6" eb="7">
      <t>スウ</t>
    </rPh>
    <rPh sb="10" eb="12">
      <t>ネンレイ</t>
    </rPh>
    <rPh sb="12" eb="13">
      <t>ベツ</t>
    </rPh>
    <rPh sb="14" eb="16">
      <t>ハイチ</t>
    </rPh>
    <rPh sb="16" eb="18">
      <t>キジュン</t>
    </rPh>
    <rPh sb="31" eb="32">
      <t>クニ</t>
    </rPh>
    <rPh sb="32" eb="34">
      <t>カハイ</t>
    </rPh>
    <rPh sb="41" eb="43">
      <t>ゴウケイ</t>
    </rPh>
    <phoneticPr fontId="3"/>
  </si>
  <si>
    <t>休憩保育士（利用定員90超）※90以下の場合は②で加配</t>
    <phoneticPr fontId="3"/>
  </si>
  <si>
    <r>
      <t xml:space="preserve">必要
職員数
との差
</t>
    </r>
    <r>
      <rPr>
        <b/>
        <sz val="10"/>
        <rFont val="BIZ UDPゴシック"/>
        <family val="3"/>
        <charset val="128"/>
      </rPr>
      <t>【Ｃ－Ａ】</t>
    </r>
    <r>
      <rPr>
        <b/>
        <sz val="10"/>
        <rFont val="ＭＳ Ｐゴシック"/>
        <family val="3"/>
        <charset val="128"/>
      </rPr>
      <t xml:space="preserve">
</t>
    </r>
    <r>
      <rPr>
        <sz val="10"/>
        <rFont val="ＭＳ Ｐゴシック"/>
        <family val="3"/>
        <charset val="128"/>
      </rPr>
      <t>コメント
参照</t>
    </r>
    <rPh sb="0" eb="2">
      <t>ヒツヨウ</t>
    </rPh>
    <rPh sb="22" eb="24">
      <t>サンショウ</t>
    </rPh>
    <phoneticPr fontId="3"/>
  </si>
  <si>
    <t>必要
主幹保育教諭数</t>
    <rPh sb="0" eb="2">
      <t>ヒツヨウ</t>
    </rPh>
    <rPh sb="3" eb="5">
      <t>シュカン</t>
    </rPh>
    <rPh sb="5" eb="7">
      <t>ホイク</t>
    </rPh>
    <rPh sb="7" eb="9">
      <t>キョウユ</t>
    </rPh>
    <rPh sb="9" eb="10">
      <t>スウ</t>
    </rPh>
    <phoneticPr fontId="3"/>
  </si>
  <si>
    <t>保育士とみなすことができる人数（小数点第２位まで表示）【分園分】</t>
    <phoneticPr fontId="3"/>
  </si>
  <si>
    <t>保育士とみなすことができる人数（小数点第２位まで表示）【本園分】</t>
    <rPh sb="28" eb="29">
      <t>ホン</t>
    </rPh>
    <rPh sb="29" eb="30">
      <t>エン</t>
    </rPh>
    <rPh sb="30" eb="31">
      <t>ブン</t>
    </rPh>
    <phoneticPr fontId="3"/>
  </si>
  <si>
    <t>うち、非常勤講師等の数（該当する場合は1を入力）</t>
    <phoneticPr fontId="3"/>
  </si>
  <si>
    <t>1・2号定員</t>
    <rPh sb="3" eb="4">
      <t>ゴウ</t>
    </rPh>
    <rPh sb="4" eb="6">
      <t>テイイン</t>
    </rPh>
    <phoneticPr fontId="3"/>
  </si>
  <si>
    <t>適用</t>
    <rPh sb="0" eb="2">
      <t>テキヨウ</t>
    </rPh>
    <phoneticPr fontId="3"/>
  </si>
  <si>
    <t>チーム保育加配加算</t>
    <rPh sb="3" eb="5">
      <t>ホイク</t>
    </rPh>
    <rPh sb="5" eb="7">
      <t>カハイ</t>
    </rPh>
    <rPh sb="7" eb="9">
      <t>カサン</t>
    </rPh>
    <phoneticPr fontId="3"/>
  </si>
  <si>
    <t>4歳以上児配置改善加算</t>
    <rPh sb="1" eb="2">
      <t>サイ</t>
    </rPh>
    <rPh sb="2" eb="4">
      <t>イジョウ</t>
    </rPh>
    <rPh sb="4" eb="5">
      <t>ジ</t>
    </rPh>
    <rPh sb="5" eb="7">
      <t>ハイチ</t>
    </rPh>
    <rPh sb="7" eb="9">
      <t>カイゼン</t>
    </rPh>
    <rPh sb="9" eb="11">
      <t>カサン</t>
    </rPh>
    <phoneticPr fontId="3"/>
  </si>
  <si>
    <t>3歳児配置改善加算</t>
    <rPh sb="1" eb="3">
      <t>サイジ</t>
    </rPh>
    <rPh sb="3" eb="5">
      <t>ハイチ</t>
    </rPh>
    <rPh sb="5" eb="7">
      <t>カイゼン</t>
    </rPh>
    <rPh sb="7" eb="9">
      <t>カサン</t>
    </rPh>
    <phoneticPr fontId="3"/>
  </si>
  <si>
    <t>満3歳児対応加配加算</t>
    <rPh sb="0" eb="1">
      <t>マン</t>
    </rPh>
    <rPh sb="2" eb="4">
      <t>サイジ</t>
    </rPh>
    <rPh sb="4" eb="6">
      <t>タイオウ</t>
    </rPh>
    <rPh sb="6" eb="8">
      <t>カハイ</t>
    </rPh>
    <rPh sb="8" eb="10">
      <t>カサン</t>
    </rPh>
    <phoneticPr fontId="3"/>
  </si>
  <si>
    <t>園長等の兼務状況</t>
    <rPh sb="0" eb="2">
      <t>エンチョウ</t>
    </rPh>
    <rPh sb="2" eb="3">
      <t>トウ</t>
    </rPh>
    <rPh sb="4" eb="6">
      <t>ケンム</t>
    </rPh>
    <rPh sb="6" eb="8">
      <t>ジョウキョウ</t>
    </rPh>
    <phoneticPr fontId="3"/>
  </si>
  <si>
    <t>×</t>
    <phoneticPr fontId="3"/>
  </si>
  <si>
    <t>【必須】加算の適用状況等を踏まえて、プルダウンから選択してください。（プルダウンを選択すると色が消えます。エラーメッセージがある場合は内容を参照して適切に修正してください。）</t>
    <rPh sb="1" eb="3">
      <t>ヒッス</t>
    </rPh>
    <rPh sb="4" eb="6">
      <t>カサン</t>
    </rPh>
    <rPh sb="7" eb="9">
      <t>テキヨウ</t>
    </rPh>
    <rPh sb="9" eb="11">
      <t>ジョウキョウ</t>
    </rPh>
    <rPh sb="11" eb="12">
      <t>トウ</t>
    </rPh>
    <rPh sb="13" eb="14">
      <t>フ</t>
    </rPh>
    <rPh sb="25" eb="27">
      <t>センタク</t>
    </rPh>
    <rPh sb="41" eb="43">
      <t>センタク</t>
    </rPh>
    <rPh sb="46" eb="47">
      <t>イロ</t>
    </rPh>
    <rPh sb="48" eb="49">
      <t>キ</t>
    </rPh>
    <rPh sb="64" eb="66">
      <t>バアイ</t>
    </rPh>
    <rPh sb="67" eb="69">
      <t>ナイヨウ</t>
    </rPh>
    <rPh sb="70" eb="72">
      <t>サンショウ</t>
    </rPh>
    <rPh sb="74" eb="76">
      <t>テキセツ</t>
    </rPh>
    <rPh sb="77" eb="79">
      <t>シュウセイ</t>
    </rPh>
    <phoneticPr fontId="3"/>
  </si>
  <si>
    <t>代替保育教諭等のうち非常勤講師の人数</t>
    <rPh sb="0" eb="2">
      <t>ダイタイ</t>
    </rPh>
    <rPh sb="2" eb="4">
      <t>ホイク</t>
    </rPh>
    <rPh sb="4" eb="6">
      <t>キョウユ</t>
    </rPh>
    <rPh sb="6" eb="7">
      <t>トウ</t>
    </rPh>
    <rPh sb="10" eb="13">
      <t>ヒジョウキン</t>
    </rPh>
    <rPh sb="13" eb="15">
      <t>コウシ</t>
    </rPh>
    <rPh sb="16" eb="17">
      <t>ヒト</t>
    </rPh>
    <rPh sb="17" eb="18">
      <t>カズ</t>
    </rPh>
    <phoneticPr fontId="3"/>
  </si>
  <si>
    <t>計算用→</t>
    <rPh sb="0" eb="3">
      <t>ケイサンヨウ</t>
    </rPh>
    <phoneticPr fontId="3"/>
  </si>
  <si>
    <t>本園</t>
    <rPh sb="0" eb="1">
      <t>ホン</t>
    </rPh>
    <rPh sb="1" eb="2">
      <t>エン</t>
    </rPh>
    <phoneticPr fontId="3"/>
  </si>
  <si>
    <t>分園</t>
    <rPh sb="0" eb="2">
      <t>ブンエン</t>
    </rPh>
    <phoneticPr fontId="3"/>
  </si>
  <si>
    <t>配置可能上限</t>
    <rPh sb="0" eb="2">
      <t>ハイチ</t>
    </rPh>
    <rPh sb="2" eb="4">
      <t>カノウ</t>
    </rPh>
    <rPh sb="4" eb="6">
      <t>ジョウゲン</t>
    </rPh>
    <phoneticPr fontId="3"/>
  </si>
  <si>
    <t>前月からの変更</t>
    <rPh sb="0" eb="2">
      <t>ゼンゲツ</t>
    </rPh>
    <rPh sb="5" eb="7">
      <t>ヘンコウ</t>
    </rPh>
    <phoneticPr fontId="3"/>
  </si>
  <si>
    <t>専任</t>
    <rPh sb="0" eb="2">
      <t>センニン</t>
    </rPh>
    <phoneticPr fontId="3"/>
  </si>
  <si>
    <t>非専任</t>
    <rPh sb="0" eb="1">
      <t>ヒ</t>
    </rPh>
    <rPh sb="1" eb="3">
      <t>センニン</t>
    </rPh>
    <phoneticPr fontId="3"/>
  </si>
  <si>
    <t>各月歳児別配置基準</t>
    <rPh sb="0" eb="1">
      <t>カク</t>
    </rPh>
    <rPh sb="1" eb="2">
      <t>ゲツ</t>
    </rPh>
    <rPh sb="2" eb="4">
      <t>サイジ</t>
    </rPh>
    <rPh sb="4" eb="5">
      <t>ベツ</t>
    </rPh>
    <rPh sb="5" eb="7">
      <t>ハイチ</t>
    </rPh>
    <rPh sb="7" eb="9">
      <t>キジュン</t>
    </rPh>
    <phoneticPr fontId="3"/>
  </si>
  <si>
    <t>本園</t>
    <rPh sb="0" eb="2">
      <t>ホンエン</t>
    </rPh>
    <phoneticPr fontId="69"/>
  </si>
  <si>
    <t>分園</t>
    <rPh sb="0" eb="1">
      <t>ブン</t>
    </rPh>
    <rPh sb="1" eb="2">
      <t>ソノ</t>
    </rPh>
    <phoneticPr fontId="69"/>
  </si>
  <si>
    <t>計</t>
    <rPh sb="0" eb="1">
      <t>ケイ</t>
    </rPh>
    <phoneticPr fontId="69"/>
  </si>
  <si>
    <t>０歳児</t>
    <rPh sb="1" eb="3">
      <t>サイジ</t>
    </rPh>
    <phoneticPr fontId="69"/>
  </si>
  <si>
    <t>1歳児</t>
    <rPh sb="1" eb="3">
      <t>サイジ</t>
    </rPh>
    <phoneticPr fontId="69"/>
  </si>
  <si>
    <t>2歳児</t>
    <rPh sb="1" eb="3">
      <t>サイジ</t>
    </rPh>
    <phoneticPr fontId="69"/>
  </si>
  <si>
    <t>満3歳児</t>
    <rPh sb="0" eb="1">
      <t>マン</t>
    </rPh>
    <rPh sb="2" eb="4">
      <t>サイジ</t>
    </rPh>
    <phoneticPr fontId="69"/>
  </si>
  <si>
    <t>3歳児</t>
    <rPh sb="1" eb="3">
      <t>サイジ</t>
    </rPh>
    <phoneticPr fontId="69"/>
  </si>
  <si>
    <t>4歳児</t>
    <rPh sb="1" eb="3">
      <t>サイジ</t>
    </rPh>
    <phoneticPr fontId="69"/>
  </si>
  <si>
    <t>5歳児</t>
    <rPh sb="1" eb="3">
      <t>サイジ</t>
    </rPh>
    <phoneticPr fontId="69"/>
  </si>
  <si>
    <t>児童数</t>
    <rPh sb="0" eb="2">
      <t>ジドウ</t>
    </rPh>
    <rPh sb="2" eb="3">
      <t>スウ</t>
    </rPh>
    <phoneticPr fontId="3"/>
  </si>
  <si>
    <t>必要保育教諭等</t>
    <rPh sb="0" eb="2">
      <t>ヒツヨウ</t>
    </rPh>
    <rPh sb="2" eb="4">
      <t>ホイク</t>
    </rPh>
    <rPh sb="4" eb="6">
      <t>キョウユ</t>
    </rPh>
    <rPh sb="6" eb="7">
      <t>トウ</t>
    </rPh>
    <phoneticPr fontId="3"/>
  </si>
  <si>
    <t>2・3号</t>
    <rPh sb="3" eb="4">
      <t>ゴウ</t>
    </rPh>
    <phoneticPr fontId="3"/>
  </si>
  <si>
    <t>1号分算出</t>
    <rPh sb="1" eb="2">
      <t>ゴウ</t>
    </rPh>
    <rPh sb="2" eb="3">
      <t>ブン</t>
    </rPh>
    <rPh sb="3" eb="5">
      <t>サンシュツ</t>
    </rPh>
    <phoneticPr fontId="3"/>
  </si>
  <si>
    <t>条例基準</t>
    <rPh sb="0" eb="2">
      <t>ジョウレイ</t>
    </rPh>
    <rPh sb="2" eb="4">
      <t>キジュン</t>
    </rPh>
    <phoneticPr fontId="3"/>
  </si>
  <si>
    <t>本園</t>
    <rPh sb="0" eb="1">
      <t>ホン</t>
    </rPh>
    <rPh sb="1" eb="2">
      <t>エン</t>
    </rPh>
    <phoneticPr fontId="3"/>
  </si>
  <si>
    <t>分園</t>
    <rPh sb="0" eb="2">
      <t>ブンエン</t>
    </rPh>
    <phoneticPr fontId="3"/>
  </si>
  <si>
    <t>flag</t>
    <phoneticPr fontId="3"/>
  </si>
  <si>
    <t>・職員の配置基準に影響する加算等の適用状況を入力いただきます。</t>
    <rPh sb="1" eb="3">
      <t>ショクイン</t>
    </rPh>
    <rPh sb="4" eb="6">
      <t>ハイチ</t>
    </rPh>
    <rPh sb="6" eb="8">
      <t>キジュン</t>
    </rPh>
    <rPh sb="9" eb="11">
      <t>エイキョウ</t>
    </rPh>
    <rPh sb="13" eb="15">
      <t>カサン</t>
    </rPh>
    <rPh sb="15" eb="16">
      <t>トウ</t>
    </rPh>
    <rPh sb="17" eb="19">
      <t>テキヨウ</t>
    </rPh>
    <rPh sb="19" eb="21">
      <t>ジョウキョウ</t>
    </rPh>
    <rPh sb="22" eb="24">
      <t>ニュウリョク</t>
    </rPh>
    <phoneticPr fontId="3"/>
  </si>
  <si>
    <t>・入力された情報を基に、「様式１」シートや「参考_歳児別配置基準」シートにおいて配置が必要な職員数等を算出します。</t>
    <rPh sb="1" eb="3">
      <t>ニュウリョク</t>
    </rPh>
    <rPh sb="6" eb="8">
      <t>ジョウホウ</t>
    </rPh>
    <rPh sb="9" eb="10">
      <t>モト</t>
    </rPh>
    <rPh sb="13" eb="15">
      <t>ヨウシキ</t>
    </rPh>
    <rPh sb="40" eb="42">
      <t>ハイチ</t>
    </rPh>
    <rPh sb="43" eb="45">
      <t>ヒツヨウ</t>
    </rPh>
    <rPh sb="46" eb="49">
      <t>ショクインスウ</t>
    </rPh>
    <rPh sb="49" eb="50">
      <t>トウ</t>
    </rPh>
    <rPh sb="51" eb="53">
      <t>サンシュツ</t>
    </rPh>
    <phoneticPr fontId="3"/>
  </si>
  <si>
    <t>・以下の手順により、各月ごとに取得している加算等の状況をプルダウンから選択してください。</t>
    <rPh sb="1" eb="3">
      <t>イカ</t>
    </rPh>
    <rPh sb="4" eb="6">
      <t>テジュン</t>
    </rPh>
    <rPh sb="10" eb="12">
      <t>カクゲツ</t>
    </rPh>
    <rPh sb="15" eb="17">
      <t>シュトク</t>
    </rPh>
    <rPh sb="21" eb="23">
      <t>カサン</t>
    </rPh>
    <rPh sb="23" eb="24">
      <t>トウ</t>
    </rPh>
    <rPh sb="25" eb="27">
      <t>ジョウキョウ</t>
    </rPh>
    <rPh sb="35" eb="37">
      <t>センタク</t>
    </rPh>
    <phoneticPr fontId="3"/>
  </si>
  <si>
    <t>②５月以降については、前月からの適用状況に変更の有無をB列で選択してください。</t>
    <rPh sb="2" eb="3">
      <t>ガツ</t>
    </rPh>
    <rPh sb="3" eb="5">
      <t>イコウ</t>
    </rPh>
    <rPh sb="11" eb="13">
      <t>ゼンゲツ</t>
    </rPh>
    <rPh sb="16" eb="18">
      <t>テキヨウ</t>
    </rPh>
    <rPh sb="18" eb="20">
      <t>ジョウキョウ</t>
    </rPh>
    <rPh sb="21" eb="23">
      <t>ヘンコウ</t>
    </rPh>
    <rPh sb="24" eb="26">
      <t>ウム</t>
    </rPh>
    <rPh sb="28" eb="29">
      <t>レツ</t>
    </rPh>
    <rPh sb="30" eb="32">
      <t>センタク</t>
    </rPh>
    <phoneticPr fontId="3"/>
  </si>
  <si>
    <t>→「変更あり」を選択した場合、①と同様に当該月の加算の適用状況を入力してください。</t>
    <rPh sb="2" eb="4">
      <t>ヘンコウ</t>
    </rPh>
    <rPh sb="8" eb="10">
      <t>センタク</t>
    </rPh>
    <rPh sb="12" eb="14">
      <t>バアイ</t>
    </rPh>
    <rPh sb="17" eb="19">
      <t>ドウヨウ</t>
    </rPh>
    <rPh sb="20" eb="22">
      <t>トウガイ</t>
    </rPh>
    <rPh sb="22" eb="23">
      <t>ゲツ</t>
    </rPh>
    <rPh sb="24" eb="26">
      <t>カサン</t>
    </rPh>
    <rPh sb="27" eb="29">
      <t>テキヨウ</t>
    </rPh>
    <rPh sb="29" eb="31">
      <t>ジョウキョウ</t>
    </rPh>
    <rPh sb="32" eb="34">
      <t>ニュウリョク</t>
    </rPh>
    <phoneticPr fontId="3"/>
  </si>
  <si>
    <t>4月</t>
    <rPh sb="1" eb="2">
      <t>ツキ</t>
    </rPh>
    <phoneticPr fontId="3"/>
  </si>
  <si>
    <t>5月</t>
    <phoneticPr fontId="3"/>
  </si>
  <si>
    <t>6月</t>
    <phoneticPr fontId="3"/>
  </si>
  <si>
    <t>7月</t>
    <phoneticPr fontId="3"/>
  </si>
  <si>
    <t>8月</t>
    <phoneticPr fontId="3"/>
  </si>
  <si>
    <t>9月</t>
    <phoneticPr fontId="3"/>
  </si>
  <si>
    <t>10月</t>
    <phoneticPr fontId="3"/>
  </si>
  <si>
    <t>11月</t>
    <phoneticPr fontId="3"/>
  </si>
  <si>
    <t>12月</t>
    <phoneticPr fontId="3"/>
  </si>
  <si>
    <t>1月</t>
    <phoneticPr fontId="3"/>
  </si>
  <si>
    <t>2月</t>
    <phoneticPr fontId="3"/>
  </si>
  <si>
    <t>3月</t>
    <phoneticPr fontId="3"/>
  </si>
  <si>
    <t>月</t>
    <rPh sb="0" eb="1">
      <t>ゲツ</t>
    </rPh>
    <phoneticPr fontId="3"/>
  </si>
  <si>
    <t>月（文字化）</t>
    <rPh sb="0" eb="1">
      <t>ゲツ</t>
    </rPh>
    <rPh sb="2" eb="5">
      <t>モジカ</t>
    </rPh>
    <phoneticPr fontId="3"/>
  </si>
  <si>
    <t>過不足数</t>
    <rPh sb="0" eb="3">
      <t>カブソク</t>
    </rPh>
    <phoneticPr fontId="3"/>
  </si>
  <si>
    <t>必要保育士数（市基準+国加配）</t>
    <rPh sb="0" eb="2">
      <t>ヒツヨウ</t>
    </rPh>
    <rPh sb="2" eb="5">
      <t>ホイクシ</t>
    </rPh>
    <rPh sb="5" eb="6">
      <t>スウ</t>
    </rPh>
    <rPh sb="7" eb="8">
      <t>シ</t>
    </rPh>
    <rPh sb="8" eb="10">
      <t>キジュン</t>
    </rPh>
    <rPh sb="11" eb="12">
      <t>クニ</t>
    </rPh>
    <rPh sb="12" eb="14">
      <t>カハイ</t>
    </rPh>
    <phoneticPr fontId="3"/>
  </si>
  <si>
    <t>チーム保育加配加算（ミサリオフラグ化）</t>
    <rPh sb="3" eb="5">
      <t>ホイク</t>
    </rPh>
    <rPh sb="5" eb="7">
      <t>カハイ</t>
    </rPh>
    <rPh sb="7" eb="9">
      <t>カサン</t>
    </rPh>
    <rPh sb="17" eb="18">
      <t>バ</t>
    </rPh>
    <phoneticPr fontId="3"/>
  </si>
  <si>
    <t>4歳以上児配置改善加算</t>
    <rPh sb="1" eb="2">
      <t>サイ</t>
    </rPh>
    <rPh sb="2" eb="4">
      <t>イジョウ</t>
    </rPh>
    <rPh sb="4" eb="5">
      <t>コ</t>
    </rPh>
    <rPh sb="5" eb="7">
      <t>ハイチ</t>
    </rPh>
    <rPh sb="7" eb="9">
      <t>カイゼン</t>
    </rPh>
    <rPh sb="9" eb="11">
      <t>カサン</t>
    </rPh>
    <phoneticPr fontId="3"/>
  </si>
  <si>
    <t>満3歳児対応加配加算</t>
    <rPh sb="0" eb="1">
      <t>ミツル</t>
    </rPh>
    <rPh sb="2" eb="4">
      <t>サイジ</t>
    </rPh>
    <rPh sb="4" eb="6">
      <t>タイオウ</t>
    </rPh>
    <rPh sb="6" eb="8">
      <t>カハイ</t>
    </rPh>
    <rPh sb="8" eb="10">
      <t>カサン</t>
    </rPh>
    <phoneticPr fontId="3"/>
  </si>
  <si>
    <t>利用定員（1号本園）</t>
    <rPh sb="0" eb="2">
      <t>リヨウ</t>
    </rPh>
    <rPh sb="2" eb="4">
      <t>テイイン</t>
    </rPh>
    <rPh sb="6" eb="7">
      <t>ゴウ</t>
    </rPh>
    <rPh sb="7" eb="8">
      <t>ホン</t>
    </rPh>
    <rPh sb="8" eb="9">
      <t>エン</t>
    </rPh>
    <phoneticPr fontId="3"/>
  </si>
  <si>
    <t>利用定員（2号本園）</t>
    <rPh sb="0" eb="2">
      <t>リヨウ</t>
    </rPh>
    <rPh sb="2" eb="4">
      <t>テイイン</t>
    </rPh>
    <rPh sb="6" eb="7">
      <t>ゴウ</t>
    </rPh>
    <rPh sb="7" eb="8">
      <t>ホン</t>
    </rPh>
    <rPh sb="8" eb="9">
      <t>エン</t>
    </rPh>
    <phoneticPr fontId="3"/>
  </si>
  <si>
    <t>利用定員（3号本園）</t>
    <rPh sb="0" eb="2">
      <t>リヨウ</t>
    </rPh>
    <rPh sb="2" eb="4">
      <t>テイイン</t>
    </rPh>
    <rPh sb="6" eb="7">
      <t>ゴウ</t>
    </rPh>
    <rPh sb="7" eb="8">
      <t>ホン</t>
    </rPh>
    <rPh sb="8" eb="9">
      <t>エン</t>
    </rPh>
    <phoneticPr fontId="3"/>
  </si>
  <si>
    <t>利用定員（1号分園）</t>
    <rPh sb="0" eb="2">
      <t>リヨウ</t>
    </rPh>
    <rPh sb="2" eb="4">
      <t>テイイン</t>
    </rPh>
    <rPh sb="6" eb="7">
      <t>ゴウ</t>
    </rPh>
    <phoneticPr fontId="3"/>
  </si>
  <si>
    <t>利用定員（2号分園）</t>
    <rPh sb="0" eb="2">
      <t>リヨウ</t>
    </rPh>
    <rPh sb="2" eb="4">
      <t>テイイン</t>
    </rPh>
    <rPh sb="6" eb="7">
      <t>ゴウ</t>
    </rPh>
    <phoneticPr fontId="3"/>
  </si>
  <si>
    <t>利用定員（3号分園）</t>
    <rPh sb="0" eb="2">
      <t>リヨウ</t>
    </rPh>
    <rPh sb="2" eb="4">
      <t>テイイン</t>
    </rPh>
    <rPh sb="6" eb="7">
      <t>ゴウ</t>
    </rPh>
    <phoneticPr fontId="3"/>
  </si>
  <si>
    <t>3歳児数／1号（本園）</t>
    <rPh sb="1" eb="3">
      <t>サイジ</t>
    </rPh>
    <rPh sb="3" eb="4">
      <t>スウ</t>
    </rPh>
    <rPh sb="6" eb="7">
      <t>ゴウ</t>
    </rPh>
    <rPh sb="8" eb="9">
      <t>ホン</t>
    </rPh>
    <rPh sb="9" eb="10">
      <t>エン</t>
    </rPh>
    <phoneticPr fontId="3"/>
  </si>
  <si>
    <t>4歳児数／1号（本園）</t>
    <rPh sb="1" eb="3">
      <t>サイジ</t>
    </rPh>
    <rPh sb="3" eb="4">
      <t>スウ</t>
    </rPh>
    <rPh sb="6" eb="7">
      <t>ゴウ</t>
    </rPh>
    <phoneticPr fontId="3"/>
  </si>
  <si>
    <t>5歳児数／1号（本園）</t>
    <rPh sb="1" eb="3">
      <t>サイジ</t>
    </rPh>
    <rPh sb="3" eb="4">
      <t>スウ</t>
    </rPh>
    <rPh sb="6" eb="7">
      <t>ゴウ</t>
    </rPh>
    <phoneticPr fontId="3"/>
  </si>
  <si>
    <t>3歳児数／2号（本園）</t>
    <rPh sb="1" eb="3">
      <t>サイジ</t>
    </rPh>
    <rPh sb="3" eb="4">
      <t>スウ</t>
    </rPh>
    <rPh sb="6" eb="7">
      <t>ゴウ</t>
    </rPh>
    <phoneticPr fontId="3"/>
  </si>
  <si>
    <t>4歳児数／2号（本園）</t>
    <rPh sb="1" eb="3">
      <t>サイジ</t>
    </rPh>
    <rPh sb="3" eb="4">
      <t>スウ</t>
    </rPh>
    <rPh sb="6" eb="7">
      <t>ゴウ</t>
    </rPh>
    <phoneticPr fontId="3"/>
  </si>
  <si>
    <t>5歳児数／2号（本園）</t>
    <rPh sb="1" eb="3">
      <t>サイジ</t>
    </rPh>
    <rPh sb="3" eb="4">
      <t>スウ</t>
    </rPh>
    <rPh sb="6" eb="7">
      <t>ゴウ</t>
    </rPh>
    <phoneticPr fontId="3"/>
  </si>
  <si>
    <t>0歳児数／3号（本園）</t>
    <rPh sb="1" eb="3">
      <t>サイジ</t>
    </rPh>
    <rPh sb="3" eb="4">
      <t>スウ</t>
    </rPh>
    <rPh sb="6" eb="7">
      <t>ゴウ</t>
    </rPh>
    <phoneticPr fontId="3"/>
  </si>
  <si>
    <t>1歳児数／3号（本園）</t>
    <rPh sb="1" eb="3">
      <t>サイジ</t>
    </rPh>
    <rPh sb="3" eb="4">
      <t>スウ</t>
    </rPh>
    <rPh sb="6" eb="7">
      <t>ゴウ</t>
    </rPh>
    <phoneticPr fontId="3"/>
  </si>
  <si>
    <t>2歳児数／3号（本園）</t>
    <rPh sb="1" eb="3">
      <t>サイジ</t>
    </rPh>
    <rPh sb="3" eb="4">
      <t>スウ</t>
    </rPh>
    <rPh sb="6" eb="7">
      <t>ゴウ</t>
    </rPh>
    <phoneticPr fontId="3"/>
  </si>
  <si>
    <t>満3歳児数／1号（本園）</t>
    <rPh sb="0" eb="1">
      <t>ミツル</t>
    </rPh>
    <rPh sb="2" eb="4">
      <t>サイジ</t>
    </rPh>
    <rPh sb="4" eb="5">
      <t>スウ</t>
    </rPh>
    <rPh sb="7" eb="8">
      <t>ゴウ</t>
    </rPh>
    <rPh sb="9" eb="10">
      <t>ホン</t>
    </rPh>
    <rPh sb="10" eb="11">
      <t>エン</t>
    </rPh>
    <phoneticPr fontId="3"/>
  </si>
  <si>
    <t>満3歳児数／1号（分園）</t>
    <rPh sb="0" eb="1">
      <t>ミツル</t>
    </rPh>
    <rPh sb="2" eb="4">
      <t>サイジ</t>
    </rPh>
    <rPh sb="4" eb="5">
      <t>スウ</t>
    </rPh>
    <rPh sb="7" eb="8">
      <t>ゴウ</t>
    </rPh>
    <phoneticPr fontId="3"/>
  </si>
  <si>
    <t>3歳児数／1号（分園）</t>
    <rPh sb="1" eb="3">
      <t>サイジ</t>
    </rPh>
    <rPh sb="3" eb="4">
      <t>スウ</t>
    </rPh>
    <rPh sb="6" eb="7">
      <t>ゴウ</t>
    </rPh>
    <phoneticPr fontId="3"/>
  </si>
  <si>
    <t>4歳児数／1号（分園）</t>
    <rPh sb="1" eb="3">
      <t>サイジ</t>
    </rPh>
    <rPh sb="3" eb="4">
      <t>スウ</t>
    </rPh>
    <rPh sb="6" eb="7">
      <t>ゴウ</t>
    </rPh>
    <phoneticPr fontId="3"/>
  </si>
  <si>
    <t>5歳児数／1号（分園）</t>
    <rPh sb="1" eb="3">
      <t>サイジ</t>
    </rPh>
    <rPh sb="3" eb="4">
      <t>スウ</t>
    </rPh>
    <rPh sb="6" eb="7">
      <t>ゴウ</t>
    </rPh>
    <phoneticPr fontId="3"/>
  </si>
  <si>
    <t>3歳児数／2号（分園）</t>
    <rPh sb="1" eb="3">
      <t>サイジ</t>
    </rPh>
    <rPh sb="3" eb="4">
      <t>スウ</t>
    </rPh>
    <rPh sb="6" eb="7">
      <t>ゴウ</t>
    </rPh>
    <phoneticPr fontId="3"/>
  </si>
  <si>
    <t>4歳児数／2号（分園）</t>
    <rPh sb="1" eb="3">
      <t>サイジ</t>
    </rPh>
    <rPh sb="3" eb="4">
      <t>スウ</t>
    </rPh>
    <rPh sb="6" eb="7">
      <t>ゴウ</t>
    </rPh>
    <phoneticPr fontId="3"/>
  </si>
  <si>
    <t>5歳児数／2号（分園）</t>
    <rPh sb="1" eb="3">
      <t>サイジ</t>
    </rPh>
    <rPh sb="3" eb="4">
      <t>スウ</t>
    </rPh>
    <rPh sb="6" eb="7">
      <t>ゴウ</t>
    </rPh>
    <phoneticPr fontId="3"/>
  </si>
  <si>
    <t>0歳児数／3号（分園）</t>
    <rPh sb="1" eb="3">
      <t>サイジ</t>
    </rPh>
    <rPh sb="3" eb="4">
      <t>スウ</t>
    </rPh>
    <rPh sb="6" eb="7">
      <t>ゴウ</t>
    </rPh>
    <phoneticPr fontId="3"/>
  </si>
  <si>
    <t>1歳児数／3号（分園）</t>
    <rPh sb="1" eb="3">
      <t>サイジ</t>
    </rPh>
    <rPh sb="3" eb="4">
      <t>スウ</t>
    </rPh>
    <rPh sb="6" eb="7">
      <t>ゴウ</t>
    </rPh>
    <phoneticPr fontId="3"/>
  </si>
  <si>
    <t>2歳児数／3号（分園）</t>
    <rPh sb="1" eb="3">
      <t>サイジ</t>
    </rPh>
    <rPh sb="3" eb="4">
      <t>スウ</t>
    </rPh>
    <rPh sb="6" eb="7">
      <t>ゴウ</t>
    </rPh>
    <phoneticPr fontId="3"/>
  </si>
  <si>
    <t>３歳児加配</t>
    <rPh sb="1" eb="3">
      <t>サイジ</t>
    </rPh>
    <rPh sb="3" eb="5">
      <t>カハイ</t>
    </rPh>
    <phoneticPr fontId="3"/>
  </si>
  <si>
    <r>
      <rPr>
        <b/>
        <sz val="8.5"/>
        <color indexed="30"/>
        <rFont val="ＭＳ Ｐゴシック"/>
        <family val="3"/>
        <charset val="128"/>
      </rPr>
      <t>最大</t>
    </r>
    <r>
      <rPr>
        <b/>
        <sz val="8.5"/>
        <rFont val="ＭＳ Ｐゴシック"/>
        <family val="3"/>
        <charset val="128"/>
      </rPr>
      <t>保育士数
【年齢別
配置基準</t>
    </r>
    <r>
      <rPr>
        <sz val="8.5"/>
        <rFont val="ＭＳ Ｐゴシック"/>
        <family val="3"/>
        <charset val="128"/>
      </rPr>
      <t>（歳児別の加算を考慮）</t>
    </r>
    <r>
      <rPr>
        <b/>
        <sz val="8.5"/>
        <rFont val="ＭＳ Ｐゴシック"/>
        <family val="3"/>
        <charset val="128"/>
      </rPr>
      <t xml:space="preserve">
+国加配
＋市独自加配】
⑥</t>
    </r>
    <r>
      <rPr>
        <b/>
        <sz val="9"/>
        <rFont val="ＭＳ Ｐゴシック"/>
        <family val="3"/>
        <charset val="128"/>
      </rPr>
      <t>～⑯の合計</t>
    </r>
    <rPh sb="0" eb="2">
      <t>サイダイ</t>
    </rPh>
    <rPh sb="2" eb="4">
      <t>ホイク</t>
    </rPh>
    <rPh sb="4" eb="6">
      <t>シスウ</t>
    </rPh>
    <rPh sb="8" eb="10">
      <t>ネンレイ</t>
    </rPh>
    <rPh sb="10" eb="11">
      <t>ベツ</t>
    </rPh>
    <rPh sb="12" eb="14">
      <t>ハイチ</t>
    </rPh>
    <rPh sb="14" eb="16">
      <t>キジュン</t>
    </rPh>
    <rPh sb="29" eb="30">
      <t>クニ</t>
    </rPh>
    <rPh sb="30" eb="32">
      <t>カハイ</t>
    </rPh>
    <rPh sb="34" eb="35">
      <t>シ</t>
    </rPh>
    <rPh sb="35" eb="37">
      <t>ドクジ</t>
    </rPh>
    <rPh sb="37" eb="39">
      <t>カハイ</t>
    </rPh>
    <rPh sb="47" eb="49">
      <t>ゴウケイ</t>
    </rPh>
    <phoneticPr fontId="3"/>
  </si>
  <si>
    <t>３歳児
加配</t>
    <rPh sb="1" eb="3">
      <t>サイジ</t>
    </rPh>
    <rPh sb="4" eb="6">
      <t>カハイ</t>
    </rPh>
    <phoneticPr fontId="3"/>
  </si>
  <si>
    <t>⑨</t>
    <phoneticPr fontId="3"/>
  </si>
  <si>
    <t>３歳児加配</t>
    <rPh sb="1" eb="5">
      <t>サイジカハイ</t>
    </rPh>
    <phoneticPr fontId="3"/>
  </si>
  <si>
    <t>⑪</t>
    <phoneticPr fontId="3"/>
  </si>
  <si>
    <t>※１．認定こども園においては、②④⑪を除き、１号必要職員数を除く数値</t>
    <rPh sb="3" eb="5">
      <t>ニンテイ</t>
    </rPh>
    <rPh sb="8" eb="9">
      <t>エン</t>
    </rPh>
    <rPh sb="19" eb="20">
      <t>ノゾ</t>
    </rPh>
    <rPh sb="23" eb="24">
      <t>ゴウ</t>
    </rPh>
    <rPh sb="24" eb="26">
      <t>ヒツヨウ</t>
    </rPh>
    <rPh sb="26" eb="29">
      <t>ショクインスウ</t>
    </rPh>
    <rPh sb="30" eb="31">
      <t>ノゾ</t>
    </rPh>
    <rPh sb="32" eb="34">
      <t>スウチ</t>
    </rPh>
    <phoneticPr fontId="3"/>
  </si>
  <si>
    <t>③+⑤+⑥+⑦+⑧+⑨</t>
    <phoneticPr fontId="3"/>
  </si>
  <si>
    <t>２・３号実配置数（ⅰ）と補助算定職員数の最大値（ⅱ）との比較（(ⅰ)－（ⅱ））</t>
    <rPh sb="4" eb="5">
      <t>ジツ</t>
    </rPh>
    <rPh sb="5" eb="7">
      <t>ハイチ</t>
    </rPh>
    <rPh sb="7" eb="8">
      <t>スウ</t>
    </rPh>
    <rPh sb="12" eb="14">
      <t>ホジョ</t>
    </rPh>
    <rPh sb="14" eb="16">
      <t>サンテイ</t>
    </rPh>
    <rPh sb="16" eb="19">
      <t>ショクインスウ</t>
    </rPh>
    <rPh sb="20" eb="23">
      <t>サイダイチ</t>
    </rPh>
    <rPh sb="28" eb="30">
      <t>ヒカク</t>
    </rPh>
    <phoneticPr fontId="3"/>
  </si>
  <si>
    <t>1歳児配置改善加算</t>
    <rPh sb="1" eb="3">
      <t>サイジ</t>
    </rPh>
    <rPh sb="3" eb="5">
      <t>ハイチ</t>
    </rPh>
    <rPh sb="5" eb="7">
      <t>カイゼン</t>
    </rPh>
    <rPh sb="7" eb="9">
      <t>カサン</t>
    </rPh>
    <phoneticPr fontId="3"/>
  </si>
  <si>
    <t>①まず、４月時点の加算の適用状況をD列～M列のセル（黄色のセル）に入力してください。</t>
    <rPh sb="5" eb="6">
      <t>ガツ</t>
    </rPh>
    <rPh sb="6" eb="8">
      <t>ジテン</t>
    </rPh>
    <rPh sb="9" eb="11">
      <t>カサン</t>
    </rPh>
    <rPh sb="12" eb="14">
      <t>テキヨウ</t>
    </rPh>
    <rPh sb="14" eb="16">
      <t>ジョウキョウ</t>
    </rPh>
    <rPh sb="18" eb="19">
      <t>レツ</t>
    </rPh>
    <rPh sb="21" eb="22">
      <t>レツ</t>
    </rPh>
    <rPh sb="26" eb="28">
      <t>キイロ</t>
    </rPh>
    <rPh sb="33" eb="35">
      <t>ニュウリョク</t>
    </rPh>
    <phoneticPr fontId="3"/>
  </si>
  <si>
    <t>→「変更なし」を選択した場合、D列～m列に前月の情報が転記されます。</t>
    <rPh sb="2" eb="4">
      <t>ヘンコウ</t>
    </rPh>
    <rPh sb="8" eb="10">
      <t>センタク</t>
    </rPh>
    <rPh sb="12" eb="14">
      <t>バアイ</t>
    </rPh>
    <rPh sb="16" eb="17">
      <t>レツ</t>
    </rPh>
    <rPh sb="19" eb="20">
      <t>レツ</t>
    </rPh>
    <rPh sb="21" eb="23">
      <t>ゼンゲツ</t>
    </rPh>
    <rPh sb="24" eb="26">
      <t>ジョウホウ</t>
    </rPh>
    <rPh sb="27" eb="29">
      <t>テンキ</t>
    </rPh>
    <phoneticPr fontId="3"/>
  </si>
  <si>
    <t>※　N列にエラーメッセージが出ている場合、その月の必要な職員数の算出ができません。（ブランクのままでもエラーが出るので、適用がない場合も必ず選択してください。）</t>
    <rPh sb="3" eb="4">
      <t>レツ</t>
    </rPh>
    <rPh sb="14" eb="15">
      <t>デ</t>
    </rPh>
    <rPh sb="18" eb="20">
      <t>バアイ</t>
    </rPh>
    <rPh sb="23" eb="24">
      <t>ツキ</t>
    </rPh>
    <rPh sb="25" eb="27">
      <t>ヒツヨウ</t>
    </rPh>
    <rPh sb="28" eb="31">
      <t>ショクインスウ</t>
    </rPh>
    <rPh sb="32" eb="34">
      <t>サンシュツ</t>
    </rPh>
    <rPh sb="55" eb="56">
      <t>デ</t>
    </rPh>
    <rPh sb="60" eb="62">
      <t>テキヨウ</t>
    </rPh>
    <rPh sb="65" eb="67">
      <t>バアイ</t>
    </rPh>
    <rPh sb="68" eb="69">
      <t>カナラ</t>
    </rPh>
    <rPh sb="70" eb="72">
      <t>センタク</t>
    </rPh>
    <phoneticPr fontId="3"/>
  </si>
  <si>
    <t>3歳児配置改善加算</t>
    <rPh sb="1" eb="2">
      <t>サイ</t>
    </rPh>
    <rPh sb="2" eb="3">
      <t>コ</t>
    </rPh>
    <rPh sb="3" eb="5">
      <t>ハイチ</t>
    </rPh>
    <rPh sb="5" eb="7">
      <t>カイゼン</t>
    </rPh>
    <rPh sb="7" eb="9">
      <t>カサン</t>
    </rPh>
    <phoneticPr fontId="3"/>
  </si>
  <si>
    <t>1歳児配置改善加算</t>
    <rPh sb="1" eb="2">
      <t>サイ</t>
    </rPh>
    <rPh sb="2" eb="3">
      <t>コ</t>
    </rPh>
    <rPh sb="3" eb="5">
      <t>ハイチ</t>
    </rPh>
    <rPh sb="5" eb="7">
      <t>カイゼン</t>
    </rPh>
    <rPh sb="7" eb="9">
      <t>カサン</t>
    </rPh>
    <phoneticPr fontId="3"/>
  </si>
  <si>
    <t>公定価格基準（加算対応）</t>
    <phoneticPr fontId="3"/>
  </si>
  <si>
    <t>国最低基準</t>
  </si>
  <si>
    <t>必要保育士数（公定価格基準）</t>
    <rPh sb="0" eb="2">
      <t>ヒツヨウ</t>
    </rPh>
    <rPh sb="2" eb="5">
      <t>ホイクシ</t>
    </rPh>
    <rPh sb="5" eb="6">
      <t>スウ</t>
    </rPh>
    <rPh sb="7" eb="9">
      <t>コウテイ</t>
    </rPh>
    <rPh sb="9" eb="11">
      <t>カカク</t>
    </rPh>
    <rPh sb="11" eb="13">
      <t>キジュン</t>
    </rPh>
    <phoneticPr fontId="3"/>
  </si>
  <si>
    <t>必要保育士数（国最低基準）</t>
    <rPh sb="0" eb="2">
      <t>ヒツヨウ</t>
    </rPh>
    <rPh sb="2" eb="5">
      <t>ホイクシ</t>
    </rPh>
    <rPh sb="5" eb="6">
      <t>スウ</t>
    </rPh>
    <rPh sb="7" eb="8">
      <t>クニ</t>
    </rPh>
    <rPh sb="8" eb="10">
      <t>サイテイ</t>
    </rPh>
    <rPh sb="10" eb="12">
      <t>キジュン</t>
    </rPh>
    <phoneticPr fontId="3"/>
  </si>
  <si>
    <t>常勤職員勤務時間数</t>
    <rPh sb="0" eb="2">
      <t>ジョウキン</t>
    </rPh>
    <rPh sb="2" eb="4">
      <t>ショクイン</t>
    </rPh>
    <rPh sb="4" eb="6">
      <t>キンム</t>
    </rPh>
    <rPh sb="6" eb="8">
      <t>ジカン</t>
    </rPh>
    <rPh sb="8" eb="9">
      <t>スウ</t>
    </rPh>
    <phoneticPr fontId="3"/>
  </si>
  <si>
    <t>＜チ保可変必要人数に対応＞</t>
    <rPh sb="2" eb="3">
      <t>ホ</t>
    </rPh>
    <rPh sb="3" eb="5">
      <t>カヘン</t>
    </rPh>
    <rPh sb="5" eb="7">
      <t>ヒツヨウ</t>
    </rPh>
    <rPh sb="7" eb="9">
      <t>ニンズウ</t>
    </rPh>
    <rPh sb="10" eb="12">
      <t>タイオウ</t>
    </rPh>
    <phoneticPr fontId="3"/>
  </si>
  <si>
    <t>チ保加配人数</t>
    <rPh sb="1" eb="2">
      <t>ホ</t>
    </rPh>
    <rPh sb="2" eb="4">
      <t>カハイ</t>
    </rPh>
    <rPh sb="4" eb="6">
      <t>ニンズウ</t>
    </rPh>
    <phoneticPr fontId="3"/>
  </si>
  <si>
    <t>チ保下限職員数</t>
    <rPh sb="1" eb="2">
      <t>ホ</t>
    </rPh>
    <rPh sb="2" eb="4">
      <t>カゲン</t>
    </rPh>
    <rPh sb="4" eb="7">
      <t>ショクインスウ</t>
    </rPh>
    <phoneticPr fontId="3"/>
  </si>
  <si>
    <t>チ保以外の必要保育教諭等数</t>
    <rPh sb="1" eb="2">
      <t>ホ</t>
    </rPh>
    <rPh sb="2" eb="4">
      <t>イガイ</t>
    </rPh>
    <rPh sb="5" eb="7">
      <t>ヒツヨウ</t>
    </rPh>
    <rPh sb="7" eb="9">
      <t>ホイク</t>
    </rPh>
    <rPh sb="9" eb="11">
      <t>キョウユ</t>
    </rPh>
    <rPh sb="11" eb="12">
      <t>トウ</t>
    </rPh>
    <rPh sb="12" eb="13">
      <t>スウ</t>
    </rPh>
    <phoneticPr fontId="3"/>
  </si>
  <si>
    <t>教職員（補助者含む）</t>
    <rPh sb="0" eb="3">
      <t>キョウショクイン</t>
    </rPh>
    <rPh sb="4" eb="7">
      <t>ホジョシャ</t>
    </rPh>
    <rPh sb="7" eb="8">
      <t>フク</t>
    </rPh>
    <phoneticPr fontId="3"/>
  </si>
  <si>
    <t>チ保対応可能職員数</t>
    <rPh sb="1" eb="2">
      <t>ホ</t>
    </rPh>
    <rPh sb="2" eb="4">
      <t>タイオウ</t>
    </rPh>
    <rPh sb="4" eb="6">
      <t>カノウ</t>
    </rPh>
    <rPh sb="6" eb="9">
      <t>ショクインスウ</t>
    </rPh>
    <phoneticPr fontId="3"/>
  </si>
  <si>
    <t>チ保必要教職員数</t>
    <rPh sb="1" eb="2">
      <t>ホ</t>
    </rPh>
    <rPh sb="2" eb="4">
      <t>ヒツヨウ</t>
    </rPh>
    <rPh sb="4" eb="7">
      <t>キョウショクイン</t>
    </rPh>
    <rPh sb="7" eb="8">
      <t>スウ</t>
    </rPh>
    <phoneticPr fontId="3"/>
  </si>
  <si>
    <t>加配人数</t>
    <rPh sb="0" eb="2">
      <t>カハイ</t>
    </rPh>
    <rPh sb="2" eb="4">
      <t>ニンズウ</t>
    </rPh>
    <phoneticPr fontId="3"/>
  </si>
  <si>
    <r>
      <t>必要保育士数（国最低基準）</t>
    </r>
    <r>
      <rPr>
        <sz val="9"/>
        <color rgb="FFFF0000"/>
        <rFont val="ＭＳ Ｐゴシック"/>
        <family val="3"/>
        <charset val="128"/>
      </rPr>
      <t>一部加算入り</t>
    </r>
    <rPh sb="0" eb="2">
      <t>ヒツヨウ</t>
    </rPh>
    <rPh sb="2" eb="5">
      <t>ホイクシ</t>
    </rPh>
    <rPh sb="5" eb="6">
      <t>スウ</t>
    </rPh>
    <rPh sb="7" eb="8">
      <t>クニ</t>
    </rPh>
    <rPh sb="8" eb="10">
      <t>サイテイ</t>
    </rPh>
    <rPh sb="10" eb="12">
      <t>キジュン</t>
    </rPh>
    <phoneticPr fontId="3"/>
  </si>
  <si>
    <t>理学療法士
作業療法士
言語聴覚士</t>
    <rPh sb="0" eb="2">
      <t>リガク</t>
    </rPh>
    <rPh sb="2" eb="5">
      <t>リョウホウシ</t>
    </rPh>
    <rPh sb="6" eb="8">
      <t>サギョウ</t>
    </rPh>
    <rPh sb="8" eb="11">
      <t>リョウホウシ</t>
    </rPh>
    <rPh sb="12" eb="17">
      <t>ゲンゴチョウカクシ</t>
    </rPh>
    <phoneticPr fontId="3"/>
  </si>
  <si>
    <t>Ｒ８．４</t>
    <phoneticPr fontId="3"/>
  </si>
  <si>
    <t>※２． ⑩は、①が、（イ－④）の数を下回るときは、①を満たすまで、③に、⑤→⑥→⑦→⑧→⑨の順に加算した合計とする。
　　　  ⑪は、④と②の低い方を採用する。なお②は、④の範囲内で、アから③を引いた数とするが、その数が④の数を下回る場合は、２・３号分から充当するものとする。</t>
    <rPh sb="16" eb="17">
      <t>カズ</t>
    </rPh>
    <rPh sb="52" eb="54">
      <t>ゴウケイ</t>
    </rPh>
    <rPh sb="71" eb="72">
      <t>ヒク</t>
    </rPh>
    <rPh sb="73" eb="74">
      <t>ホウ</t>
    </rPh>
    <rPh sb="75" eb="77">
      <t>サイヨウ</t>
    </rPh>
    <rPh sb="87" eb="90">
      <t>ハンイナイ</t>
    </rPh>
    <rPh sb="97" eb="98">
      <t>ヒ</t>
    </rPh>
    <rPh sb="100" eb="101">
      <t>カズ</t>
    </rPh>
    <rPh sb="108" eb="109">
      <t>カズ</t>
    </rPh>
    <rPh sb="112" eb="113">
      <t>カズ</t>
    </rPh>
    <rPh sb="114" eb="116">
      <t>シタマワ</t>
    </rPh>
    <rPh sb="117" eb="119">
      <t>バアイ</t>
    </rPh>
    <rPh sb="124" eb="125">
      <t>ゴウ</t>
    </rPh>
    <rPh sb="125" eb="126">
      <t>ブン</t>
    </rPh>
    <rPh sb="128" eb="130">
      <t>ジュウトウ</t>
    </rPh>
    <phoneticPr fontId="3"/>
  </si>
  <si>
    <r>
      <t xml:space="preserve">③今後配置必要実配置数
</t>
    </r>
    <r>
      <rPr>
        <sz val="9"/>
        <rFont val="ＭＳ Ｐゴシック"/>
        <family val="3"/>
        <charset val="128"/>
      </rPr>
      <t>※②を満たすために新たな職員の雇用を検討されている場合は、何月からの雇用を想定されているかを黄色マーカー（P53セル）にて選択のうえご覧ください。</t>
    </r>
    <rPh sb="79" eb="80">
      <t>ラン</t>
    </rPh>
    <phoneticPr fontId="3"/>
  </si>
  <si>
    <r>
      <t xml:space="preserve">【補助算定の状況（加配適用状況）】
</t>
    </r>
    <r>
      <rPr>
        <sz val="10"/>
        <rFont val="ＭＳ Ｐゴシック"/>
        <family val="3"/>
        <charset val="128"/>
      </rPr>
      <t>※○が増えると、補助算定職員数が増え、保育士等の人件費等補助金の補助上限が上がります。
※補助上限は補助算定職員数×単価で計算します。</t>
    </r>
    <rPh sb="1" eb="3">
      <t>ホジョ</t>
    </rPh>
    <rPh sb="3" eb="5">
      <t>サンテイ</t>
    </rPh>
    <rPh sb="6" eb="8">
      <t>ジョウキョウ</t>
    </rPh>
    <rPh sb="9" eb="11">
      <t>カハイ</t>
    </rPh>
    <rPh sb="11" eb="13">
      <t>テキヨウ</t>
    </rPh>
    <rPh sb="13" eb="15">
      <t>ジョウキョウ</t>
    </rPh>
    <rPh sb="21" eb="22">
      <t>フ</t>
    </rPh>
    <rPh sb="26" eb="28">
      <t>ホジョ</t>
    </rPh>
    <rPh sb="28" eb="30">
      <t>サンテイ</t>
    </rPh>
    <rPh sb="30" eb="33">
      <t>ショクインスウ</t>
    </rPh>
    <rPh sb="34" eb="35">
      <t>フ</t>
    </rPh>
    <rPh sb="37" eb="40">
      <t>ホイクシ</t>
    </rPh>
    <rPh sb="40" eb="41">
      <t>トウ</t>
    </rPh>
    <rPh sb="42" eb="45">
      <t>ジンケンヒ</t>
    </rPh>
    <rPh sb="45" eb="46">
      <t>トウ</t>
    </rPh>
    <rPh sb="46" eb="49">
      <t>ホジョキン</t>
    </rPh>
    <rPh sb="50" eb="52">
      <t>ホジョ</t>
    </rPh>
    <rPh sb="52" eb="54">
      <t>ジョウゲン</t>
    </rPh>
    <rPh sb="55" eb="56">
      <t>ア</t>
    </rPh>
    <rPh sb="63" eb="65">
      <t>ホジョ</t>
    </rPh>
    <rPh sb="65" eb="67">
      <t>ジョウゲン</t>
    </rPh>
    <rPh sb="68" eb="70">
      <t>ホジョ</t>
    </rPh>
    <rPh sb="70" eb="72">
      <t>サンテイ</t>
    </rPh>
    <rPh sb="72" eb="75">
      <t>ショクインスウ</t>
    </rPh>
    <rPh sb="76" eb="78">
      <t>タンカ</t>
    </rPh>
    <rPh sb="79" eb="81">
      <t>ケイサン</t>
    </rPh>
    <phoneticPr fontId="3"/>
  </si>
  <si>
    <t>障害児
（１号）</t>
    <rPh sb="0" eb="2">
      <t>ショウガイ</t>
    </rPh>
    <rPh sb="2" eb="3">
      <t>ジ</t>
    </rPh>
    <rPh sb="6" eb="7">
      <t>ゴウ</t>
    </rPh>
    <phoneticPr fontId="3"/>
  </si>
  <si>
    <t>「臨床心理士・公認心理師」の資格の有無（人件費等補助金集計用）</t>
    <rPh sb="1" eb="3">
      <t>リンショウ</t>
    </rPh>
    <rPh sb="3" eb="6">
      <t>シンリシ</t>
    </rPh>
    <rPh sb="7" eb="9">
      <t>コウニン</t>
    </rPh>
    <rPh sb="9" eb="11">
      <t>シンリ</t>
    </rPh>
    <rPh sb="11" eb="12">
      <t>シ</t>
    </rPh>
    <rPh sb="14" eb="16">
      <t>シカク</t>
    </rPh>
    <rPh sb="17" eb="19">
      <t>ウム</t>
    </rPh>
    <rPh sb="20" eb="23">
      <t>ジンケンヒ</t>
    </rPh>
    <rPh sb="23" eb="24">
      <t>トウ</t>
    </rPh>
    <rPh sb="24" eb="27">
      <t>ホジョキン</t>
    </rPh>
    <rPh sb="27" eb="30">
      <t>シュウケイヨウ</t>
    </rPh>
    <phoneticPr fontId="3"/>
  </si>
  <si>
    <t>「有」職員</t>
    <rPh sb="1" eb="2">
      <t>ア</t>
    </rPh>
    <rPh sb="3" eb="5">
      <t>ショクイン</t>
    </rPh>
    <phoneticPr fontId="3"/>
  </si>
  <si>
    <t>「無」職員</t>
    <rPh sb="1" eb="2">
      <t>ナ</t>
    </rPh>
    <rPh sb="3" eb="5">
      <t>ショクイン</t>
    </rPh>
    <phoneticPr fontId="3"/>
  </si>
  <si>
    <t>実配置数追加分（人件費等補助金集計用）</t>
    <rPh sb="0" eb="1">
      <t>ジツ</t>
    </rPh>
    <rPh sb="1" eb="3">
      <t>ハイチ</t>
    </rPh>
    <rPh sb="3" eb="4">
      <t>スウ</t>
    </rPh>
    <rPh sb="4" eb="6">
      <t>ツイカ</t>
    </rPh>
    <rPh sb="6" eb="7">
      <t>ブン</t>
    </rPh>
    <rPh sb="8" eb="11">
      <t>ジンケンヒ</t>
    </rPh>
    <rPh sb="11" eb="12">
      <t>トウ</t>
    </rPh>
    <rPh sb="12" eb="15">
      <t>ホジョキン</t>
    </rPh>
    <rPh sb="15" eb="18">
      <t>シュウケイヨウ</t>
    </rPh>
    <phoneticPr fontId="3"/>
  </si>
  <si>
    <t>氏名</t>
    <rPh sb="0" eb="2">
      <t>シメイ</t>
    </rPh>
    <phoneticPr fontId="3"/>
  </si>
  <si>
    <t>分類</t>
    <rPh sb="0" eb="2">
      <t>ブンルイ</t>
    </rPh>
    <phoneticPr fontId="3"/>
  </si>
  <si>
    <t>4月</t>
    <rPh sb="1" eb="2">
      <t>ゲツ</t>
    </rPh>
    <phoneticPr fontId="3"/>
  </si>
  <si>
    <t>5月</t>
    <rPh sb="1" eb="2">
      <t>ゲツ</t>
    </rPh>
    <phoneticPr fontId="3"/>
  </si>
  <si>
    <t>6月</t>
    <rPh sb="1" eb="2">
      <t>ゲツ</t>
    </rPh>
    <phoneticPr fontId="3"/>
  </si>
  <si>
    <t>7月</t>
    <rPh sb="1" eb="2">
      <t>ゲツ</t>
    </rPh>
    <phoneticPr fontId="3"/>
  </si>
  <si>
    <t>臨床心理
公認心理師</t>
    <rPh sb="0" eb="2">
      <t>リンショウ</t>
    </rPh>
    <rPh sb="2" eb="4">
      <t>シンリ</t>
    </rPh>
    <rPh sb="5" eb="7">
      <t>コウニン</t>
    </rPh>
    <rPh sb="7" eb="9">
      <t>シンリ</t>
    </rPh>
    <rPh sb="9" eb="10">
      <t>シ</t>
    </rPh>
    <phoneticPr fontId="3"/>
  </si>
  <si>
    <t>その他
心理担当職員</t>
    <rPh sb="2" eb="3">
      <t>ホカ</t>
    </rPh>
    <rPh sb="4" eb="6">
      <t>シンリ</t>
    </rPh>
    <rPh sb="6" eb="8">
      <t>タントウ</t>
    </rPh>
    <rPh sb="8" eb="10">
      <t>ショクイン</t>
    </rPh>
    <phoneticPr fontId="3"/>
  </si>
  <si>
    <t>【専門職の活用（臨床心理士・公認心理師・理学療法士・作業療法士・言語聴覚士）】</t>
    <rPh sb="1" eb="3">
      <t>センモン</t>
    </rPh>
    <rPh sb="3" eb="4">
      <t>ショク</t>
    </rPh>
    <rPh sb="5" eb="7">
      <t>カツヨウ</t>
    </rPh>
    <rPh sb="20" eb="22">
      <t>リガク</t>
    </rPh>
    <rPh sb="22" eb="25">
      <t>リョウホウシ</t>
    </rPh>
    <rPh sb="26" eb="28">
      <t>サギョウ</t>
    </rPh>
    <rPh sb="28" eb="31">
      <t>リョウホウシ</t>
    </rPh>
    <rPh sb="32" eb="37">
      <t>ゲンゴチョウカクシ</t>
    </rPh>
    <phoneticPr fontId="3"/>
  </si>
  <si>
    <t>Ver.</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</si>
</sst>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_(* #,##0_);_(* \(#,##0\);_(* &quot;-&quot;_);_(@_)"/>
    <numFmt numFmtId="177" formatCode="0_ "/>
    <numFmt numFmtId="178" formatCode="0.0_ "/>
    <numFmt numFmtId="179" formatCode="0.0"/>
    <numFmt numFmtId="180" formatCode="0.000"/>
    <numFmt numFmtId="181" formatCode="0_);[Red]\(0\)"/>
    <numFmt numFmtId="182" formatCode="0.0_);[Red]\(0.0\)"/>
    <numFmt numFmtId="183" formatCode="#,###"/>
    <numFmt numFmtId="184" formatCode="#,##0_ "/>
    <numFmt numFmtId="185" formatCode="#,##0.0_ "/>
    <numFmt numFmtId="186" formatCode="0;\-0;;@"/>
    <numFmt numFmtId="187" formatCode="#,##0.0\ "/>
    <numFmt numFmtId="188" formatCode="#,##0.0;[Red]\-#,##0.0"/>
    <numFmt numFmtId="189" formatCode="#,##0&quot;人&quot;;&quot;△&quot;#,##0&quot;人&quot;"/>
    <numFmt numFmtId="190" formatCode="#,##0.00&quot;人&quot;;&quot;△&quot;#,##0.00&quot;人&quot;"/>
    <numFmt numFmtId="191" formatCode="_ * #,##0.0_ ;_ * \-#,##0.0_ ;_ * &quot;-&quot;?_ ;_ @_ "/>
    <numFmt numFmtId="192" formatCode="#,##0.0&quot;人&quot;;&quot;△&quot;#,##0.0&quot;人&quot;"/>
    <numFmt numFmtId="193" formatCode="#,##0.0;&quot;△&quot;#,##0.0"/>
    <numFmt numFmtId="194" formatCode="#,##0.0"/>
    <numFmt numFmtId="195" formatCode="0.0;&quot;▲ &quot;0.0"/>
    <numFmt numFmtId="196" formatCode="#&quot;月&quot;"/>
    <numFmt numFmtId="197" formatCode="0.00_);[Red]\(0.00\)"/>
    <numFmt numFmtId="198" formatCode="0.00_ "/>
    <numFmt numFmtId="199" formatCode="00"/>
  </numFmts>
  <fonts count="83">
    <font>
      <sz val="11"/>
      <name val="ＭＳ Ｐゴシック"/>
      <family val="3"/>
      <charset val="128"/>
    </font>
    <font>
      <sz val="11"/>
      <color theme="1"/>
      <name val="ＭＳ Ｐゴシック"/>
      <family val="2"/>
      <charset val="128"/>
    </font>
    <font>
      <sz val="11"/>
      <name val="ＭＳ Ｐゴシック"/>
      <family val="3"/>
      <charset val="128"/>
    </font>
    <font>
      <sz val="6"/>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b/>
      <sz val="9"/>
      <name val="ＭＳ Ｐゴシック"/>
      <family val="3"/>
      <charset val="128"/>
    </font>
    <font>
      <b/>
      <sz val="12"/>
      <name val="ＭＳ Ｐゴシック"/>
      <family val="3"/>
      <charset val="128"/>
    </font>
    <font>
      <b/>
      <sz val="16"/>
      <name val="ＭＳ Ｐゴシック"/>
      <family val="3"/>
      <charset val="128"/>
    </font>
    <font>
      <sz val="9"/>
      <name val="ＭＳ Ｐゴシック"/>
      <family val="3"/>
      <charset val="128"/>
    </font>
    <font>
      <b/>
      <sz val="14"/>
      <name val="ＭＳ Ｐゴシック"/>
      <family val="3"/>
      <charset val="128"/>
    </font>
    <font>
      <b/>
      <sz val="8"/>
      <name val="ＭＳ Ｐゴシック"/>
      <family val="3"/>
      <charset val="128"/>
    </font>
    <font>
      <sz val="8"/>
      <name val="ＭＳ Ｐゴシック"/>
      <family val="3"/>
      <charset val="128"/>
    </font>
    <font>
      <b/>
      <sz val="8.5"/>
      <name val="ＭＳ Ｐゴシック"/>
      <family val="3"/>
      <charset val="128"/>
    </font>
    <font>
      <sz val="8.5"/>
      <name val="ＭＳ Ｐゴシック"/>
      <family val="3"/>
      <charset val="128"/>
    </font>
    <font>
      <b/>
      <sz val="9"/>
      <color indexed="81"/>
      <name val="ＭＳ Ｐゴシック"/>
      <family val="3"/>
      <charset val="128"/>
    </font>
    <font>
      <b/>
      <sz val="12"/>
      <color indexed="81"/>
      <name val="ＭＳ Ｐゴシック"/>
      <family val="3"/>
      <charset val="128"/>
    </font>
    <font>
      <sz val="7"/>
      <name val="ＭＳ Ｐゴシック"/>
      <family val="3"/>
      <charset val="128"/>
    </font>
    <font>
      <b/>
      <sz val="12"/>
      <color indexed="81"/>
      <name val="MS P ゴシック"/>
      <family val="3"/>
      <charset val="128"/>
    </font>
    <font>
      <b/>
      <sz val="12"/>
      <color indexed="10"/>
      <name val="MS P ゴシック"/>
      <family val="3"/>
      <charset val="128"/>
    </font>
    <font>
      <sz val="12"/>
      <name val="ＭＳ Ｐゴシック"/>
      <family val="3"/>
      <charset val="128"/>
    </font>
    <font>
      <b/>
      <sz val="9"/>
      <color indexed="81"/>
      <name val="MS P ゴシック"/>
      <family val="3"/>
      <charset val="128"/>
    </font>
    <font>
      <b/>
      <sz val="11"/>
      <color indexed="81"/>
      <name val="MS P ゴシック"/>
      <family val="3"/>
      <charset val="128"/>
    </font>
    <font>
      <sz val="11"/>
      <color indexed="81"/>
      <name val="MS P ゴシック"/>
      <family val="3"/>
      <charset val="128"/>
    </font>
    <font>
      <b/>
      <sz val="8.5"/>
      <color indexed="30"/>
      <name val="ＭＳ Ｐゴシック"/>
      <family val="3"/>
      <charset val="128"/>
    </font>
    <font>
      <b/>
      <u/>
      <sz val="14"/>
      <name val="ＭＳ Ｐゴシック"/>
      <family val="3"/>
      <charset val="128"/>
    </font>
    <font>
      <sz val="9"/>
      <color indexed="81"/>
      <name val="MS P ゴシック"/>
      <family val="3"/>
      <charset val="128"/>
    </font>
    <font>
      <sz val="11"/>
      <color theme="1"/>
      <name val="ＭＳ Ｐゴシック"/>
      <family val="3"/>
      <charset val="128"/>
    </font>
    <font>
      <b/>
      <sz val="12"/>
      <color rgb="FFC00000"/>
      <name val="ＭＳ Ｐゴシック"/>
      <family val="3"/>
      <charset val="128"/>
    </font>
    <font>
      <sz val="12"/>
      <color rgb="FFC00000"/>
      <name val="ＭＳ Ｐゴシック"/>
      <family val="3"/>
      <charset val="128"/>
    </font>
    <font>
      <sz val="11"/>
      <color rgb="FFC00000"/>
      <name val="ＭＳ Ｐゴシック"/>
      <family val="3"/>
      <charset val="128"/>
    </font>
    <font>
      <sz val="11"/>
      <color theme="1"/>
      <name val="ＭＳ 明朝"/>
      <family val="1"/>
      <charset val="128"/>
    </font>
    <font>
      <sz val="12"/>
      <color theme="1"/>
      <name val="ＭＳ Ｐ明朝"/>
      <family val="1"/>
      <charset val="128"/>
    </font>
    <font>
      <b/>
      <sz val="12"/>
      <color rgb="FFFF0000"/>
      <name val="ＭＳ Ｐ明朝"/>
      <family val="1"/>
      <charset val="128"/>
    </font>
    <font>
      <sz val="12"/>
      <color rgb="FFFF0000"/>
      <name val="ＭＳ Ｐ明朝"/>
      <family val="1"/>
      <charset val="128"/>
    </font>
    <font>
      <sz val="12"/>
      <color theme="1"/>
      <name val="ＭＳ ゴシック"/>
      <family val="3"/>
      <charset val="128"/>
    </font>
    <font>
      <sz val="11"/>
      <color theme="1"/>
      <name val="ＭＳ Ｐゴシック"/>
      <family val="2"/>
      <charset val="128"/>
      <scheme val="minor"/>
    </font>
    <font>
      <sz val="6"/>
      <name val="ＭＳ Ｐゴシック"/>
      <family val="2"/>
      <charset val="128"/>
    </font>
    <font>
      <b/>
      <sz val="11"/>
      <color theme="1"/>
      <name val="ＭＳ 明朝"/>
      <family val="1"/>
      <charset val="128"/>
    </font>
    <font>
      <b/>
      <sz val="9"/>
      <color indexed="10"/>
      <name val="MS P ゴシック"/>
      <family val="3"/>
      <charset val="128"/>
    </font>
    <font>
      <b/>
      <sz val="10"/>
      <color indexed="81"/>
      <name val="ＭＳ Ｐゴシック"/>
      <family val="3"/>
      <charset val="128"/>
    </font>
    <font>
      <b/>
      <sz val="10"/>
      <color rgb="FFFF0000"/>
      <name val="ＭＳ Ｐゴシック"/>
      <family val="3"/>
      <charset val="128"/>
    </font>
    <font>
      <sz val="12"/>
      <name val="ＭＳ Ｐ明朝"/>
      <family val="1"/>
      <charset val="128"/>
    </font>
    <font>
      <b/>
      <sz val="12"/>
      <name val="ＭＳ Ｐ明朝"/>
      <family val="1"/>
      <charset val="128"/>
    </font>
    <font>
      <b/>
      <sz val="14"/>
      <name val="ＭＳ Ｐ明朝"/>
      <family val="1"/>
      <charset val="128"/>
    </font>
    <font>
      <u/>
      <sz val="11"/>
      <name val="ＭＳ Ｐゴシック"/>
      <family val="3"/>
      <charset val="128"/>
    </font>
    <font>
      <b/>
      <sz val="16"/>
      <color indexed="81"/>
      <name val="MS P ゴシック"/>
      <family val="3"/>
      <charset val="128"/>
    </font>
    <font>
      <b/>
      <sz val="16"/>
      <color indexed="10"/>
      <name val="MS P ゴシック"/>
      <family val="3"/>
      <charset val="128"/>
    </font>
    <font>
      <sz val="16"/>
      <color theme="1"/>
      <name val="ＭＳ ゴシック"/>
      <family val="3"/>
      <charset val="128"/>
    </font>
    <font>
      <b/>
      <sz val="18"/>
      <name val="ＭＳ Ｐゴシック"/>
      <family val="3"/>
      <charset val="128"/>
    </font>
    <font>
      <b/>
      <sz val="18"/>
      <color rgb="FFFF0000"/>
      <name val="ＭＳ Ｐゴシック"/>
      <family val="3"/>
      <charset val="128"/>
    </font>
    <font>
      <b/>
      <sz val="18"/>
      <color indexed="10"/>
      <name val="MS P ゴシック"/>
      <family val="3"/>
      <charset val="128"/>
    </font>
    <font>
      <b/>
      <sz val="12"/>
      <color rgb="FFFF0000"/>
      <name val="ＭＳ Ｐゴシック"/>
      <family val="3"/>
      <charset val="128"/>
    </font>
    <font>
      <sz val="11"/>
      <color rgb="FFFF0000"/>
      <name val="ＭＳ Ｐゴシック"/>
      <family val="3"/>
      <charset val="128"/>
    </font>
    <font>
      <b/>
      <sz val="11"/>
      <color rgb="FFFF0000"/>
      <name val="ＭＳ Ｐゴシック"/>
      <family val="3"/>
      <charset val="128"/>
    </font>
    <font>
      <b/>
      <sz val="12"/>
      <color rgb="FFDA9694"/>
      <name val="ＭＳ Ｐゴシック"/>
      <family val="3"/>
      <charset val="128"/>
    </font>
    <font>
      <b/>
      <u/>
      <sz val="11"/>
      <color rgb="FFFF0000"/>
      <name val="ＭＳ Ｐゴシック"/>
      <family val="3"/>
      <charset val="128"/>
    </font>
    <font>
      <sz val="10"/>
      <name val="游ゴシック"/>
      <family val="3"/>
      <charset val="128"/>
    </font>
    <font>
      <sz val="9"/>
      <name val="游ゴシック"/>
      <family val="3"/>
      <charset val="128"/>
    </font>
    <font>
      <b/>
      <sz val="10"/>
      <name val="游ゴシック"/>
      <family val="3"/>
      <charset val="128"/>
    </font>
    <font>
      <sz val="12"/>
      <name val="游ゴシック"/>
      <family val="3"/>
      <charset val="128"/>
    </font>
    <font>
      <b/>
      <u/>
      <sz val="8.5"/>
      <name val="ＭＳ Ｐゴシック"/>
      <family val="3"/>
      <charset val="128"/>
    </font>
    <font>
      <u/>
      <sz val="8.5"/>
      <name val="ＭＳ Ｐゴシック"/>
      <family val="3"/>
      <charset val="128"/>
    </font>
    <font>
      <b/>
      <u/>
      <sz val="9"/>
      <name val="ＭＳ Ｐゴシック"/>
      <family val="3"/>
      <charset val="128"/>
    </font>
    <font>
      <b/>
      <sz val="10"/>
      <name val="BIZ UDPゴシック"/>
      <family val="3"/>
      <charset val="128"/>
    </font>
    <font>
      <b/>
      <u/>
      <sz val="11"/>
      <color indexed="10"/>
      <name val="BIZ UDPゴシック"/>
      <family val="3"/>
      <charset val="128"/>
    </font>
    <font>
      <sz val="10"/>
      <color theme="1" tint="0.34998626667073579"/>
      <name val="游ゴシック"/>
      <family val="3"/>
      <charset val="128"/>
    </font>
    <font>
      <sz val="11"/>
      <name val="游ゴシック"/>
      <family val="3"/>
      <charset val="128"/>
    </font>
    <font>
      <sz val="6"/>
      <name val="ＭＳ Ｐゴシック"/>
      <family val="2"/>
      <charset val="128"/>
      <scheme val="minor"/>
    </font>
    <font>
      <b/>
      <sz val="11"/>
      <color theme="1"/>
      <name val="游ゴシック"/>
      <family val="3"/>
      <charset val="128"/>
    </font>
    <font>
      <b/>
      <sz val="11"/>
      <name val="游ゴシック"/>
      <family val="3"/>
      <charset val="128"/>
    </font>
    <font>
      <b/>
      <sz val="12"/>
      <name val="游ゴシック"/>
      <family val="3"/>
      <charset val="128"/>
    </font>
    <font>
      <b/>
      <sz val="12"/>
      <color theme="1"/>
      <name val="游ゴシック"/>
      <family val="3"/>
      <charset val="128"/>
    </font>
    <font>
      <sz val="9"/>
      <color theme="0" tint="-0.499984740745262"/>
      <name val="游ゴシック"/>
      <family val="3"/>
      <charset val="128"/>
    </font>
    <font>
      <sz val="11"/>
      <color rgb="FFFF0000"/>
      <name val="游ゴシック"/>
      <family val="3"/>
      <charset val="128"/>
    </font>
    <font>
      <b/>
      <sz val="12"/>
      <color rgb="FFFF0000"/>
      <name val="游ゴシック"/>
      <family val="3"/>
      <charset val="128"/>
    </font>
    <font>
      <sz val="8"/>
      <color rgb="FFC00000"/>
      <name val="ＭＳ Ｐゴシック"/>
      <family val="3"/>
      <charset val="128"/>
    </font>
    <font>
      <sz val="10"/>
      <color indexed="81"/>
      <name val="ＭＳ Ｐゴシック"/>
      <family val="3"/>
      <charset val="128"/>
    </font>
    <font>
      <sz val="9"/>
      <color rgb="FFFF0000"/>
      <name val="ＭＳ Ｐゴシック"/>
      <family val="3"/>
      <charset val="128"/>
    </font>
    <font>
      <b/>
      <sz val="20"/>
      <color rgb="FFFF0000"/>
      <name val="ＭＳ Ｐゴシック"/>
      <family val="3"/>
      <charset val="128"/>
    </font>
    <font>
      <b/>
      <u/>
      <sz val="10"/>
      <color indexed="10"/>
      <name val="ＭＳ Ｐゴシック"/>
      <family val="3"/>
      <charset val="128"/>
    </font>
    <font>
      <b/>
      <sz val="10"/>
      <color indexed="10"/>
      <name val="ＭＳ Ｐゴシック"/>
      <family val="3"/>
      <charset val="128"/>
    </font>
  </fonts>
  <fills count="18">
    <fill>
      <patternFill patternType="none"/>
    </fill>
    <fill>
      <patternFill patternType="gray125"/>
    </fill>
    <fill>
      <patternFill patternType="solid">
        <fgColor rgb="FFCCFFFF"/>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rgb="FFFDE9D9"/>
        <bgColor indexed="64"/>
      </patternFill>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DAEEF3"/>
        <bgColor indexed="64"/>
      </patternFill>
    </fill>
    <fill>
      <patternFill patternType="solid">
        <fgColor theme="1" tint="0.499984740745262"/>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7" tint="0.79998168889431442"/>
        <bgColor indexed="64"/>
      </patternFill>
    </fill>
  </fills>
  <borders count="2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dotted">
        <color indexed="64"/>
      </left>
      <right/>
      <top style="thin">
        <color indexed="64"/>
      </top>
      <bottom style="thin">
        <color indexed="64"/>
      </bottom>
      <diagonal/>
    </border>
    <border>
      <left style="dashed">
        <color indexed="64"/>
      </left>
      <right style="thick">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style="medium">
        <color indexed="64"/>
      </right>
      <top/>
      <bottom/>
      <diagonal/>
    </border>
    <border>
      <left style="dotted">
        <color indexed="64"/>
      </left>
      <right style="thin">
        <color indexed="64"/>
      </right>
      <top style="thin">
        <color indexed="64"/>
      </top>
      <bottom style="medium">
        <color indexed="64"/>
      </bottom>
      <diagonal/>
    </border>
    <border>
      <left/>
      <right style="dotted">
        <color indexed="64"/>
      </right>
      <top style="thin">
        <color indexed="64"/>
      </top>
      <bottom style="medium">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thin">
        <color indexed="64"/>
      </top>
      <bottom style="hair">
        <color indexed="64"/>
      </bottom>
      <diagonal/>
    </border>
    <border diagonalUp="1">
      <left style="thin">
        <color indexed="64"/>
      </left>
      <right style="hair">
        <color indexed="64"/>
      </right>
      <top style="thin">
        <color indexed="64"/>
      </top>
      <bottom style="thin">
        <color indexed="64"/>
      </bottom>
      <diagonal style="thin">
        <color indexed="64"/>
      </diagonal>
    </border>
    <border>
      <left style="thin">
        <color indexed="64"/>
      </left>
      <right style="thick">
        <color indexed="64"/>
      </right>
      <top style="thin">
        <color indexed="64"/>
      </top>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ck">
        <color indexed="64"/>
      </left>
      <right style="thick">
        <color indexed="64"/>
      </right>
      <top/>
      <bottom style="thick">
        <color indexed="64"/>
      </bottom>
      <diagonal/>
    </border>
    <border>
      <left style="thin">
        <color indexed="64"/>
      </left>
      <right style="hair">
        <color indexed="64"/>
      </right>
      <top/>
      <bottom style="thin">
        <color indexed="64"/>
      </bottom>
      <diagonal/>
    </border>
    <border>
      <left style="dashed">
        <color indexed="64"/>
      </left>
      <right style="thick">
        <color indexed="64"/>
      </right>
      <top style="thin">
        <color indexed="64"/>
      </top>
      <bottom/>
      <diagonal/>
    </border>
    <border>
      <left style="dashed">
        <color indexed="64"/>
      </left>
      <right style="thick">
        <color indexed="64"/>
      </right>
      <top/>
      <bottom/>
      <diagonal/>
    </border>
    <border>
      <left style="dashed">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diagonal/>
    </border>
    <border>
      <left style="thick">
        <color indexed="64"/>
      </left>
      <right/>
      <top/>
      <bottom style="thin">
        <color indexed="64"/>
      </bottom>
      <diagonal/>
    </border>
    <border>
      <left style="thin">
        <color indexed="64"/>
      </left>
      <right style="medium">
        <color indexed="64"/>
      </right>
      <top/>
      <bottom style="thin">
        <color indexed="64"/>
      </bottom>
      <diagonal/>
    </border>
    <border>
      <left style="hair">
        <color indexed="64"/>
      </left>
      <right style="thick">
        <color indexed="64"/>
      </right>
      <top style="thin">
        <color indexed="64"/>
      </top>
      <bottom/>
      <diagonal/>
    </border>
    <border>
      <left style="hair">
        <color indexed="64"/>
      </left>
      <right style="thick">
        <color indexed="64"/>
      </right>
      <top/>
      <bottom/>
      <diagonal/>
    </border>
    <border>
      <left style="hair">
        <color indexed="64"/>
      </left>
      <right style="thick">
        <color indexed="64"/>
      </right>
      <top/>
      <bottom style="thin">
        <color indexed="64"/>
      </bottom>
      <diagonal/>
    </border>
    <border>
      <left/>
      <right style="thick">
        <color indexed="64"/>
      </right>
      <top style="thin">
        <color indexed="64"/>
      </top>
      <bottom/>
      <diagonal/>
    </border>
    <border>
      <left/>
      <right style="thick">
        <color indexed="64"/>
      </right>
      <top/>
      <bottom/>
      <diagonal/>
    </border>
    <border>
      <left/>
      <right style="thick">
        <color indexed="64"/>
      </right>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ck">
        <color indexed="64"/>
      </right>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hair">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hair">
        <color indexed="64"/>
      </left>
      <right style="thin">
        <color indexed="64"/>
      </right>
      <top/>
      <bottom style="double">
        <color indexed="64"/>
      </bottom>
      <diagonal/>
    </border>
    <border>
      <left style="thin">
        <color indexed="64"/>
      </left>
      <right style="hair">
        <color indexed="64"/>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ck">
        <color indexed="64"/>
      </left>
      <right style="thick">
        <color indexed="64"/>
      </right>
      <top/>
      <bottom style="double">
        <color indexed="64"/>
      </bottom>
      <diagonal/>
    </border>
    <border>
      <left style="thin">
        <color indexed="64"/>
      </left>
      <right/>
      <top/>
      <bottom style="double">
        <color indexed="64"/>
      </bottom>
      <diagonal/>
    </border>
    <border>
      <left style="thin">
        <color indexed="64"/>
      </left>
      <right style="dotted">
        <color indexed="64"/>
      </right>
      <top/>
      <bottom style="double">
        <color indexed="64"/>
      </bottom>
      <diagonal/>
    </border>
    <border>
      <left style="dotted">
        <color indexed="64"/>
      </left>
      <right style="thin">
        <color indexed="64"/>
      </right>
      <top/>
      <bottom style="double">
        <color indexed="64"/>
      </bottom>
      <diagonal/>
    </border>
    <border>
      <left style="dashed">
        <color indexed="64"/>
      </left>
      <right style="thick">
        <color indexed="64"/>
      </right>
      <top/>
      <bottom style="double">
        <color indexed="64"/>
      </bottom>
      <diagonal/>
    </border>
    <border diagonalUp="1">
      <left style="thin">
        <color indexed="64"/>
      </left>
      <right style="thin">
        <color indexed="64"/>
      </right>
      <top style="double">
        <color indexed="64"/>
      </top>
      <bottom/>
      <diagonal style="thin">
        <color indexed="64"/>
      </diagonal>
    </border>
    <border>
      <left/>
      <right style="thin">
        <color indexed="64"/>
      </right>
      <top style="thin">
        <color indexed="64"/>
      </top>
      <bottom style="double">
        <color indexed="64"/>
      </bottom>
      <diagonal/>
    </border>
    <border diagonalUp="1">
      <left/>
      <right style="thin">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hair">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thin">
        <color indexed="64"/>
      </right>
      <top/>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thick">
        <color indexed="64"/>
      </right>
      <top style="double">
        <color indexed="64"/>
      </top>
      <bottom style="thin">
        <color indexed="64"/>
      </bottom>
      <diagonal/>
    </border>
    <border>
      <left style="thick">
        <color indexed="64"/>
      </left>
      <right style="thick">
        <color indexed="64"/>
      </right>
      <top style="double">
        <color indexed="64"/>
      </top>
      <bottom/>
      <diagonal/>
    </border>
    <border>
      <left style="thin">
        <color indexed="64"/>
      </left>
      <right style="thin">
        <color indexed="64"/>
      </right>
      <top style="double">
        <color indexed="64"/>
      </top>
      <bottom/>
      <diagonal/>
    </border>
    <border>
      <left style="thin">
        <color indexed="64"/>
      </left>
      <right style="thick">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diagonal/>
    </border>
    <border>
      <left/>
      <right/>
      <top style="double">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double">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double">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diagonalUp="1">
      <left/>
      <right style="thin">
        <color indexed="64"/>
      </right>
      <top style="thin">
        <color indexed="64"/>
      </top>
      <bottom style="thick">
        <color indexed="64"/>
      </bottom>
      <diagonal style="thin">
        <color indexed="64"/>
      </diagonal>
    </border>
    <border>
      <left style="thin">
        <color indexed="64"/>
      </left>
      <right style="thick">
        <color indexed="64"/>
      </right>
      <top style="thin">
        <color indexed="64"/>
      </top>
      <bottom style="thick">
        <color indexed="64"/>
      </bottom>
      <diagonal/>
    </border>
    <border>
      <left style="hair">
        <color indexed="64"/>
      </left>
      <right style="thin">
        <color indexed="64"/>
      </right>
      <top style="double">
        <color indexed="64"/>
      </top>
      <bottom/>
      <diagonal/>
    </border>
    <border>
      <left style="medium">
        <color indexed="64"/>
      </left>
      <right style="thin">
        <color indexed="64"/>
      </right>
      <top style="thin">
        <color indexed="64"/>
      </top>
      <bottom/>
      <diagonal/>
    </border>
    <border diagonalUp="1">
      <left/>
      <right/>
      <top style="thin">
        <color indexed="64"/>
      </top>
      <bottom style="thin">
        <color indexed="64"/>
      </bottom>
      <diagonal style="thin">
        <color indexed="64"/>
      </diagonal>
    </border>
    <border diagonalUp="1">
      <left style="thick">
        <color indexed="64"/>
      </left>
      <right/>
      <top style="thin">
        <color indexed="64"/>
      </top>
      <bottom style="thin">
        <color indexed="64"/>
      </bottom>
      <diagonal style="thin">
        <color indexed="64"/>
      </diagonal>
    </border>
    <border diagonalUp="1">
      <left style="thick">
        <color indexed="64"/>
      </left>
      <right/>
      <top style="thin">
        <color indexed="64"/>
      </top>
      <bottom style="double">
        <color indexed="64"/>
      </bottom>
      <diagonal style="thin">
        <color indexed="64"/>
      </diagonal>
    </border>
    <border>
      <left style="thin">
        <color indexed="64"/>
      </left>
      <right style="hair">
        <color indexed="64"/>
      </right>
      <top/>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medium">
        <color indexed="64"/>
      </left>
      <right style="thin">
        <color indexed="64"/>
      </right>
      <top/>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dotted">
        <color indexed="64"/>
      </right>
      <top/>
      <bottom style="dotted">
        <color indexed="64"/>
      </bottom>
      <diagonal style="dotted">
        <color indexed="64"/>
      </diagonal>
    </border>
    <border diagonalUp="1">
      <left style="thin">
        <color indexed="64"/>
      </left>
      <right style="dotted">
        <color indexed="64"/>
      </right>
      <top style="dotted">
        <color indexed="64"/>
      </top>
      <bottom style="dotted">
        <color indexed="64"/>
      </bottom>
      <diagonal style="dotted">
        <color indexed="64"/>
      </diagonal>
    </border>
    <border diagonalUp="1">
      <left style="dotted">
        <color indexed="64"/>
      </left>
      <right style="thin">
        <color indexed="64"/>
      </right>
      <top style="dotted">
        <color indexed="64"/>
      </top>
      <bottom style="dotted">
        <color indexed="64"/>
      </bottom>
      <diagonal style="dotted">
        <color indexed="64"/>
      </diagonal>
    </border>
    <border>
      <left style="hair">
        <color indexed="64"/>
      </left>
      <right style="thick">
        <color indexed="64"/>
      </right>
      <top/>
      <bottom style="double">
        <color indexed="64"/>
      </bottom>
      <diagonal/>
    </border>
    <border>
      <left style="thin">
        <color indexed="64"/>
      </left>
      <right/>
      <top style="medium">
        <color indexed="64"/>
      </top>
      <bottom/>
      <diagonal/>
    </border>
    <border diagonalUp="1">
      <left/>
      <right/>
      <top/>
      <bottom style="dotted">
        <color indexed="64"/>
      </bottom>
      <diagonal style="dotted">
        <color indexed="64"/>
      </diagonal>
    </border>
    <border diagonalUp="1">
      <left/>
      <right/>
      <top style="dotted">
        <color indexed="64"/>
      </top>
      <bottom style="dotted">
        <color indexed="64"/>
      </bottom>
      <diagonal style="dotted">
        <color indexed="64"/>
      </diagonal>
    </border>
    <border diagonalUp="1">
      <left/>
      <right/>
      <top style="dotted">
        <color indexed="64"/>
      </top>
      <bottom style="medium">
        <color indexed="64"/>
      </bottom>
      <diagonal style="dotted">
        <color indexed="64"/>
      </diagonal>
    </border>
    <border>
      <left style="thin">
        <color indexed="64"/>
      </left>
      <right style="thin">
        <color indexed="64"/>
      </right>
      <top style="dotted">
        <color indexed="64"/>
      </top>
      <bottom/>
      <diagonal/>
    </border>
    <border>
      <left style="thin">
        <color indexed="64"/>
      </left>
      <right/>
      <top style="thick">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medium">
        <color indexed="64"/>
      </right>
      <top/>
      <bottom/>
      <diagonal/>
    </border>
    <border>
      <left style="thick">
        <color indexed="64"/>
      </left>
      <right style="thin">
        <color indexed="64"/>
      </right>
      <top/>
      <bottom style="thin">
        <color indexed="64"/>
      </bottom>
      <diagonal/>
    </border>
    <border>
      <left style="thin">
        <color indexed="64"/>
      </left>
      <right style="double">
        <color indexed="64"/>
      </right>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28" fillId="0" borderId="0">
      <alignment vertical="center"/>
    </xf>
    <xf numFmtId="0" fontId="37" fillId="0" borderId="0">
      <alignment vertical="center"/>
    </xf>
    <xf numFmtId="0" fontId="1" fillId="0" borderId="0">
      <alignment vertical="center"/>
    </xf>
  </cellStyleXfs>
  <cellXfs count="999">
    <xf numFmtId="0" fontId="0" fillId="0" borderId="0" xfId="0">
      <alignment vertical="center"/>
    </xf>
    <xf numFmtId="0" fontId="0" fillId="0" borderId="0" xfId="0" applyProtection="1">
      <alignment vertical="center"/>
    </xf>
    <xf numFmtId="0" fontId="6" fillId="0" borderId="1" xfId="0" applyFont="1" applyBorder="1" applyAlignment="1" applyProtection="1">
      <alignment horizontal="center" vertical="center"/>
      <protection locked="0"/>
    </xf>
    <xf numFmtId="0" fontId="0" fillId="0" borderId="0" xfId="0" applyBorder="1" applyProtection="1">
      <alignment vertical="center"/>
      <protection locked="0"/>
    </xf>
    <xf numFmtId="0" fontId="0" fillId="0" borderId="0" xfId="0" applyProtection="1">
      <alignment vertical="center"/>
      <protection locked="0"/>
    </xf>
    <xf numFmtId="0" fontId="10"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0" xfId="0" applyBorder="1" applyAlignment="1" applyProtection="1">
      <alignment horizontal="center" vertical="center"/>
    </xf>
    <xf numFmtId="0" fontId="11" fillId="0" borderId="0" xfId="0" applyFont="1" applyAlignment="1" applyProtection="1">
      <alignment horizontal="left" vertical="center"/>
    </xf>
    <xf numFmtId="0" fontId="8" fillId="0" borderId="0" xfId="0" applyFont="1" applyAlignment="1" applyProtection="1">
      <alignment horizontal="center" vertical="center"/>
    </xf>
    <xf numFmtId="0" fontId="9" fillId="0" borderId="0" xfId="0" applyFont="1" applyBorder="1" applyAlignment="1" applyProtection="1">
      <alignment vertical="center"/>
    </xf>
    <xf numFmtId="0" fontId="8" fillId="0" borderId="0" xfId="0" applyFont="1" applyAlignment="1" applyProtection="1">
      <alignment vertical="center"/>
    </xf>
    <xf numFmtId="0" fontId="4" fillId="0" borderId="0" xfId="0" applyFont="1" applyAlignment="1" applyProtection="1">
      <alignment vertical="center"/>
    </xf>
    <xf numFmtId="0" fontId="0" fillId="0" borderId="0" xfId="0" applyAlignment="1" applyProtection="1">
      <alignment vertical="center"/>
    </xf>
    <xf numFmtId="0" fontId="9" fillId="0" borderId="0" xfId="0" applyFont="1" applyProtection="1">
      <alignment vertical="center"/>
    </xf>
    <xf numFmtId="0" fontId="4" fillId="0" borderId="0" xfId="0" applyFont="1" applyProtection="1">
      <alignment vertical="center"/>
    </xf>
    <xf numFmtId="0" fontId="9" fillId="0" borderId="0" xfId="0" applyNumberFormat="1" applyFont="1" applyAlignment="1" applyProtection="1">
      <alignment horizontal="left" vertical="center"/>
    </xf>
    <xf numFmtId="0" fontId="11" fillId="0" borderId="0" xfId="0" applyFont="1" applyAlignment="1" applyProtection="1">
      <alignment horizontal="right" vertical="center"/>
    </xf>
    <xf numFmtId="0" fontId="8" fillId="0" borderId="0" xfId="0" applyFont="1" applyAlignment="1" applyProtection="1">
      <alignment horizontal="left" vertical="center"/>
    </xf>
    <xf numFmtId="0" fontId="0" fillId="0" borderId="0" xfId="0" applyAlignment="1" applyProtection="1">
      <alignment horizontal="right" vertical="center"/>
    </xf>
    <xf numFmtId="0" fontId="9" fillId="0" borderId="0" xfId="0" applyFont="1" applyAlignment="1" applyProtection="1">
      <alignment vertical="center"/>
    </xf>
    <xf numFmtId="0" fontId="0" fillId="0" borderId="1" xfId="0" applyBorder="1" applyAlignment="1" applyProtection="1">
      <alignment horizontal="center" vertical="center"/>
    </xf>
    <xf numFmtId="0" fontId="10" fillId="0" borderId="0" xfId="0" applyFont="1" applyBorder="1" applyAlignment="1" applyProtection="1">
      <alignment horizontal="center" vertical="center"/>
    </xf>
    <xf numFmtId="0" fontId="6" fillId="0" borderId="0" xfId="0" applyFont="1" applyFill="1" applyBorder="1" applyAlignment="1" applyProtection="1">
      <alignment vertical="center"/>
    </xf>
    <xf numFmtId="0" fontId="0" fillId="0" borderId="0" xfId="0" applyFill="1" applyBorder="1" applyProtection="1">
      <alignment vertical="center"/>
      <protection locked="0"/>
    </xf>
    <xf numFmtId="0" fontId="6" fillId="0" borderId="2" xfId="0" applyFont="1" applyBorder="1" applyProtection="1">
      <alignment vertical="center"/>
      <protection locked="0"/>
    </xf>
    <xf numFmtId="0" fontId="6" fillId="0" borderId="3" xfId="0" applyFont="1" applyBorder="1" applyAlignment="1" applyProtection="1">
      <alignment horizontal="center" vertical="center" wrapText="1"/>
    </xf>
    <xf numFmtId="0" fontId="6" fillId="0" borderId="4" xfId="0" applyFont="1" applyBorder="1" applyAlignment="1" applyProtection="1">
      <alignment horizontal="center" vertical="center" wrapText="1"/>
    </xf>
    <xf numFmtId="0" fontId="6" fillId="0" borderId="3" xfId="0" applyFont="1" applyBorder="1" applyProtection="1">
      <alignment vertical="center"/>
      <protection locked="0"/>
    </xf>
    <xf numFmtId="0" fontId="6" fillId="0" borderId="4" xfId="0" applyFont="1" applyBorder="1" applyProtection="1">
      <alignment vertical="center"/>
      <protection locked="0"/>
    </xf>
    <xf numFmtId="0" fontId="6" fillId="0" borderId="5" xfId="0" applyFont="1" applyBorder="1" applyProtection="1">
      <alignment vertical="center"/>
      <protection locked="0"/>
    </xf>
    <xf numFmtId="0" fontId="6" fillId="0" borderId="6" xfId="0" applyFont="1" applyBorder="1" applyProtection="1">
      <alignment vertical="center"/>
      <protection locked="0"/>
    </xf>
    <xf numFmtId="177" fontId="4" fillId="2" borderId="7" xfId="0" applyNumberFormat="1" applyFont="1" applyFill="1" applyBorder="1" applyAlignment="1" applyProtection="1">
      <alignment vertical="center"/>
    </xf>
    <xf numFmtId="177" fontId="4" fillId="2" borderId="8" xfId="0" applyNumberFormat="1" applyFont="1" applyFill="1" applyBorder="1" applyAlignment="1" applyProtection="1">
      <alignment vertical="center"/>
    </xf>
    <xf numFmtId="0" fontId="6" fillId="2" borderId="9"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6" fillId="2" borderId="11" xfId="0" applyFont="1" applyFill="1" applyBorder="1" applyAlignment="1" applyProtection="1">
      <alignment horizontal="center" vertical="center" wrapText="1"/>
    </xf>
    <xf numFmtId="0" fontId="6" fillId="0" borderId="7" xfId="0" applyFont="1" applyBorder="1" applyProtection="1">
      <alignment vertical="center"/>
      <protection locked="0"/>
    </xf>
    <xf numFmtId="0" fontId="0" fillId="0" borderId="12" xfId="0" applyBorder="1" applyAlignment="1" applyProtection="1">
      <alignment vertical="center" wrapText="1"/>
    </xf>
    <xf numFmtId="0" fontId="0" fillId="0" borderId="13" xfId="0" applyBorder="1" applyAlignment="1" applyProtection="1">
      <alignment vertical="center" wrapText="1"/>
    </xf>
    <xf numFmtId="0" fontId="0" fillId="0" borderId="14" xfId="0" applyBorder="1" applyAlignment="1" applyProtection="1">
      <alignment vertical="center" wrapText="1"/>
    </xf>
    <xf numFmtId="0" fontId="0" fillId="0" borderId="15" xfId="0" applyBorder="1" applyAlignment="1" applyProtection="1">
      <alignment vertical="center" wrapText="1"/>
    </xf>
    <xf numFmtId="0" fontId="0" fillId="0" borderId="16" xfId="0" applyBorder="1" applyAlignment="1" applyProtection="1">
      <alignment vertical="center" wrapText="1"/>
    </xf>
    <xf numFmtId="0" fontId="29" fillId="0" borderId="17" xfId="0" applyNumberFormat="1" applyFont="1" applyBorder="1" applyAlignment="1" applyProtection="1">
      <alignment vertical="center" shrinkToFit="1"/>
    </xf>
    <xf numFmtId="0" fontId="29" fillId="0" borderId="0" xfId="0" applyNumberFormat="1" applyFont="1" applyBorder="1" applyAlignment="1" applyProtection="1">
      <alignment vertical="center" shrinkToFit="1"/>
    </xf>
    <xf numFmtId="177" fontId="4" fillId="2" borderId="11" xfId="0" applyNumberFormat="1" applyFont="1" applyFill="1" applyBorder="1" applyAlignment="1" applyProtection="1">
      <alignment vertical="center"/>
    </xf>
    <xf numFmtId="177" fontId="4" fillId="2" borderId="10" xfId="0" applyNumberFormat="1" applyFont="1" applyFill="1" applyBorder="1" applyAlignment="1" applyProtection="1">
      <alignment vertical="center"/>
    </xf>
    <xf numFmtId="0" fontId="6" fillId="2" borderId="4" xfId="0" applyFont="1" applyFill="1" applyBorder="1" applyAlignment="1" applyProtection="1">
      <alignment horizontal="center" vertical="center" wrapText="1"/>
    </xf>
    <xf numFmtId="177" fontId="4" fillId="2" borderId="4" xfId="0" applyNumberFormat="1" applyFont="1" applyFill="1" applyBorder="1" applyAlignment="1" applyProtection="1">
      <alignment vertical="center"/>
    </xf>
    <xf numFmtId="177" fontId="4" fillId="2" borderId="18" xfId="0" applyNumberFormat="1" applyFont="1" applyFill="1" applyBorder="1" applyAlignment="1" applyProtection="1">
      <alignment vertical="center"/>
    </xf>
    <xf numFmtId="177" fontId="4" fillId="2" borderId="19" xfId="0" applyNumberFormat="1" applyFont="1" applyFill="1" applyBorder="1" applyAlignment="1" applyProtection="1">
      <alignment vertical="center"/>
    </xf>
    <xf numFmtId="177" fontId="4" fillId="2" borderId="20" xfId="0" applyNumberFormat="1" applyFont="1" applyFill="1" applyBorder="1" applyAlignment="1" applyProtection="1">
      <alignment vertical="center"/>
    </xf>
    <xf numFmtId="177" fontId="4" fillId="2" borderId="21" xfId="0" applyNumberFormat="1" applyFont="1" applyFill="1" applyBorder="1" applyAlignment="1" applyProtection="1">
      <alignment vertical="center"/>
    </xf>
    <xf numFmtId="0" fontId="6" fillId="0" borderId="7" xfId="0" applyFont="1" applyBorder="1" applyAlignment="1" applyProtection="1">
      <alignment horizontal="center" vertical="center"/>
      <protection locked="0"/>
    </xf>
    <xf numFmtId="0" fontId="0" fillId="0" borderId="1" xfId="0" applyFont="1" applyFill="1" applyBorder="1" applyAlignment="1" applyProtection="1">
      <alignment horizontal="right" vertical="center"/>
      <protection locked="0"/>
    </xf>
    <xf numFmtId="183" fontId="4" fillId="2" borderId="23" xfId="0" applyNumberFormat="1" applyFont="1" applyFill="1" applyBorder="1" applyAlignment="1" applyProtection="1">
      <alignment horizontal="right" vertical="center" shrinkToFit="1"/>
    </xf>
    <xf numFmtId="183" fontId="4" fillId="2" borderId="2" xfId="0" applyNumberFormat="1" applyFont="1" applyFill="1" applyBorder="1" applyAlignment="1" applyProtection="1">
      <alignment horizontal="right" vertical="center" shrinkToFit="1"/>
    </xf>
    <xf numFmtId="0" fontId="8" fillId="0" borderId="0" xfId="0" applyFont="1" applyBorder="1" applyAlignment="1" applyProtection="1">
      <alignment horizontal="center" vertical="center"/>
    </xf>
    <xf numFmtId="0" fontId="8" fillId="0" borderId="16" xfId="0" applyFont="1" applyBorder="1" applyAlignment="1" applyProtection="1">
      <alignment vertical="center" shrinkToFit="1"/>
    </xf>
    <xf numFmtId="0" fontId="8" fillId="0" borderId="16" xfId="0" applyFont="1" applyBorder="1" applyAlignment="1" applyProtection="1">
      <alignment horizontal="center" vertical="center"/>
    </xf>
    <xf numFmtId="181" fontId="8" fillId="0" borderId="16" xfId="0" applyNumberFormat="1" applyFont="1" applyBorder="1" applyAlignment="1" applyProtection="1">
      <alignment horizontal="center" vertical="center"/>
    </xf>
    <xf numFmtId="0" fontId="6" fillId="0" borderId="0" xfId="0" applyFont="1" applyAlignment="1" applyProtection="1">
      <alignment horizontal="right" vertical="center"/>
    </xf>
    <xf numFmtId="0" fontId="13" fillId="0" borderId="7" xfId="0" applyFont="1" applyFill="1" applyBorder="1" applyAlignment="1" applyProtection="1">
      <alignment horizontal="center" vertical="top" wrapText="1"/>
    </xf>
    <xf numFmtId="0" fontId="12" fillId="0" borderId="11" xfId="0" applyFont="1" applyFill="1" applyBorder="1" applyAlignment="1" applyProtection="1">
      <alignment horizontal="center" vertical="top" wrapText="1"/>
    </xf>
    <xf numFmtId="181" fontId="12" fillId="0" borderId="2" xfId="0" applyNumberFormat="1" applyFont="1" applyFill="1" applyBorder="1" applyAlignment="1" applyProtection="1">
      <alignment horizontal="center" vertical="top" wrapText="1"/>
    </xf>
    <xf numFmtId="181" fontId="18" fillId="0" borderId="28" xfId="0" applyNumberFormat="1" applyFont="1" applyFill="1" applyBorder="1" applyAlignment="1" applyProtection="1">
      <alignment vertical="top" wrapText="1"/>
    </xf>
    <xf numFmtId="0" fontId="0" fillId="0" borderId="2" xfId="0" applyFont="1" applyBorder="1" applyAlignment="1" applyProtection="1">
      <alignment horizontal="center" vertical="center"/>
    </xf>
    <xf numFmtId="0" fontId="0" fillId="3" borderId="29" xfId="0" applyFont="1" applyFill="1" applyBorder="1" applyAlignment="1" applyProtection="1">
      <alignment horizontal="right" vertical="center"/>
    </xf>
    <xf numFmtId="0" fontId="0" fillId="3" borderId="30" xfId="0" applyFont="1" applyFill="1" applyBorder="1" applyAlignment="1" applyProtection="1">
      <alignment horizontal="right" vertical="center"/>
    </xf>
    <xf numFmtId="0" fontId="0" fillId="0" borderId="1" xfId="0" applyFont="1" applyBorder="1" applyAlignment="1" applyProtection="1">
      <alignment horizontal="center" vertical="center"/>
    </xf>
    <xf numFmtId="0" fontId="0" fillId="0" borderId="0" xfId="0" applyFont="1" applyProtection="1">
      <alignment vertical="center"/>
    </xf>
    <xf numFmtId="0" fontId="0" fillId="0" borderId="0" xfId="0" applyFont="1" applyAlignment="1" applyProtection="1">
      <alignment vertical="center" wrapText="1"/>
    </xf>
    <xf numFmtId="181" fontId="0" fillId="0" borderId="0" xfId="0" applyNumberFormat="1" applyProtection="1">
      <alignment vertical="center"/>
    </xf>
    <xf numFmtId="0" fontId="0" fillId="0" borderId="0" xfId="0" applyAlignment="1" applyProtection="1">
      <alignment horizontal="center" vertical="center"/>
    </xf>
    <xf numFmtId="0" fontId="0" fillId="0" borderId="0" xfId="0" applyFill="1" applyBorder="1" applyAlignment="1" applyProtection="1">
      <alignment horizontal="center" vertical="center"/>
    </xf>
    <xf numFmtId="0" fontId="0" fillId="0" borderId="0" xfId="0" applyBorder="1" applyProtection="1">
      <alignment vertical="center"/>
    </xf>
    <xf numFmtId="0" fontId="6" fillId="0" borderId="7" xfId="0" applyFont="1" applyBorder="1" applyAlignment="1" applyProtection="1">
      <alignment vertical="center"/>
      <protection locked="0"/>
    </xf>
    <xf numFmtId="0" fontId="0" fillId="0" borderId="31" xfId="0" applyBorder="1" applyAlignment="1" applyProtection="1">
      <alignment horizontal="center" vertical="center"/>
    </xf>
    <xf numFmtId="0" fontId="6" fillId="2" borderId="7"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0" borderId="7" xfId="0" applyFont="1" applyBorder="1" applyAlignment="1" applyProtection="1">
      <alignment horizontal="center" vertical="center"/>
    </xf>
    <xf numFmtId="0" fontId="8" fillId="0" borderId="16" xfId="0" applyFont="1" applyFill="1" applyBorder="1" applyAlignment="1" applyProtection="1">
      <alignment horizontal="left" vertical="center"/>
    </xf>
    <xf numFmtId="0" fontId="6" fillId="0" borderId="16" xfId="0" applyFont="1" applyFill="1" applyBorder="1" applyAlignment="1" applyProtection="1">
      <alignment horizontal="center" vertical="center"/>
    </xf>
    <xf numFmtId="0" fontId="6" fillId="0" borderId="16" xfId="0" applyFont="1" applyFill="1" applyBorder="1" applyProtection="1">
      <alignment vertical="center"/>
    </xf>
    <xf numFmtId="177" fontId="4" fillId="0" borderId="16" xfId="0" applyNumberFormat="1" applyFont="1" applyFill="1" applyBorder="1" applyAlignment="1" applyProtection="1">
      <alignment vertical="center"/>
    </xf>
    <xf numFmtId="0" fontId="0" fillId="0" borderId="1" xfId="0" applyBorder="1" applyAlignment="1" applyProtection="1">
      <alignment horizontal="center" vertical="center" wrapText="1"/>
    </xf>
    <xf numFmtId="0" fontId="0" fillId="0" borderId="32" xfId="0" applyBorder="1" applyAlignment="1" applyProtection="1">
      <alignment horizontal="center" vertical="center" wrapText="1"/>
    </xf>
    <xf numFmtId="0" fontId="0" fillId="0" borderId="33" xfId="0" applyBorder="1" applyAlignment="1" applyProtection="1">
      <alignment horizontal="center" vertical="center" wrapText="1"/>
    </xf>
    <xf numFmtId="0" fontId="8" fillId="0" borderId="0" xfId="0" applyNumberFormat="1" applyFont="1" applyAlignment="1" applyProtection="1">
      <alignment horizontal="right" vertical="center"/>
    </xf>
    <xf numFmtId="0" fontId="0" fillId="0" borderId="0" xfId="0" applyBorder="1" applyAlignment="1" applyProtection="1">
      <alignment horizontal="center" vertical="center" shrinkToFit="1"/>
    </xf>
    <xf numFmtId="186" fontId="8" fillId="0" borderId="0" xfId="0" applyNumberFormat="1" applyFont="1" applyBorder="1" applyAlignment="1" applyProtection="1">
      <alignment horizontal="center" vertical="center" shrinkToFit="1"/>
    </xf>
    <xf numFmtId="0" fontId="5" fillId="0" borderId="0" xfId="0" applyFont="1" applyBorder="1" applyAlignment="1" applyProtection="1">
      <alignment horizontal="center" vertical="center"/>
    </xf>
    <xf numFmtId="0" fontId="10" fillId="0" borderId="34" xfId="0" applyFont="1" applyBorder="1" applyAlignment="1" applyProtection="1">
      <alignment horizontal="center" vertical="center"/>
    </xf>
    <xf numFmtId="0" fontId="6" fillId="0" borderId="35"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177" fontId="4" fillId="0" borderId="37"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2" xfId="0" applyNumberFormat="1" applyFont="1" applyFill="1" applyBorder="1" applyAlignment="1" applyProtection="1">
      <alignment horizontal="center" vertical="center"/>
      <protection locked="0"/>
    </xf>
    <xf numFmtId="177" fontId="4" fillId="0" borderId="32" xfId="0" applyNumberFormat="1" applyFont="1" applyFill="1" applyBorder="1" applyAlignment="1" applyProtection="1">
      <alignment horizontal="center" vertical="center"/>
      <protection locked="0"/>
    </xf>
    <xf numFmtId="177" fontId="4" fillId="0" borderId="38" xfId="0" applyNumberFormat="1" applyFont="1" applyFill="1" applyBorder="1" applyAlignment="1" applyProtection="1">
      <alignment horizontal="center" vertical="center"/>
      <protection locked="0"/>
    </xf>
    <xf numFmtId="177" fontId="4" fillId="0" borderId="39" xfId="0" applyNumberFormat="1" applyFont="1" applyFill="1" applyBorder="1" applyAlignment="1" applyProtection="1">
      <alignment horizontal="center" vertical="center"/>
      <protection locked="0"/>
    </xf>
    <xf numFmtId="177" fontId="4" fillId="0" borderId="40" xfId="0" applyNumberFormat="1" applyFont="1" applyFill="1" applyBorder="1" applyAlignment="1" applyProtection="1">
      <alignment horizontal="center" vertical="center"/>
      <protection locked="0"/>
    </xf>
    <xf numFmtId="0" fontId="0" fillId="0" borderId="17" xfId="0" applyBorder="1" applyAlignment="1" applyProtection="1">
      <alignment horizontal="center" vertical="center" shrinkToFit="1"/>
    </xf>
    <xf numFmtId="0" fontId="0" fillId="0" borderId="22" xfId="0" applyBorder="1" applyAlignment="1" applyProtection="1">
      <alignment horizontal="center" vertical="center"/>
    </xf>
    <xf numFmtId="0" fontId="0" fillId="0" borderId="0" xfId="0" applyFont="1" applyFill="1" applyAlignment="1" applyProtection="1">
      <alignment horizontal="left" vertical="top" wrapText="1"/>
    </xf>
    <xf numFmtId="0" fontId="10" fillId="0" borderId="42" xfId="0" applyFont="1" applyBorder="1" applyAlignment="1" applyProtection="1">
      <alignment horizontal="center" vertical="center" wrapText="1"/>
    </xf>
    <xf numFmtId="0" fontId="6" fillId="0" borderId="43" xfId="0" applyFont="1" applyBorder="1" applyAlignment="1" applyProtection="1">
      <alignment horizontal="center" vertical="center"/>
      <protection locked="0"/>
    </xf>
    <xf numFmtId="181" fontId="4" fillId="2" borderId="44" xfId="0" applyNumberFormat="1" applyFont="1" applyFill="1" applyBorder="1" applyAlignment="1" applyProtection="1">
      <alignment vertical="center"/>
    </xf>
    <xf numFmtId="0" fontId="10" fillId="0" borderId="41" xfId="0" applyFont="1" applyBorder="1" applyAlignment="1" applyProtection="1">
      <alignment horizontal="center" vertical="center"/>
    </xf>
    <xf numFmtId="181" fontId="4" fillId="2" borderId="31" xfId="0" applyNumberFormat="1" applyFont="1" applyFill="1" applyBorder="1" applyAlignment="1" applyProtection="1">
      <alignment vertical="center"/>
    </xf>
    <xf numFmtId="178" fontId="0" fillId="0" borderId="0" xfId="0" applyNumberFormat="1" applyProtection="1">
      <alignment vertical="center"/>
    </xf>
    <xf numFmtId="0" fontId="21" fillId="0" borderId="0" xfId="0" applyFont="1" applyProtection="1">
      <alignment vertical="center"/>
    </xf>
    <xf numFmtId="0" fontId="21" fillId="0" borderId="0" xfId="0" applyFont="1" applyBorder="1" applyAlignment="1" applyProtection="1">
      <alignment horizontal="center" vertical="center"/>
    </xf>
    <xf numFmtId="0" fontId="8" fillId="0" borderId="0" xfId="0" applyFont="1" applyProtection="1">
      <alignment vertical="center"/>
    </xf>
    <xf numFmtId="178" fontId="30" fillId="0" borderId="2" xfId="0" applyNumberFormat="1" applyFont="1" applyBorder="1" applyProtection="1">
      <alignment vertical="center"/>
    </xf>
    <xf numFmtId="0" fontId="21" fillId="0" borderId="8" xfId="0" applyFont="1" applyBorder="1" applyProtection="1">
      <alignment vertical="center"/>
    </xf>
    <xf numFmtId="0" fontId="21" fillId="0" borderId="0" xfId="0" applyFont="1" applyFill="1" applyAlignment="1" applyProtection="1">
      <alignment vertical="top" wrapText="1"/>
    </xf>
    <xf numFmtId="177" fontId="4" fillId="0" borderId="52" xfId="0" applyNumberFormat="1" applyFont="1" applyFill="1" applyBorder="1" applyAlignment="1" applyProtection="1">
      <alignment horizontal="center" vertical="center"/>
      <protection locked="0"/>
    </xf>
    <xf numFmtId="177" fontId="4" fillId="2" borderId="37" xfId="0" applyNumberFormat="1" applyFont="1" applyFill="1" applyBorder="1" applyAlignment="1" applyProtection="1">
      <alignment vertical="center"/>
      <protection locked="0"/>
    </xf>
    <xf numFmtId="177" fontId="4" fillId="2" borderId="53" xfId="0" applyNumberFormat="1" applyFont="1" applyFill="1" applyBorder="1" applyAlignment="1" applyProtection="1">
      <alignment vertical="center"/>
      <protection locked="0"/>
    </xf>
    <xf numFmtId="177" fontId="4" fillId="2" borderId="11" xfId="0" applyNumberFormat="1" applyFont="1" applyFill="1" applyBorder="1" applyAlignment="1" applyProtection="1">
      <alignment vertical="center"/>
      <protection locked="0"/>
    </xf>
    <xf numFmtId="177" fontId="4" fillId="2" borderId="8" xfId="0" applyNumberFormat="1" applyFont="1" applyFill="1" applyBorder="1" applyAlignment="1" applyProtection="1">
      <alignment vertical="center"/>
      <protection locked="0"/>
    </xf>
    <xf numFmtId="177" fontId="4" fillId="2" borderId="2" xfId="0" applyNumberFormat="1" applyFont="1" applyFill="1" applyBorder="1" applyAlignment="1" applyProtection="1">
      <alignment vertical="center"/>
      <protection locked="0"/>
    </xf>
    <xf numFmtId="177" fontId="4" fillId="2" borderId="10" xfId="0" applyNumberFormat="1" applyFont="1" applyFill="1" applyBorder="1" applyAlignment="1" applyProtection="1">
      <alignment vertical="center"/>
      <protection locked="0"/>
    </xf>
    <xf numFmtId="177" fontId="4" fillId="2" borderId="18" xfId="0" applyNumberFormat="1" applyFont="1" applyFill="1" applyBorder="1" applyAlignment="1" applyProtection="1">
      <alignment vertical="center"/>
      <protection locked="0"/>
    </xf>
    <xf numFmtId="177" fontId="4" fillId="2" borderId="38" xfId="0" applyNumberFormat="1" applyFont="1" applyFill="1" applyBorder="1" applyAlignment="1" applyProtection="1">
      <alignment vertical="center"/>
      <protection locked="0"/>
    </xf>
    <xf numFmtId="177" fontId="4" fillId="2" borderId="54" xfId="0" applyNumberFormat="1" applyFont="1" applyFill="1" applyBorder="1" applyAlignment="1" applyProtection="1">
      <alignment vertical="center"/>
      <protection locked="0"/>
    </xf>
    <xf numFmtId="177" fontId="4" fillId="2" borderId="39" xfId="0" applyNumberFormat="1" applyFont="1" applyFill="1" applyBorder="1" applyAlignment="1" applyProtection="1">
      <alignment vertical="center"/>
      <protection locked="0"/>
    </xf>
    <xf numFmtId="177" fontId="4" fillId="2" borderId="20" xfId="0" applyNumberFormat="1" applyFont="1" applyFill="1" applyBorder="1" applyAlignment="1" applyProtection="1">
      <alignment vertical="center"/>
      <protection locked="0"/>
    </xf>
    <xf numFmtId="177" fontId="4" fillId="2" borderId="40" xfId="0" applyNumberFormat="1" applyFont="1" applyFill="1" applyBorder="1" applyAlignment="1" applyProtection="1">
      <alignment vertical="center"/>
      <protection locked="0"/>
    </xf>
    <xf numFmtId="177" fontId="4" fillId="2" borderId="48" xfId="0" applyNumberFormat="1" applyFont="1" applyFill="1" applyBorder="1" applyAlignment="1" applyProtection="1">
      <alignment vertical="center"/>
      <protection locked="0"/>
    </xf>
    <xf numFmtId="177" fontId="4" fillId="2" borderId="21" xfId="0" applyNumberFormat="1" applyFont="1" applyFill="1" applyBorder="1" applyAlignment="1" applyProtection="1">
      <alignment vertical="center"/>
      <protection locked="0"/>
    </xf>
    <xf numFmtId="0" fontId="8" fillId="0" borderId="16" xfId="0" applyFont="1" applyBorder="1" applyAlignment="1" applyProtection="1">
      <alignment horizontal="center" vertical="center" shrinkToFit="1"/>
    </xf>
    <xf numFmtId="0" fontId="8" fillId="0" borderId="56" xfId="0" applyFont="1" applyBorder="1" applyAlignment="1" applyProtection="1">
      <alignment vertical="center" shrinkToFit="1"/>
      <protection locked="0"/>
    </xf>
    <xf numFmtId="0" fontId="11" fillId="0" borderId="0" xfId="0" applyFont="1" applyAlignment="1">
      <alignment horizontal="right" vertical="center"/>
    </xf>
    <xf numFmtId="0" fontId="8" fillId="0" borderId="0" xfId="0" applyFont="1" applyAlignment="1">
      <alignment horizontal="right" vertical="center"/>
    </xf>
    <xf numFmtId="0" fontId="9" fillId="2" borderId="56" xfId="0" applyFont="1" applyFill="1" applyBorder="1">
      <alignment vertical="center"/>
    </xf>
    <xf numFmtId="0" fontId="4" fillId="0" borderId="0" xfId="0" applyFont="1" applyAlignment="1">
      <alignment horizontal="center" vertical="center"/>
    </xf>
    <xf numFmtId="0" fontId="0" fillId="0" borderId="1" xfId="0" applyBorder="1" applyAlignment="1">
      <alignment horizontal="center" vertical="center"/>
    </xf>
    <xf numFmtId="0" fontId="0" fillId="0" borderId="58" xfId="0" applyBorder="1">
      <alignment vertical="center"/>
    </xf>
    <xf numFmtId="0" fontId="12" fillId="6" borderId="0" xfId="0" applyFont="1" applyFill="1" applyBorder="1" applyAlignment="1" applyProtection="1">
      <alignment horizontal="center" vertical="center" wrapText="1"/>
    </xf>
    <xf numFmtId="0" fontId="4" fillId="0" borderId="0" xfId="0" applyFont="1" applyAlignment="1">
      <alignment horizontal="center" vertical="center" wrapText="1"/>
    </xf>
    <xf numFmtId="180" fontId="32" fillId="2" borderId="0" xfId="0" applyNumberFormat="1" applyFont="1" applyFill="1">
      <alignment vertical="center"/>
    </xf>
    <xf numFmtId="0" fontId="0" fillId="0" borderId="2" xfId="0" applyBorder="1" applyAlignment="1">
      <alignment horizontal="center" vertical="center"/>
    </xf>
    <xf numFmtId="0" fontId="0" fillId="0" borderId="8" xfId="0" applyBorder="1" applyAlignment="1">
      <alignment horizontal="center" vertical="center"/>
    </xf>
    <xf numFmtId="0" fontId="0" fillId="0" borderId="32" xfId="0" applyBorder="1" applyAlignment="1">
      <alignment horizontal="center" vertical="center"/>
    </xf>
    <xf numFmtId="0" fontId="0" fillId="0" borderId="32" xfId="0" applyBorder="1" applyAlignment="1">
      <alignment horizontal="center" vertical="center" shrinkToFit="1"/>
    </xf>
    <xf numFmtId="0" fontId="0" fillId="0" borderId="33" xfId="0" applyBorder="1" applyAlignment="1">
      <alignment horizontal="center" vertical="center"/>
    </xf>
    <xf numFmtId="0" fontId="0" fillId="0" borderId="61" xfId="0" applyBorder="1" applyAlignment="1">
      <alignment horizontal="center" vertical="center"/>
    </xf>
    <xf numFmtId="0" fontId="0" fillId="0" borderId="24" xfId="0" applyBorder="1" applyAlignment="1">
      <alignment horizontal="center" vertical="center"/>
    </xf>
    <xf numFmtId="0" fontId="4" fillId="0" borderId="22" xfId="0" applyFont="1" applyBorder="1" applyAlignment="1">
      <alignment horizontal="center" vertical="center" shrinkToFit="1"/>
    </xf>
    <xf numFmtId="189" fontId="0" fillId="2" borderId="23" xfId="0" applyNumberFormat="1" applyFill="1" applyBorder="1">
      <alignment vertical="center"/>
    </xf>
    <xf numFmtId="189" fontId="0" fillId="2" borderId="62" xfId="0" applyNumberFormat="1" applyFill="1" applyBorder="1">
      <alignment vertical="center"/>
    </xf>
    <xf numFmtId="189" fontId="0" fillId="2" borderId="22" xfId="0" applyNumberFormat="1" applyFill="1" applyBorder="1">
      <alignment vertical="center"/>
    </xf>
    <xf numFmtId="189" fontId="4" fillId="0" borderId="0" xfId="0" applyNumberFormat="1" applyFont="1">
      <alignment vertical="center"/>
    </xf>
    <xf numFmtId="0" fontId="4" fillId="0" borderId="63" xfId="0" applyFont="1" applyBorder="1" applyAlignment="1">
      <alignment horizontal="center" vertical="center"/>
    </xf>
    <xf numFmtId="0" fontId="0" fillId="2" borderId="63" xfId="0" applyFill="1" applyBorder="1">
      <alignment vertical="center"/>
    </xf>
    <xf numFmtId="0" fontId="0" fillId="2" borderId="64" xfId="0" applyFill="1" applyBorder="1">
      <alignment vertical="center"/>
    </xf>
    <xf numFmtId="0" fontId="0" fillId="2" borderId="65" xfId="0" applyFill="1" applyBorder="1">
      <alignment vertical="center"/>
    </xf>
    <xf numFmtId="0" fontId="0" fillId="2" borderId="66" xfId="0" applyFill="1" applyBorder="1">
      <alignment vertical="center"/>
    </xf>
    <xf numFmtId="0" fontId="4" fillId="0" borderId="0" xfId="0" applyFont="1">
      <alignment vertical="center"/>
    </xf>
    <xf numFmtId="0" fontId="4" fillId="0" borderId="24" xfId="0" applyFont="1" applyBorder="1" applyAlignment="1">
      <alignment horizontal="center" vertical="center"/>
    </xf>
    <xf numFmtId="0" fontId="4" fillId="0" borderId="67" xfId="0" applyFont="1" applyBorder="1" applyAlignment="1">
      <alignment horizontal="center" vertical="center"/>
    </xf>
    <xf numFmtId="0" fontId="0" fillId="2" borderId="68" xfId="0" applyFill="1" applyBorder="1">
      <alignment vertical="center"/>
    </xf>
    <xf numFmtId="0" fontId="0" fillId="2" borderId="69" xfId="0" applyFill="1" applyBorder="1">
      <alignment vertical="center"/>
    </xf>
    <xf numFmtId="0" fontId="0" fillId="2" borderId="70" xfId="0" applyFill="1" applyBorder="1">
      <alignment vertical="center"/>
    </xf>
    <xf numFmtId="0" fontId="0" fillId="2" borderId="71" xfId="0" applyFill="1" applyBorder="1">
      <alignment vertical="center"/>
    </xf>
    <xf numFmtId="0" fontId="0" fillId="2" borderId="72" xfId="0" applyFill="1" applyBorder="1">
      <alignment vertical="center"/>
    </xf>
    <xf numFmtId="0" fontId="4" fillId="0" borderId="72" xfId="0" applyFont="1" applyBorder="1" applyAlignment="1">
      <alignment horizontal="center" vertical="center"/>
    </xf>
    <xf numFmtId="0" fontId="0" fillId="2" borderId="73" xfId="0" applyFill="1" applyBorder="1">
      <alignment vertical="center"/>
    </xf>
    <xf numFmtId="0" fontId="0" fillId="2" borderId="74" xfId="0" applyFill="1" applyBorder="1">
      <alignment vertical="center"/>
    </xf>
    <xf numFmtId="190" fontId="4" fillId="0" borderId="0" xfId="0" applyNumberFormat="1" applyFont="1">
      <alignment vertical="center"/>
    </xf>
    <xf numFmtId="189" fontId="0" fillId="2" borderId="75" xfId="0" applyNumberFormat="1" applyFill="1" applyBorder="1">
      <alignment vertical="center"/>
    </xf>
    <xf numFmtId="0" fontId="0" fillId="2" borderId="67" xfId="0" applyFill="1" applyBorder="1">
      <alignment vertical="center"/>
    </xf>
    <xf numFmtId="0" fontId="0" fillId="0" borderId="0" xfId="0" applyBorder="1" applyAlignment="1">
      <alignment horizontal="center" vertical="center"/>
    </xf>
    <xf numFmtId="0" fontId="13" fillId="6" borderId="0" xfId="0" applyFont="1" applyFill="1" applyBorder="1" applyAlignment="1" applyProtection="1">
      <alignment horizontal="center" vertical="center" wrapText="1"/>
    </xf>
    <xf numFmtId="178" fontId="4" fillId="6" borderId="0" xfId="0" applyNumberFormat="1" applyFont="1" applyFill="1" applyBorder="1" applyAlignment="1" applyProtection="1">
      <alignment horizontal="right" vertical="center"/>
    </xf>
    <xf numFmtId="0" fontId="33" fillId="0" borderId="0" xfId="2" applyFont="1">
      <alignment vertical="center"/>
    </xf>
    <xf numFmtId="0" fontId="33" fillId="0" borderId="0" xfId="2" applyFont="1" applyAlignment="1">
      <alignment horizontal="center" vertical="center" shrinkToFit="1"/>
    </xf>
    <xf numFmtId="0" fontId="33" fillId="0" borderId="0" xfId="2" applyFont="1" applyAlignment="1">
      <alignment horizontal="center" vertical="center"/>
    </xf>
    <xf numFmtId="191" fontId="33" fillId="0" borderId="0" xfId="2" applyNumberFormat="1" applyFont="1" applyAlignment="1">
      <alignment horizontal="center" vertical="center" shrinkToFit="1"/>
    </xf>
    <xf numFmtId="176" fontId="33" fillId="0" borderId="0" xfId="2" applyNumberFormat="1" applyFont="1" applyAlignment="1">
      <alignment horizontal="center" vertical="center" shrinkToFit="1"/>
    </xf>
    <xf numFmtId="0" fontId="0" fillId="0" borderId="0" xfId="0" applyAlignment="1"/>
    <xf numFmtId="183" fontId="4" fillId="4" borderId="76" xfId="0" applyNumberFormat="1" applyFont="1" applyFill="1" applyBorder="1" applyAlignment="1" applyProtection="1">
      <alignment horizontal="right" vertical="center" shrinkToFit="1"/>
    </xf>
    <xf numFmtId="189" fontId="0" fillId="0" borderId="22" xfId="0" applyNumberFormat="1" applyBorder="1" applyProtection="1">
      <alignment vertical="center"/>
      <protection locked="0"/>
    </xf>
    <xf numFmtId="189" fontId="0" fillId="0" borderId="75" xfId="0" applyNumberFormat="1" applyBorder="1" applyProtection="1">
      <alignment vertical="center"/>
      <protection locked="0"/>
    </xf>
    <xf numFmtId="0" fontId="4" fillId="0" borderId="75" xfId="0" applyFont="1" applyBorder="1" applyAlignment="1">
      <alignment horizontal="center" vertical="center" shrinkToFit="1"/>
    </xf>
    <xf numFmtId="192" fontId="4" fillId="0" borderId="0" xfId="0" applyNumberFormat="1" applyFont="1">
      <alignment vertical="center"/>
    </xf>
    <xf numFmtId="192" fontId="0" fillId="0" borderId="0" xfId="0" applyNumberFormat="1">
      <alignment vertical="center"/>
    </xf>
    <xf numFmtId="0" fontId="0" fillId="0" borderId="1" xfId="0" applyBorder="1" applyAlignment="1" applyProtection="1">
      <alignment horizontal="center" vertical="center"/>
    </xf>
    <xf numFmtId="0" fontId="0" fillId="0" borderId="1" xfId="0" applyBorder="1" applyAlignment="1">
      <alignment horizontal="center" vertical="center"/>
    </xf>
    <xf numFmtId="0" fontId="4" fillId="0" borderId="0" xfId="0" applyFont="1" applyAlignment="1">
      <alignment horizontal="center" vertical="center"/>
    </xf>
    <xf numFmtId="0" fontId="0" fillId="0" borderId="0" xfId="0" applyBorder="1" applyAlignment="1" applyProtection="1">
      <alignment horizontal="center" vertical="center"/>
    </xf>
    <xf numFmtId="0" fontId="10" fillId="0" borderId="41" xfId="0" applyFont="1" applyBorder="1" applyAlignment="1">
      <alignment horizontal="center" vertical="center" wrapText="1"/>
    </xf>
    <xf numFmtId="0" fontId="10" fillId="0" borderId="34" xfId="0" applyFont="1" applyBorder="1" applyAlignment="1">
      <alignment horizontal="center" vertical="center"/>
    </xf>
    <xf numFmtId="0" fontId="0" fillId="0" borderId="1" xfId="0" applyBorder="1" applyAlignment="1" applyProtection="1">
      <alignment horizontal="right" vertical="center"/>
      <protection locked="0"/>
    </xf>
    <xf numFmtId="0" fontId="0" fillId="0" borderId="24" xfId="0" applyFont="1" applyBorder="1" applyAlignment="1" applyProtection="1">
      <alignment horizontal="center" vertical="center"/>
    </xf>
    <xf numFmtId="183" fontId="4" fillId="2" borderId="59" xfId="0" applyNumberFormat="1" applyFont="1" applyFill="1" applyBorder="1" applyAlignment="1" applyProtection="1">
      <alignment horizontal="right" vertical="center" shrinkToFit="1"/>
    </xf>
    <xf numFmtId="183" fontId="4" fillId="2" borderId="46" xfId="0" applyNumberFormat="1" applyFont="1" applyFill="1" applyBorder="1" applyAlignment="1" applyProtection="1">
      <alignment horizontal="right" vertical="center" shrinkToFit="1"/>
    </xf>
    <xf numFmtId="183" fontId="4" fillId="4" borderId="122" xfId="0" applyNumberFormat="1" applyFont="1" applyFill="1" applyBorder="1" applyAlignment="1" applyProtection="1">
      <alignment horizontal="right" vertical="center" shrinkToFit="1"/>
    </xf>
    <xf numFmtId="0" fontId="0" fillId="0" borderId="123" xfId="0" applyFont="1" applyBorder="1" applyAlignment="1" applyProtection="1">
      <alignment horizontal="center" vertical="center"/>
    </xf>
    <xf numFmtId="0" fontId="0" fillId="0" borderId="123" xfId="0" applyFont="1" applyFill="1" applyBorder="1" applyAlignment="1" applyProtection="1">
      <alignment horizontal="right" vertical="center"/>
      <protection locked="0"/>
    </xf>
    <xf numFmtId="0" fontId="0" fillId="3" borderId="124" xfId="0" applyFont="1" applyFill="1" applyBorder="1" applyAlignment="1" applyProtection="1">
      <alignment horizontal="right" vertical="center"/>
    </xf>
    <xf numFmtId="183" fontId="4" fillId="2" borderId="126" xfId="0" applyNumberFormat="1" applyFont="1" applyFill="1" applyBorder="1" applyAlignment="1" applyProtection="1">
      <alignment horizontal="right" vertical="center" shrinkToFit="1"/>
    </xf>
    <xf numFmtId="0" fontId="0" fillId="3" borderId="121" xfId="0" applyFill="1" applyBorder="1" applyAlignment="1">
      <alignment horizontal="right" vertical="center"/>
    </xf>
    <xf numFmtId="0" fontId="0" fillId="2" borderId="24" xfId="0" applyFill="1" applyBorder="1" applyAlignment="1">
      <alignment horizontal="right" vertical="center"/>
    </xf>
    <xf numFmtId="179" fontId="0" fillId="2" borderId="136" xfId="0" applyNumberFormat="1" applyFill="1" applyBorder="1">
      <alignment vertical="center"/>
    </xf>
    <xf numFmtId="0" fontId="0" fillId="3" borderId="30" xfId="0" applyFill="1" applyBorder="1" applyAlignment="1">
      <alignment horizontal="right" vertical="center"/>
    </xf>
    <xf numFmtId="0" fontId="0" fillId="2" borderId="1" xfId="0" applyFill="1" applyBorder="1" applyAlignment="1">
      <alignment horizontal="right" vertical="center"/>
    </xf>
    <xf numFmtId="179" fontId="0" fillId="2" borderId="30" xfId="0" applyNumberFormat="1" applyFill="1" applyBorder="1">
      <alignment vertical="center"/>
    </xf>
    <xf numFmtId="179" fontId="0" fillId="2" borderId="121" xfId="0" applyNumberFormat="1" applyFill="1" applyBorder="1">
      <alignment vertical="center"/>
    </xf>
    <xf numFmtId="0" fontId="0" fillId="0" borderId="137" xfId="0" applyFont="1" applyFill="1" applyBorder="1" applyAlignment="1" applyProtection="1">
      <alignment horizontal="right" vertical="center"/>
      <protection locked="0"/>
    </xf>
    <xf numFmtId="0" fontId="0" fillId="3" borderId="138" xfId="0" applyFill="1" applyBorder="1" applyAlignment="1">
      <alignment horizontal="right" vertical="center"/>
    </xf>
    <xf numFmtId="0" fontId="0" fillId="3" borderId="29" xfId="0" applyFill="1" applyBorder="1" applyAlignment="1">
      <alignment horizontal="right" vertical="center"/>
    </xf>
    <xf numFmtId="0" fontId="0" fillId="2" borderId="8" xfId="0" applyFill="1" applyBorder="1" applyAlignment="1">
      <alignment horizontal="right" vertical="center"/>
    </xf>
    <xf numFmtId="0" fontId="0" fillId="2" borderId="140" xfId="0" applyFill="1" applyBorder="1">
      <alignment vertical="center"/>
    </xf>
    <xf numFmtId="0" fontId="0" fillId="2" borderId="75" xfId="0" applyFill="1" applyBorder="1">
      <alignment vertical="center"/>
    </xf>
    <xf numFmtId="178" fontId="4" fillId="6" borderId="17" xfId="0" applyNumberFormat="1" applyFont="1" applyFill="1" applyBorder="1" applyAlignment="1" applyProtection="1">
      <alignment horizontal="right" vertical="center"/>
    </xf>
    <xf numFmtId="0" fontId="0" fillId="0" borderId="1" xfId="0" applyBorder="1" applyAlignment="1">
      <alignment horizontal="center" vertical="center" wrapText="1"/>
    </xf>
    <xf numFmtId="0" fontId="0" fillId="3" borderId="146" xfId="0" applyFill="1" applyBorder="1" applyAlignment="1">
      <alignment horizontal="right" vertical="center"/>
    </xf>
    <xf numFmtId="0" fontId="0" fillId="3" borderId="139" xfId="0" applyFill="1" applyBorder="1" applyAlignment="1">
      <alignment horizontal="right" vertical="center"/>
    </xf>
    <xf numFmtId="0" fontId="8" fillId="2" borderId="56" xfId="0" applyFont="1" applyFill="1" applyBorder="1" applyAlignment="1" applyProtection="1">
      <alignment horizontal="center" vertical="center"/>
    </xf>
    <xf numFmtId="0" fontId="0" fillId="0" borderId="1" xfId="0" applyFont="1" applyBorder="1" applyAlignment="1" applyProtection="1">
      <alignment vertical="center"/>
      <protection locked="0"/>
    </xf>
    <xf numFmtId="0" fontId="0" fillId="0" borderId="8" xfId="0" applyFont="1" applyBorder="1" applyAlignment="1" applyProtection="1">
      <alignment vertical="center"/>
      <protection locked="0"/>
    </xf>
    <xf numFmtId="0" fontId="0" fillId="0" borderId="24" xfId="0" applyBorder="1" applyAlignment="1" applyProtection="1">
      <alignment vertical="center"/>
      <protection locked="0"/>
    </xf>
    <xf numFmtId="0" fontId="0" fillId="0" borderId="1" xfId="0" applyBorder="1" applyAlignment="1" applyProtection="1">
      <alignment vertical="center"/>
      <protection locked="0"/>
    </xf>
    <xf numFmtId="0" fontId="0" fillId="0" borderId="123" xfId="0" applyBorder="1" applyAlignment="1" applyProtection="1">
      <alignment vertical="center"/>
      <protection locked="0"/>
    </xf>
    <xf numFmtId="0" fontId="0" fillId="2" borderId="24" xfId="0" applyFill="1" applyBorder="1" applyAlignment="1">
      <alignment vertical="center"/>
    </xf>
    <xf numFmtId="0" fontId="8" fillId="0" borderId="0" xfId="0" applyFont="1" applyBorder="1" applyAlignment="1" applyProtection="1">
      <alignment horizontal="center" vertical="center"/>
    </xf>
    <xf numFmtId="0" fontId="33" fillId="0" borderId="0" xfId="2" applyFont="1" applyAlignment="1">
      <alignment horizontal="left" vertical="center" wrapText="1"/>
    </xf>
    <xf numFmtId="0" fontId="0" fillId="0" borderId="0" xfId="0" applyAlignment="1">
      <alignment horizontal="center" vertical="center"/>
    </xf>
    <xf numFmtId="0" fontId="36" fillId="0" borderId="0" xfId="2" applyFont="1" applyAlignment="1">
      <alignment horizontal="center" vertical="center"/>
    </xf>
    <xf numFmtId="0" fontId="36" fillId="0" borderId="0" xfId="2" applyFont="1" applyAlignment="1">
      <alignment horizontal="center" vertical="center"/>
    </xf>
    <xf numFmtId="193" fontId="35" fillId="2" borderId="22" xfId="2" applyNumberFormat="1" applyFont="1" applyFill="1" applyBorder="1" applyAlignment="1">
      <alignment horizontal="center" vertical="center" shrinkToFit="1"/>
    </xf>
    <xf numFmtId="193" fontId="35" fillId="2" borderId="117" xfId="2" applyNumberFormat="1" applyFont="1" applyFill="1" applyBorder="1" applyAlignment="1">
      <alignment horizontal="center" vertical="center" shrinkToFit="1"/>
    </xf>
    <xf numFmtId="193" fontId="35" fillId="2" borderId="142" xfId="2" applyNumberFormat="1" applyFont="1" applyFill="1" applyBorder="1" applyAlignment="1">
      <alignment horizontal="center" vertical="center" shrinkToFit="1"/>
    </xf>
    <xf numFmtId="193" fontId="35" fillId="2" borderId="24" xfId="2" applyNumberFormat="1" applyFont="1" applyFill="1" applyBorder="1" applyAlignment="1">
      <alignment horizontal="center" vertical="center" shrinkToFit="1"/>
    </xf>
    <xf numFmtId="0" fontId="13" fillId="0" borderId="24" xfId="0" applyFont="1" applyFill="1" applyBorder="1" applyAlignment="1">
      <alignment horizontal="center" vertical="center" wrapText="1"/>
    </xf>
    <xf numFmtId="193" fontId="34" fillId="2" borderId="75" xfId="2" applyNumberFormat="1" applyFont="1" applyFill="1" applyBorder="1" applyAlignment="1">
      <alignment horizontal="center" vertical="center" shrinkToFit="1"/>
    </xf>
    <xf numFmtId="193" fontId="34" fillId="2" borderId="155" xfId="2" applyNumberFormat="1" applyFont="1" applyFill="1" applyBorder="1" applyAlignment="1">
      <alignment horizontal="center" vertical="center" shrinkToFit="1"/>
    </xf>
    <xf numFmtId="193" fontId="34" fillId="2" borderId="117" xfId="2" applyNumberFormat="1" applyFont="1" applyFill="1" applyBorder="1" applyAlignment="1">
      <alignment horizontal="center" vertical="center" shrinkToFit="1"/>
    </xf>
    <xf numFmtId="193" fontId="34" fillId="2" borderId="157" xfId="2" applyNumberFormat="1" applyFont="1" applyFill="1" applyBorder="1" applyAlignment="1">
      <alignment horizontal="center" vertical="center" shrinkToFit="1"/>
    </xf>
    <xf numFmtId="193" fontId="34" fillId="2" borderId="142" xfId="2" applyNumberFormat="1" applyFont="1" applyFill="1" applyBorder="1" applyAlignment="1">
      <alignment horizontal="center" vertical="center" shrinkToFit="1"/>
    </xf>
    <xf numFmtId="193" fontId="34" fillId="2" borderId="159" xfId="2" applyNumberFormat="1" applyFont="1" applyFill="1" applyBorder="1" applyAlignment="1">
      <alignment horizontal="center" vertical="center" shrinkToFit="1"/>
    </xf>
    <xf numFmtId="193" fontId="34" fillId="2" borderId="160" xfId="2" applyNumberFormat="1" applyFont="1" applyFill="1" applyBorder="1" applyAlignment="1">
      <alignment horizontal="center" vertical="center" shrinkToFit="1"/>
    </xf>
    <xf numFmtId="193" fontId="34" fillId="2" borderId="45" xfId="2" applyNumberFormat="1" applyFont="1" applyFill="1" applyBorder="1" applyAlignment="1">
      <alignment horizontal="center" vertical="center" shrinkToFit="1"/>
    </xf>
    <xf numFmtId="0" fontId="43" fillId="8" borderId="7" xfId="2" applyFont="1" applyFill="1" applyBorder="1" applyAlignment="1">
      <alignment horizontal="center" vertical="center" shrinkToFit="1"/>
    </xf>
    <xf numFmtId="0" fontId="43" fillId="8" borderId="153" xfId="2" applyFont="1" applyFill="1" applyBorder="1" applyAlignment="1">
      <alignment horizontal="center" vertical="center" wrapText="1" shrinkToFit="1"/>
    </xf>
    <xf numFmtId="0" fontId="43" fillId="8" borderId="24" xfId="2" applyFont="1" applyFill="1" applyBorder="1" applyAlignment="1">
      <alignment horizontal="center" vertical="center" shrinkToFit="1"/>
    </xf>
    <xf numFmtId="0" fontId="43" fillId="8" borderId="59" xfId="2" applyFont="1" applyFill="1" applyBorder="1" applyAlignment="1">
      <alignment horizontal="center" vertical="center" shrinkToFit="1"/>
    </xf>
    <xf numFmtId="0" fontId="44" fillId="8" borderId="1" xfId="2" applyFont="1" applyFill="1" applyBorder="1" applyAlignment="1">
      <alignment horizontal="center" vertical="center" shrinkToFit="1"/>
    </xf>
    <xf numFmtId="0" fontId="44" fillId="8" borderId="32" xfId="2" applyFont="1" applyFill="1" applyBorder="1" applyAlignment="1">
      <alignment horizontal="center" vertical="center" shrinkToFit="1"/>
    </xf>
    <xf numFmtId="0" fontId="45" fillId="0" borderId="0" xfId="2" applyFont="1" applyFill="1">
      <alignment vertical="center"/>
    </xf>
    <xf numFmtId="0" fontId="43" fillId="0" borderId="0" xfId="2" applyFont="1" applyFill="1" applyAlignment="1">
      <alignment horizontal="center" vertical="center" shrinkToFit="1"/>
    </xf>
    <xf numFmtId="0" fontId="43" fillId="0" borderId="0" xfId="2" applyFont="1" applyFill="1" applyAlignment="1">
      <alignment horizontal="left" vertical="center"/>
    </xf>
    <xf numFmtId="0" fontId="43" fillId="0" borderId="0" xfId="2" applyFont="1" applyFill="1" applyAlignment="1">
      <alignment horizontal="center" vertical="center"/>
    </xf>
    <xf numFmtId="176" fontId="43" fillId="0" borderId="0" xfId="2" applyNumberFormat="1" applyFont="1" applyFill="1" applyAlignment="1">
      <alignment horizontal="center" vertical="center" shrinkToFit="1"/>
    </xf>
    <xf numFmtId="0" fontId="0" fillId="0" borderId="0" xfId="0" applyFont="1" applyFill="1">
      <alignment vertical="center"/>
    </xf>
    <xf numFmtId="0" fontId="0" fillId="0" borderId="0" xfId="0" applyFont="1" applyFill="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41" xfId="0" applyFont="1" applyFill="1" applyBorder="1" applyAlignment="1">
      <alignment horizontal="center" vertical="center" wrapText="1"/>
    </xf>
    <xf numFmtId="0" fontId="6" fillId="0" borderId="164" xfId="0" applyFont="1" applyFill="1" applyBorder="1" applyAlignment="1">
      <alignment horizontal="center" vertical="center" wrapText="1"/>
    </xf>
    <xf numFmtId="0" fontId="6" fillId="0" borderId="148" xfId="0" applyFont="1" applyFill="1" applyBorder="1" applyAlignment="1">
      <alignment horizontal="center" vertical="center" wrapText="1"/>
    </xf>
    <xf numFmtId="0" fontId="6" fillId="0" borderId="113" xfId="0" applyFont="1" applyFill="1" applyBorder="1" applyAlignment="1">
      <alignment horizontal="center" vertical="center" wrapText="1"/>
    </xf>
    <xf numFmtId="0" fontId="6" fillId="0" borderId="149" xfId="0" applyFont="1" applyFill="1" applyBorder="1" applyAlignment="1">
      <alignment horizontal="center" vertical="center" wrapText="1"/>
    </xf>
    <xf numFmtId="179" fontId="0" fillId="0" borderId="1" xfId="0" applyNumberFormat="1" applyFont="1" applyFill="1" applyBorder="1">
      <alignment vertical="center"/>
    </xf>
    <xf numFmtId="179" fontId="0" fillId="0" borderId="0" xfId="0" applyNumberFormat="1" applyFont="1" applyFill="1">
      <alignment vertical="center"/>
    </xf>
    <xf numFmtId="179" fontId="0" fillId="0" borderId="162" xfId="0" applyNumberFormat="1" applyFont="1" applyFill="1" applyBorder="1">
      <alignment vertical="center"/>
    </xf>
    <xf numFmtId="0" fontId="0" fillId="0" borderId="37" xfId="0" applyFont="1" applyFill="1" applyBorder="1">
      <alignment vertical="center"/>
    </xf>
    <xf numFmtId="0" fontId="0" fillId="0" borderId="33" xfId="0" applyFont="1" applyFill="1" applyBorder="1">
      <alignment vertical="center"/>
    </xf>
    <xf numFmtId="0" fontId="0" fillId="0" borderId="1" xfId="0" applyFont="1" applyFill="1" applyBorder="1">
      <alignment vertical="center"/>
    </xf>
    <xf numFmtId="0" fontId="0" fillId="0" borderId="32" xfId="0" applyFont="1" applyFill="1" applyBorder="1">
      <alignment vertical="center"/>
    </xf>
    <xf numFmtId="179" fontId="0" fillId="0" borderId="163" xfId="0" applyNumberFormat="1" applyFont="1" applyFill="1" applyBorder="1">
      <alignment vertical="center"/>
    </xf>
    <xf numFmtId="0" fontId="0" fillId="0" borderId="150" xfId="0" applyFont="1" applyFill="1" applyBorder="1">
      <alignment vertical="center"/>
    </xf>
    <xf numFmtId="0" fontId="0" fillId="0" borderId="151" xfId="0" applyFont="1" applyFill="1" applyBorder="1">
      <alignment vertical="center"/>
    </xf>
    <xf numFmtId="0" fontId="0" fillId="0" borderId="52" xfId="0" applyFont="1" applyFill="1" applyBorder="1">
      <alignment vertical="center"/>
    </xf>
    <xf numFmtId="193" fontId="34" fillId="2" borderId="166" xfId="2" applyNumberFormat="1" applyFont="1" applyFill="1" applyBorder="1" applyAlignment="1">
      <alignment horizontal="center" vertical="center" shrinkToFit="1"/>
    </xf>
    <xf numFmtId="185" fontId="0" fillId="0" borderId="2" xfId="0" applyNumberFormat="1" applyFont="1" applyFill="1" applyBorder="1">
      <alignment vertical="center"/>
    </xf>
    <xf numFmtId="0" fontId="0" fillId="0" borderId="1" xfId="0" applyBorder="1" applyAlignment="1">
      <alignment horizontal="center" vertical="center"/>
    </xf>
    <xf numFmtId="185" fontId="0" fillId="0" borderId="1" xfId="0" applyNumberFormat="1" applyBorder="1" applyProtection="1">
      <alignment vertical="center"/>
    </xf>
    <xf numFmtId="2" fontId="0" fillId="0" borderId="1" xfId="0" applyNumberFormat="1" applyBorder="1">
      <alignment vertical="center"/>
    </xf>
    <xf numFmtId="185" fontId="0" fillId="0" borderId="1" xfId="0" applyNumberFormat="1" applyBorder="1">
      <alignment vertical="center"/>
    </xf>
    <xf numFmtId="193" fontId="34" fillId="2" borderId="44" xfId="2" applyNumberFormat="1" applyFont="1" applyFill="1" applyBorder="1" applyAlignment="1">
      <alignment horizontal="center" vertical="center" shrinkToFit="1"/>
    </xf>
    <xf numFmtId="193" fontId="35" fillId="2" borderId="24" xfId="2" applyNumberFormat="1" applyFont="1" applyFill="1" applyBorder="1" applyAlignment="1">
      <alignment horizontal="center" vertical="center" shrinkToFit="1"/>
    </xf>
    <xf numFmtId="193" fontId="35" fillId="2" borderId="117" xfId="2" applyNumberFormat="1" applyFont="1" applyFill="1" applyBorder="1" applyAlignment="1">
      <alignment horizontal="center" vertical="center" shrinkToFit="1"/>
    </xf>
    <xf numFmtId="193" fontId="34" fillId="2" borderId="156" xfId="2" applyNumberFormat="1" applyFont="1" applyFill="1" applyBorder="1" applyAlignment="1">
      <alignment horizontal="center" vertical="center" shrinkToFit="1"/>
    </xf>
    <xf numFmtId="193" fontId="35" fillId="2" borderId="142" xfId="2" applyNumberFormat="1" applyFont="1" applyFill="1" applyBorder="1" applyAlignment="1">
      <alignment horizontal="center" vertical="center" shrinkToFit="1"/>
    </xf>
    <xf numFmtId="193" fontId="34" fillId="2" borderId="158" xfId="2" applyNumberFormat="1" applyFont="1" applyFill="1" applyBorder="1" applyAlignment="1">
      <alignment horizontal="center" vertical="center" shrinkToFit="1"/>
    </xf>
    <xf numFmtId="0" fontId="43" fillId="8" borderId="7" xfId="2" applyFont="1" applyFill="1" applyBorder="1" applyAlignment="1">
      <alignment horizontal="center" vertical="center"/>
    </xf>
    <xf numFmtId="193" fontId="34" fillId="2" borderId="161" xfId="2" applyNumberFormat="1" applyFont="1" applyFill="1" applyBorder="1" applyAlignment="1">
      <alignment horizontal="center" vertical="center" shrinkToFit="1"/>
    </xf>
    <xf numFmtId="193" fontId="35" fillId="2" borderId="22" xfId="2" applyNumberFormat="1" applyFont="1" applyFill="1" applyBorder="1" applyAlignment="1">
      <alignment horizontal="center" vertical="center" shrinkToFit="1"/>
    </xf>
    <xf numFmtId="181" fontId="13" fillId="0" borderId="27" xfId="0" applyNumberFormat="1" applyFont="1" applyFill="1" applyBorder="1" applyAlignment="1" applyProtection="1">
      <alignment vertical="top" wrapText="1"/>
    </xf>
    <xf numFmtId="0" fontId="43" fillId="8" borderId="7" xfId="2" applyFont="1" applyFill="1" applyBorder="1" applyAlignment="1">
      <alignment vertical="center"/>
    </xf>
    <xf numFmtId="0" fontId="9" fillId="0" borderId="0" xfId="0" applyFont="1" applyAlignment="1" applyProtection="1">
      <alignment horizontal="left" vertical="center"/>
    </xf>
    <xf numFmtId="0" fontId="50" fillId="0" borderId="0" xfId="0" applyFont="1" applyAlignment="1" applyProtection="1">
      <alignment horizontal="left" vertical="center"/>
    </xf>
    <xf numFmtId="0" fontId="0" fillId="0" borderId="55" xfId="0" applyFont="1" applyFill="1" applyBorder="1" applyAlignment="1" applyProtection="1">
      <alignment horizontal="center" vertical="center"/>
      <protection locked="0"/>
    </xf>
    <xf numFmtId="0" fontId="0" fillId="0" borderId="32" xfId="0" applyFont="1" applyFill="1" applyBorder="1" applyAlignment="1" applyProtection="1">
      <alignment horizontal="center" vertical="center"/>
      <protection locked="0"/>
    </xf>
    <xf numFmtId="0" fontId="0" fillId="0" borderId="125" xfId="0" applyFont="1" applyFill="1" applyBorder="1" applyAlignment="1" applyProtection="1">
      <alignment horizontal="center" vertical="center"/>
      <protection locked="0"/>
    </xf>
    <xf numFmtId="0" fontId="0" fillId="0" borderId="22"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123" xfId="0" applyFont="1" applyFill="1" applyBorder="1" applyAlignment="1" applyProtection="1">
      <alignment horizontal="center" vertical="center"/>
      <protection locked="0"/>
    </xf>
    <xf numFmtId="0" fontId="21" fillId="0" borderId="0" xfId="0" applyFont="1">
      <alignment vertical="center"/>
    </xf>
    <xf numFmtId="0" fontId="53" fillId="0" borderId="150" xfId="0" applyFont="1" applyBorder="1" applyAlignment="1">
      <alignment horizontal="center" vertical="center"/>
    </xf>
    <xf numFmtId="0" fontId="4" fillId="0" borderId="0" xfId="0" applyFont="1" applyBorder="1" applyAlignment="1">
      <alignment horizontal="center" vertical="center" wrapText="1"/>
    </xf>
    <xf numFmtId="185" fontId="0" fillId="0" borderId="0" xfId="0" applyNumberFormat="1" applyBorder="1" applyAlignment="1" applyProtection="1">
      <alignment horizontal="right" vertical="center"/>
    </xf>
    <xf numFmtId="2" fontId="0" fillId="0" borderId="0" xfId="0" applyNumberFormat="1" applyBorder="1" applyAlignment="1">
      <alignment horizontal="right" vertical="center"/>
    </xf>
    <xf numFmtId="185" fontId="0" fillId="0" borderId="0" xfId="0" applyNumberFormat="1" applyBorder="1" applyAlignment="1">
      <alignment horizontal="right" vertical="center"/>
    </xf>
    <xf numFmtId="181" fontId="0" fillId="0" borderId="0" xfId="0" applyNumberFormat="1">
      <alignment vertical="center"/>
    </xf>
    <xf numFmtId="178" fontId="56" fillId="9" borderId="46" xfId="0" applyNumberFormat="1" applyFont="1" applyFill="1" applyBorder="1" applyAlignment="1">
      <alignment horizontal="center" vertical="center"/>
    </xf>
    <xf numFmtId="0" fontId="0" fillId="0" borderId="0" xfId="0" applyAlignment="1">
      <alignment vertical="center" wrapText="1"/>
    </xf>
    <xf numFmtId="0" fontId="0" fillId="5" borderId="189" xfId="0" applyFill="1" applyBorder="1" applyAlignment="1">
      <alignment horizontal="center" vertical="center" wrapText="1"/>
    </xf>
    <xf numFmtId="0" fontId="0" fillId="5" borderId="188" xfId="0" applyFill="1" applyBorder="1" applyAlignment="1">
      <alignment horizontal="center" vertical="center" wrapText="1"/>
    </xf>
    <xf numFmtId="0" fontId="0" fillId="5" borderId="190" xfId="0" applyFill="1" applyBorder="1" applyAlignment="1">
      <alignment horizontal="center" vertical="center" wrapText="1"/>
    </xf>
    <xf numFmtId="181" fontId="0" fillId="0" borderId="58" xfId="0" applyNumberFormat="1" applyBorder="1">
      <alignment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8" fillId="0" borderId="144" xfId="0" applyFont="1" applyBorder="1" applyAlignment="1">
      <alignment horizontal="center" vertical="center"/>
    </xf>
    <xf numFmtId="193" fontId="4" fillId="4" borderId="29" xfId="0" applyNumberFormat="1" applyFont="1" applyFill="1" applyBorder="1" applyAlignment="1">
      <alignment horizontal="center" vertical="center"/>
    </xf>
    <xf numFmtId="185" fontId="8" fillId="0" borderId="1" xfId="0" applyNumberFormat="1" applyFont="1" applyBorder="1" applyAlignment="1">
      <alignment horizontal="center" vertical="center"/>
    </xf>
    <xf numFmtId="185" fontId="8" fillId="0" borderId="144" xfId="0" applyNumberFormat="1" applyFont="1" applyBorder="1" applyAlignment="1">
      <alignment horizontal="center" vertical="center"/>
    </xf>
    <xf numFmtId="0" fontId="4" fillId="5" borderId="195" xfId="0" applyFont="1" applyFill="1" applyBorder="1" applyAlignment="1">
      <alignment horizontal="center" vertical="center" wrapText="1"/>
    </xf>
    <xf numFmtId="196" fontId="4" fillId="10" borderId="196" xfId="0" applyNumberFormat="1" applyFont="1" applyFill="1" applyBorder="1" applyAlignment="1" applyProtection="1">
      <alignment horizontal="center" vertical="center"/>
      <protection locked="0"/>
    </xf>
    <xf numFmtId="193" fontId="4" fillId="4" borderId="197" xfId="0" applyNumberFormat="1" applyFont="1" applyFill="1" applyBorder="1" applyAlignment="1">
      <alignment horizontal="center" vertical="center"/>
    </xf>
    <xf numFmtId="185" fontId="8" fillId="0" borderId="195" xfId="0" applyNumberFormat="1" applyFont="1" applyBorder="1" applyAlignment="1">
      <alignment horizontal="center" vertical="center"/>
    </xf>
    <xf numFmtId="185" fontId="8" fillId="0" borderId="198" xfId="0" applyNumberFormat="1" applyFont="1" applyBorder="1" applyAlignment="1">
      <alignment horizontal="center" vertical="center"/>
    </xf>
    <xf numFmtId="193" fontId="0" fillId="0" borderId="0" xfId="0" applyNumberFormat="1">
      <alignment vertical="center"/>
    </xf>
    <xf numFmtId="193" fontId="0" fillId="0" borderId="0" xfId="0" applyNumberFormat="1" applyAlignment="1">
      <alignment horizontal="center" vertical="center"/>
    </xf>
    <xf numFmtId="183" fontId="4" fillId="2" borderId="35" xfId="0" applyNumberFormat="1" applyFont="1" applyFill="1" applyBorder="1" applyAlignment="1" applyProtection="1">
      <alignment horizontal="right" vertical="center" shrinkToFit="1"/>
    </xf>
    <xf numFmtId="197" fontId="55" fillId="2" borderId="33" xfId="0" applyNumberFormat="1" applyFont="1" applyFill="1" applyBorder="1">
      <alignment vertical="center"/>
    </xf>
    <xf numFmtId="197" fontId="55" fillId="2" borderId="1" xfId="0" applyNumberFormat="1" applyFont="1" applyFill="1" applyBorder="1">
      <alignment vertical="center"/>
    </xf>
    <xf numFmtId="197" fontId="55" fillId="2" borderId="32" xfId="0" applyNumberFormat="1" applyFont="1" applyFill="1" applyBorder="1">
      <alignment vertical="center"/>
    </xf>
    <xf numFmtId="0" fontId="58" fillId="0" borderId="0" xfId="0" applyFont="1">
      <alignment vertical="center"/>
    </xf>
    <xf numFmtId="0" fontId="59" fillId="0" borderId="0" xfId="0" applyFont="1" applyAlignment="1">
      <alignment horizontal="center" wrapText="1"/>
    </xf>
    <xf numFmtId="0" fontId="58" fillId="0" borderId="1" xfId="0" applyFont="1" applyBorder="1" applyAlignment="1">
      <alignment horizontal="center" vertical="center"/>
    </xf>
    <xf numFmtId="0" fontId="58" fillId="0" borderId="0" xfId="0" applyFont="1" applyAlignment="1">
      <alignment horizontal="center" vertical="center" wrapText="1"/>
    </xf>
    <xf numFmtId="0" fontId="58" fillId="0" borderId="0" xfId="0" applyFont="1" applyAlignment="1">
      <alignment horizontal="center" vertical="center"/>
    </xf>
    <xf numFmtId="0" fontId="58" fillId="0" borderId="1" xfId="0" applyFont="1" applyBorder="1" applyAlignment="1">
      <alignment horizontal="center" vertical="center" wrapText="1"/>
    </xf>
    <xf numFmtId="0" fontId="60" fillId="0" borderId="1" xfId="0" applyFont="1" applyBorder="1" applyAlignment="1">
      <alignment horizontal="center" vertical="center"/>
    </xf>
    <xf numFmtId="0" fontId="58" fillId="11" borderId="1" xfId="0" applyFont="1" applyFill="1" applyBorder="1" applyAlignment="1">
      <alignment horizontal="center" vertical="center"/>
    </xf>
    <xf numFmtId="0" fontId="21" fillId="0" borderId="1" xfId="0" applyFont="1" applyBorder="1" applyAlignment="1" applyProtection="1">
      <alignment horizontal="center" vertical="center"/>
      <protection locked="0"/>
    </xf>
    <xf numFmtId="197" fontId="55" fillId="2" borderId="200" xfId="0" applyNumberFormat="1" applyFont="1" applyFill="1" applyBorder="1">
      <alignment vertical="center"/>
    </xf>
    <xf numFmtId="183" fontId="4" fillId="2" borderId="41" xfId="0" applyNumberFormat="1" applyFont="1" applyFill="1" applyBorder="1" applyAlignment="1" applyProtection="1">
      <alignment horizontal="right" vertical="center"/>
    </xf>
    <xf numFmtId="183" fontId="4" fillId="4" borderId="76" xfId="0" applyNumberFormat="1" applyFont="1" applyFill="1" applyBorder="1" applyAlignment="1" applyProtection="1">
      <alignment horizontal="right" vertical="center"/>
    </xf>
    <xf numFmtId="183" fontId="4" fillId="4" borderId="122" xfId="0" applyNumberFormat="1" applyFont="1" applyFill="1" applyBorder="1" applyAlignment="1" applyProtection="1">
      <alignment horizontal="right" vertical="center"/>
    </xf>
    <xf numFmtId="0" fontId="8" fillId="0" borderId="104" xfId="0" applyFont="1" applyFill="1" applyBorder="1" applyAlignment="1">
      <alignment horizontal="center" vertical="center" shrinkToFit="1"/>
    </xf>
    <xf numFmtId="0" fontId="7" fillId="0" borderId="35" xfId="0" applyFont="1" applyFill="1" applyBorder="1" applyAlignment="1" applyProtection="1">
      <alignment horizontal="center" vertical="center" wrapText="1"/>
    </xf>
    <xf numFmtId="0" fontId="7" fillId="0" borderId="86" xfId="0" applyFont="1" applyFill="1" applyBorder="1" applyAlignment="1" applyProtection="1">
      <alignment horizontal="center" vertical="center" wrapText="1"/>
    </xf>
    <xf numFmtId="183" fontId="4" fillId="2" borderId="204" xfId="0" applyNumberFormat="1" applyFont="1" applyFill="1" applyBorder="1" applyAlignment="1" applyProtection="1">
      <alignment horizontal="right" vertical="center"/>
    </xf>
    <xf numFmtId="0" fontId="58" fillId="12" borderId="1" xfId="0" applyFont="1" applyFill="1" applyBorder="1">
      <alignment vertical="center"/>
    </xf>
    <xf numFmtId="0" fontId="58" fillId="12" borderId="0" xfId="0" applyFont="1" applyFill="1" applyAlignment="1">
      <alignment horizontal="center" vertical="center"/>
    </xf>
    <xf numFmtId="0" fontId="60" fillId="0" borderId="1" xfId="0" applyFont="1" applyBorder="1" applyAlignment="1">
      <alignment horizontal="center" vertical="center" wrapText="1"/>
    </xf>
    <xf numFmtId="192" fontId="61" fillId="12" borderId="1" xfId="0" applyNumberFormat="1" applyFont="1" applyFill="1" applyBorder="1">
      <alignment vertical="center"/>
    </xf>
    <xf numFmtId="0" fontId="67" fillId="0" borderId="0" xfId="0" applyFont="1" applyAlignment="1">
      <alignment horizontal="center" vertical="center"/>
    </xf>
    <xf numFmtId="0" fontId="67" fillId="0" borderId="0" xfId="0" applyFont="1">
      <alignment vertical="center"/>
    </xf>
    <xf numFmtId="0" fontId="60" fillId="0" borderId="30" xfId="0" applyFont="1" applyBorder="1" applyAlignment="1">
      <alignment horizontal="center" vertical="center"/>
    </xf>
    <xf numFmtId="0" fontId="60" fillId="0" borderId="1" xfId="0" applyFont="1" applyBorder="1" applyAlignment="1" applyProtection="1">
      <alignment horizontal="center" vertical="center"/>
      <protection locked="0"/>
    </xf>
    <xf numFmtId="0" fontId="68" fillId="0" borderId="0" xfId="0" applyFont="1" applyFill="1">
      <alignment vertical="center"/>
    </xf>
    <xf numFmtId="0" fontId="71" fillId="0" borderId="8" xfId="0" applyFont="1" applyFill="1" applyBorder="1" applyAlignment="1">
      <alignment horizontal="center" vertical="center" wrapText="1"/>
    </xf>
    <xf numFmtId="0" fontId="74" fillId="12" borderId="205" xfId="0" applyFont="1" applyFill="1" applyBorder="1" applyAlignment="1">
      <alignment horizontal="left" vertical="center" shrinkToFit="1"/>
    </xf>
    <xf numFmtId="0" fontId="74" fillId="12" borderId="206" xfId="0" applyFont="1" applyFill="1" applyBorder="1" applyAlignment="1">
      <alignment horizontal="left" vertical="center" shrinkToFit="1"/>
    </xf>
    <xf numFmtId="0" fontId="74" fillId="12" borderId="207" xfId="0" applyFont="1" applyFill="1" applyBorder="1" applyAlignment="1">
      <alignment horizontal="left" vertical="center" shrinkToFit="1"/>
    </xf>
    <xf numFmtId="0" fontId="73" fillId="0" borderId="11" xfId="0" applyFont="1" applyFill="1" applyBorder="1" applyAlignment="1">
      <alignment horizontal="center" vertical="center" shrinkToFit="1"/>
    </xf>
    <xf numFmtId="0" fontId="73" fillId="0" borderId="10" xfId="0" applyFont="1" applyFill="1" applyBorder="1" applyAlignment="1">
      <alignment horizontal="center" vertical="center" shrinkToFit="1"/>
    </xf>
    <xf numFmtId="181" fontId="74" fillId="12" borderId="212" xfId="0" applyNumberFormat="1" applyFont="1" applyFill="1" applyBorder="1" applyAlignment="1">
      <alignment horizontal="right" vertical="center" shrinkToFit="1"/>
    </xf>
    <xf numFmtId="181" fontId="74" fillId="12" borderId="219" xfId="0" applyNumberFormat="1" applyFont="1" applyFill="1" applyBorder="1" applyAlignment="1">
      <alignment horizontal="right" vertical="center" shrinkToFit="1"/>
    </xf>
    <xf numFmtId="181" fontId="74" fillId="12" borderId="213" xfId="0" applyNumberFormat="1" applyFont="1" applyFill="1" applyBorder="1" applyAlignment="1">
      <alignment horizontal="right" vertical="center" shrinkToFit="1"/>
    </xf>
    <xf numFmtId="181" fontId="74" fillId="12" borderId="214" xfId="0" applyNumberFormat="1" applyFont="1" applyFill="1" applyBorder="1" applyAlignment="1">
      <alignment horizontal="right" vertical="center" shrinkToFit="1"/>
    </xf>
    <xf numFmtId="181" fontId="74" fillId="12" borderId="215" xfId="0" applyNumberFormat="1" applyFont="1" applyFill="1" applyBorder="1" applyAlignment="1">
      <alignment horizontal="right" vertical="center" shrinkToFit="1"/>
    </xf>
    <xf numFmtId="181" fontId="74" fillId="12" borderId="217" xfId="0" applyNumberFormat="1" applyFont="1" applyFill="1" applyBorder="1" applyAlignment="1">
      <alignment horizontal="right" vertical="center" shrinkToFit="1"/>
    </xf>
    <xf numFmtId="181" fontId="74" fillId="12" borderId="218" xfId="0" applyNumberFormat="1" applyFont="1" applyFill="1" applyBorder="1" applyAlignment="1">
      <alignment horizontal="right" vertical="center" shrinkToFit="1"/>
    </xf>
    <xf numFmtId="181" fontId="74" fillId="12" borderId="211" xfId="0" applyNumberFormat="1" applyFont="1" applyFill="1" applyBorder="1" applyAlignment="1">
      <alignment horizontal="right" vertical="center" shrinkToFit="1"/>
    </xf>
    <xf numFmtId="182" fontId="74" fillId="12" borderId="209" xfId="0" applyNumberFormat="1" applyFont="1" applyFill="1" applyBorder="1" applyAlignment="1">
      <alignment vertical="center" shrinkToFit="1"/>
    </xf>
    <xf numFmtId="182" fontId="74" fillId="12" borderId="210" xfId="0" applyNumberFormat="1" applyFont="1" applyFill="1" applyBorder="1" applyAlignment="1">
      <alignment vertical="center" shrinkToFit="1"/>
    </xf>
    <xf numFmtId="192" fontId="61" fillId="13" borderId="1" xfId="0" applyNumberFormat="1" applyFont="1" applyFill="1" applyBorder="1" applyProtection="1">
      <alignment vertical="center"/>
      <protection locked="0"/>
    </xf>
    <xf numFmtId="182" fontId="74" fillId="12" borderId="222" xfId="0" applyNumberFormat="1" applyFont="1" applyFill="1" applyBorder="1" applyAlignment="1">
      <alignment vertical="center" shrinkToFit="1"/>
    </xf>
    <xf numFmtId="182" fontId="74" fillId="12" borderId="223" xfId="0" applyNumberFormat="1" applyFont="1" applyFill="1" applyBorder="1" applyAlignment="1">
      <alignment vertical="center" shrinkToFit="1"/>
    </xf>
    <xf numFmtId="182" fontId="74" fillId="12" borderId="224" xfId="0" applyNumberFormat="1" applyFont="1" applyFill="1" applyBorder="1" applyAlignment="1">
      <alignment vertical="center" shrinkToFit="1"/>
    </xf>
    <xf numFmtId="0" fontId="68" fillId="0" borderId="1" xfId="0" applyFont="1" applyFill="1" applyBorder="1">
      <alignment vertical="center"/>
    </xf>
    <xf numFmtId="0" fontId="68" fillId="0" borderId="30" xfId="0" applyFont="1" applyFill="1" applyBorder="1">
      <alignment vertical="center"/>
    </xf>
    <xf numFmtId="179" fontId="68" fillId="0" borderId="30" xfId="0" applyNumberFormat="1" applyFont="1" applyFill="1" applyBorder="1">
      <alignment vertical="center"/>
    </xf>
    <xf numFmtId="179" fontId="68" fillId="0" borderId="1" xfId="0" applyNumberFormat="1" applyFont="1" applyFill="1" applyBorder="1">
      <alignment vertical="center"/>
    </xf>
    <xf numFmtId="0" fontId="68" fillId="0" borderId="1" xfId="0" applyFont="1" applyFill="1" applyBorder="1" applyAlignment="1">
      <alignment vertical="center" wrapText="1"/>
    </xf>
    <xf numFmtId="0" fontId="68" fillId="0" borderId="0" xfId="0" applyFont="1" applyFill="1" applyBorder="1">
      <alignment vertical="center"/>
    </xf>
    <xf numFmtId="0" fontId="68" fillId="0" borderId="67" xfId="0" applyFont="1" applyFill="1" applyBorder="1" applyAlignment="1">
      <alignment vertical="center" wrapText="1"/>
    </xf>
    <xf numFmtId="0" fontId="68" fillId="0" borderId="67" xfId="0" applyFont="1" applyFill="1" applyBorder="1">
      <alignment vertical="center"/>
    </xf>
    <xf numFmtId="0" fontId="59" fillId="0" borderId="1" xfId="0" applyFont="1" applyFill="1" applyBorder="1" applyAlignment="1">
      <alignment vertical="center" wrapText="1"/>
    </xf>
    <xf numFmtId="0" fontId="68" fillId="0" borderId="2" xfId="0" applyFont="1" applyFill="1" applyBorder="1" applyAlignment="1">
      <alignment vertical="center"/>
    </xf>
    <xf numFmtId="0" fontId="68" fillId="0" borderId="7" xfId="0" applyFont="1" applyFill="1" applyBorder="1" applyAlignment="1">
      <alignment vertical="center"/>
    </xf>
    <xf numFmtId="0" fontId="68" fillId="0" borderId="8" xfId="0" applyFont="1" applyFill="1" applyBorder="1" applyAlignment="1">
      <alignment vertical="center"/>
    </xf>
    <xf numFmtId="179" fontId="75" fillId="0" borderId="1" xfId="0" applyNumberFormat="1" applyFont="1" applyFill="1" applyBorder="1">
      <alignment vertical="center"/>
    </xf>
    <xf numFmtId="179" fontId="76" fillId="12" borderId="7" xfId="0" applyNumberFormat="1" applyFont="1" applyFill="1" applyBorder="1" applyAlignment="1">
      <alignment vertical="center" shrinkToFit="1"/>
    </xf>
    <xf numFmtId="179" fontId="72" fillId="12" borderId="8" xfId="0" applyNumberFormat="1" applyFont="1" applyFill="1" applyBorder="1" applyAlignment="1">
      <alignment vertical="center" shrinkToFit="1"/>
    </xf>
    <xf numFmtId="0" fontId="10" fillId="0" borderId="0" xfId="0" applyFont="1" applyAlignment="1">
      <alignment vertical="top" textRotation="255" wrapText="1"/>
    </xf>
    <xf numFmtId="0" fontId="13" fillId="0" borderId="0" xfId="0" applyFont="1" applyAlignment="1">
      <alignment vertical="center" textRotation="255" wrapText="1"/>
    </xf>
    <xf numFmtId="0" fontId="10" fillId="0" borderId="0" xfId="0" applyFont="1" applyAlignment="1">
      <alignment vertical="center" textRotation="255" wrapText="1"/>
    </xf>
    <xf numFmtId="0" fontId="0" fillId="0" borderId="0" xfId="0" applyAlignment="1">
      <alignment vertical="center" shrinkToFit="1"/>
    </xf>
    <xf numFmtId="199" fontId="31" fillId="0" borderId="0" xfId="0" applyNumberFormat="1" applyFont="1" applyAlignment="1">
      <alignment vertical="center" shrinkToFit="1"/>
    </xf>
    <xf numFmtId="0" fontId="31" fillId="0" borderId="0" xfId="0" applyFont="1" applyAlignment="1">
      <alignment vertical="center" shrinkToFit="1"/>
    </xf>
    <xf numFmtId="179" fontId="31" fillId="0" borderId="0" xfId="0" applyNumberFormat="1" applyFont="1" applyAlignment="1">
      <alignment vertical="center" shrinkToFit="1"/>
    </xf>
    <xf numFmtId="179" fontId="0" fillId="0" borderId="0" xfId="0" applyNumberFormat="1" applyAlignment="1">
      <alignment vertical="center" shrinkToFit="1"/>
    </xf>
    <xf numFmtId="0" fontId="13" fillId="0" borderId="0" xfId="0" applyFont="1">
      <alignment vertical="center"/>
    </xf>
    <xf numFmtId="0" fontId="77" fillId="0" borderId="0" xfId="0" applyFont="1">
      <alignment vertical="center"/>
    </xf>
    <xf numFmtId="0" fontId="0" fillId="0" borderId="0" xfId="0" applyAlignment="1">
      <alignment horizontal="center" vertical="center"/>
    </xf>
    <xf numFmtId="0" fontId="14" fillId="6" borderId="57" xfId="0" applyFont="1" applyFill="1" applyBorder="1" applyAlignment="1" applyProtection="1">
      <alignment horizontal="center" vertical="center" wrapText="1"/>
    </xf>
    <xf numFmtId="0" fontId="15" fillId="6" borderId="57" xfId="0" applyFont="1" applyFill="1" applyBorder="1" applyAlignment="1" applyProtection="1">
      <alignment vertical="center"/>
    </xf>
    <xf numFmtId="0" fontId="0" fillId="0" borderId="1" xfId="0"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32" xfId="0" applyBorder="1" applyAlignment="1" applyProtection="1">
      <alignment horizontal="center" vertical="center" wrapText="1"/>
    </xf>
    <xf numFmtId="0" fontId="8" fillId="0" borderId="0" xfId="0" applyFont="1" applyBorder="1" applyAlignment="1" applyProtection="1">
      <alignment horizontal="center" vertical="center"/>
    </xf>
    <xf numFmtId="0" fontId="0" fillId="5" borderId="226" xfId="0" applyFill="1" applyBorder="1" applyAlignment="1">
      <alignment horizontal="center" vertical="center" wrapText="1"/>
    </xf>
    <xf numFmtId="0" fontId="8" fillId="0" borderId="2" xfId="0" applyFont="1" applyBorder="1" applyAlignment="1">
      <alignment horizontal="center" vertical="center"/>
    </xf>
    <xf numFmtId="185" fontId="8" fillId="0" borderId="2" xfId="0" applyNumberFormat="1" applyFont="1" applyBorder="1" applyAlignment="1">
      <alignment horizontal="center" vertical="center"/>
    </xf>
    <xf numFmtId="185" fontId="8" fillId="0" borderId="186" xfId="0" applyNumberFormat="1" applyFont="1" applyBorder="1" applyAlignment="1">
      <alignment horizontal="center" vertical="center"/>
    </xf>
    <xf numFmtId="181" fontId="4" fillId="2" borderId="200" xfId="0" applyNumberFormat="1" applyFont="1" applyFill="1" applyBorder="1" applyAlignment="1" applyProtection="1">
      <alignment vertical="center"/>
    </xf>
    <xf numFmtId="181" fontId="4" fillId="2" borderId="22" xfId="0" applyNumberFormat="1" applyFont="1" applyFill="1" applyBorder="1" applyAlignment="1" applyProtection="1">
      <alignment vertical="center"/>
    </xf>
    <xf numFmtId="197" fontId="4" fillId="2" borderId="33" xfId="0" applyNumberFormat="1" applyFont="1" applyFill="1" applyBorder="1" applyAlignment="1" applyProtection="1">
      <alignment vertical="center"/>
    </xf>
    <xf numFmtId="197" fontId="4" fillId="2" borderId="1" xfId="0" applyNumberFormat="1" applyFont="1" applyFill="1" applyBorder="1" applyAlignment="1" applyProtection="1">
      <alignment vertical="center"/>
    </xf>
    <xf numFmtId="197" fontId="55" fillId="2" borderId="22" xfId="0" applyNumberFormat="1" applyFont="1" applyFill="1" applyBorder="1">
      <alignment vertical="center"/>
    </xf>
    <xf numFmtId="0" fontId="53" fillId="0" borderId="151" xfId="0" applyFont="1" applyBorder="1" applyAlignment="1">
      <alignment horizontal="center" vertical="center"/>
    </xf>
    <xf numFmtId="181" fontId="4" fillId="2" borderId="55" xfId="0" applyNumberFormat="1" applyFont="1" applyFill="1" applyBorder="1" applyAlignment="1" applyProtection="1">
      <alignment vertical="center"/>
    </xf>
    <xf numFmtId="197" fontId="4" fillId="2" borderId="32" xfId="0" applyNumberFormat="1" applyFont="1" applyFill="1" applyBorder="1" applyAlignment="1" applyProtection="1">
      <alignment vertical="center"/>
    </xf>
    <xf numFmtId="197" fontId="55" fillId="2" borderId="55" xfId="0" applyNumberFormat="1" applyFont="1" applyFill="1" applyBorder="1">
      <alignment vertical="center"/>
    </xf>
    <xf numFmtId="0" fontId="53" fillId="0" borderId="52" xfId="0" applyFont="1" applyBorder="1" applyAlignment="1">
      <alignment horizontal="center" vertical="center"/>
    </xf>
    <xf numFmtId="181" fontId="4" fillId="2" borderId="227" xfId="0" applyNumberFormat="1" applyFont="1" applyFill="1" applyBorder="1" applyAlignment="1" applyProtection="1">
      <alignment vertical="center"/>
    </xf>
    <xf numFmtId="181" fontId="4" fillId="2" borderId="228" xfId="0" applyNumberFormat="1" applyFont="1" applyFill="1" applyBorder="1" applyAlignment="1" applyProtection="1">
      <alignment vertical="center"/>
    </xf>
    <xf numFmtId="193" fontId="35" fillId="2" borderId="55" xfId="2" applyNumberFormat="1" applyFont="1" applyFill="1" applyBorder="1" applyAlignment="1">
      <alignment horizontal="center" vertical="center" shrinkToFit="1"/>
    </xf>
    <xf numFmtId="193" fontId="35" fillId="2" borderId="157" xfId="2" applyNumberFormat="1" applyFont="1" applyFill="1" applyBorder="1" applyAlignment="1">
      <alignment horizontal="center" vertical="center" shrinkToFit="1"/>
    </xf>
    <xf numFmtId="193" fontId="35" fillId="2" borderId="159" xfId="2" applyNumberFormat="1" applyFont="1" applyFill="1" applyBorder="1" applyAlignment="1">
      <alignment horizontal="center" vertical="center" shrinkToFit="1"/>
    </xf>
    <xf numFmtId="193" fontId="35" fillId="2" borderId="99" xfId="2" applyNumberFormat="1" applyFont="1" applyFill="1" applyBorder="1" applyAlignment="1">
      <alignment horizontal="center" vertical="center" shrinkToFit="1"/>
    </xf>
    <xf numFmtId="0" fontId="43" fillId="8" borderId="116" xfId="2" applyFont="1" applyFill="1" applyBorder="1" applyAlignment="1">
      <alignment horizontal="center" vertical="center"/>
    </xf>
    <xf numFmtId="0" fontId="33" fillId="0" borderId="16" xfId="2" applyFont="1" applyBorder="1">
      <alignment vertical="center"/>
    </xf>
    <xf numFmtId="0" fontId="33" fillId="0" borderId="0" xfId="2" applyFont="1" applyAlignment="1">
      <alignment vertical="center"/>
    </xf>
    <xf numFmtId="0" fontId="33" fillId="0" borderId="16" xfId="2" applyFont="1" applyBorder="1" applyAlignment="1">
      <alignment vertical="center"/>
    </xf>
    <xf numFmtId="179" fontId="0" fillId="0" borderId="2" xfId="0" applyNumberFormat="1" applyFont="1" applyFill="1" applyBorder="1">
      <alignment vertical="center"/>
    </xf>
    <xf numFmtId="0" fontId="6" fillId="0" borderId="1" xfId="0" applyFont="1" applyFill="1" applyBorder="1" applyAlignment="1">
      <alignment horizontal="center" vertical="center" shrinkToFit="1"/>
    </xf>
    <xf numFmtId="0" fontId="0" fillId="0" borderId="1" xfId="0" applyNumberFormat="1" applyFont="1" applyFill="1" applyBorder="1">
      <alignment vertical="center"/>
    </xf>
    <xf numFmtId="0" fontId="31" fillId="0" borderId="0" xfId="0" applyFont="1">
      <alignment vertical="center"/>
    </xf>
    <xf numFmtId="0" fontId="58" fillId="10" borderId="0" xfId="0" applyFont="1" applyFill="1">
      <alignment vertical="center"/>
    </xf>
    <xf numFmtId="0" fontId="0" fillId="0" borderId="1" xfId="0" applyBorder="1" applyAlignment="1">
      <alignment vertical="center" wrapText="1"/>
    </xf>
    <xf numFmtId="0" fontId="8" fillId="0" borderId="108" xfId="0" applyFont="1" applyBorder="1" applyAlignment="1" applyProtection="1">
      <alignment horizontal="center" vertical="center" wrapText="1"/>
    </xf>
    <xf numFmtId="0" fontId="0" fillId="0" borderId="229" xfId="0" applyBorder="1" applyProtection="1">
      <alignment vertical="center"/>
    </xf>
    <xf numFmtId="0" fontId="10" fillId="0" borderId="42" xfId="0" applyFont="1" applyBorder="1" applyAlignment="1">
      <alignment horizontal="center" vertical="center" wrapText="1"/>
    </xf>
    <xf numFmtId="197" fontId="55" fillId="2" borderId="150" xfId="0" applyNumberFormat="1" applyFont="1" applyFill="1" applyBorder="1">
      <alignment vertical="center"/>
    </xf>
    <xf numFmtId="197" fontId="55" fillId="2" borderId="151" xfId="0" applyNumberFormat="1" applyFont="1" applyFill="1" applyBorder="1">
      <alignment vertical="center"/>
    </xf>
    <xf numFmtId="197" fontId="55" fillId="2" borderId="52" xfId="0" applyNumberFormat="1" applyFont="1" applyFill="1" applyBorder="1">
      <alignment vertical="center"/>
    </xf>
    <xf numFmtId="181" fontId="4" fillId="2" borderId="47" xfId="0" applyNumberFormat="1" applyFont="1" applyFill="1" applyBorder="1" applyAlignment="1" applyProtection="1">
      <alignment vertical="center"/>
    </xf>
    <xf numFmtId="197" fontId="55" fillId="2" borderId="61" xfId="0" applyNumberFormat="1" applyFont="1" applyFill="1" applyBorder="1">
      <alignment vertical="center"/>
    </xf>
    <xf numFmtId="197" fontId="55" fillId="2" borderId="24" xfId="0" applyNumberFormat="1" applyFont="1" applyFill="1" applyBorder="1">
      <alignment vertical="center"/>
    </xf>
    <xf numFmtId="197" fontId="55" fillId="2" borderId="99" xfId="0" applyNumberFormat="1" applyFont="1" applyFill="1" applyBorder="1">
      <alignment vertical="center"/>
    </xf>
    <xf numFmtId="197" fontId="4" fillId="2" borderId="37" xfId="0" applyNumberFormat="1" applyFont="1" applyFill="1" applyBorder="1" applyAlignment="1" applyProtection="1">
      <alignment vertical="center"/>
    </xf>
    <xf numFmtId="0" fontId="80" fillId="0" borderId="0" xfId="0" applyFont="1" applyAlignment="1">
      <alignment horizontal="left" vertical="center"/>
    </xf>
    <xf numFmtId="0" fontId="79" fillId="14" borderId="0" xfId="0" applyFont="1" applyFill="1" applyAlignment="1">
      <alignment vertical="top" textRotation="255" wrapText="1"/>
    </xf>
    <xf numFmtId="179" fontId="0" fillId="14" borderId="0" xfId="0" applyNumberFormat="1" applyFill="1" applyAlignment="1">
      <alignment vertical="center" shrinkToFit="1"/>
    </xf>
    <xf numFmtId="0" fontId="6" fillId="5" borderId="1" xfId="0" applyFont="1" applyFill="1" applyBorder="1" applyAlignment="1">
      <alignment horizontal="center" vertical="center" wrapText="1"/>
    </xf>
    <xf numFmtId="195" fontId="8" fillId="2" borderId="19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21" fillId="0" borderId="1" xfId="0" applyFont="1" applyBorder="1" applyAlignment="1">
      <alignment horizontal="center" vertical="center" wrapText="1"/>
    </xf>
    <xf numFmtId="197" fontId="0" fillId="15" borderId="1" xfId="0" applyNumberFormat="1" applyFill="1" applyBorder="1">
      <alignment vertical="center"/>
    </xf>
    <xf numFmtId="197" fontId="21" fillId="0" borderId="0" xfId="0" applyNumberFormat="1" applyFont="1" applyAlignment="1">
      <alignment horizontal="center" vertical="center"/>
    </xf>
    <xf numFmtId="0" fontId="0" fillId="0" borderId="0" xfId="0" applyFill="1" applyBorder="1" applyAlignment="1">
      <alignment horizontal="center" vertical="center"/>
    </xf>
    <xf numFmtId="197" fontId="0" fillId="0" borderId="0" xfId="0" applyNumberFormat="1" applyFill="1" applyBorder="1">
      <alignment vertical="center"/>
    </xf>
    <xf numFmtId="197" fontId="21" fillId="0" borderId="0" xfId="0" applyNumberFormat="1" applyFont="1" applyFill="1" applyAlignment="1">
      <alignment horizontal="center" vertical="center"/>
    </xf>
    <xf numFmtId="0" fontId="21" fillId="0" borderId="0" xfId="0" applyFont="1" applyFill="1">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5" borderId="1" xfId="0" applyFill="1" applyBorder="1">
      <alignment vertical="center"/>
    </xf>
    <xf numFmtId="0" fontId="0" fillId="16" borderId="1" xfId="0" applyFill="1" applyBorder="1">
      <alignment vertical="center"/>
    </xf>
    <xf numFmtId="0" fontId="0" fillId="9" borderId="1" xfId="0" applyFill="1" applyBorder="1">
      <alignment vertical="center"/>
    </xf>
    <xf numFmtId="0" fontId="0" fillId="11" borderId="1" xfId="0" applyFill="1" applyBorder="1">
      <alignment vertical="center"/>
    </xf>
    <xf numFmtId="0" fontId="0" fillId="17" borderId="1" xfId="0" applyFill="1" applyBorder="1">
      <alignment vertical="center"/>
    </xf>
    <xf numFmtId="178" fontId="4" fillId="0" borderId="37" xfId="0" applyNumberFormat="1" applyFont="1" applyFill="1" applyBorder="1" applyAlignment="1" applyProtection="1">
      <alignment horizontal="center" vertical="center"/>
      <protection locked="0"/>
    </xf>
    <xf numFmtId="178" fontId="4" fillId="0" borderId="11" xfId="0" applyNumberFormat="1" applyFont="1" applyFill="1" applyBorder="1" applyAlignment="1" applyProtection="1">
      <alignment horizontal="center" vertical="center"/>
      <protection locked="0"/>
    </xf>
    <xf numFmtId="178" fontId="4" fillId="0" borderId="2" xfId="0" applyNumberFormat="1" applyFont="1" applyFill="1" applyBorder="1" applyAlignment="1" applyProtection="1">
      <alignment horizontal="center" vertical="center"/>
      <protection locked="0"/>
    </xf>
    <xf numFmtId="178" fontId="4" fillId="0" borderId="32" xfId="0" applyNumberFormat="1" applyFont="1" applyFill="1" applyBorder="1" applyAlignment="1" applyProtection="1">
      <alignment horizontal="center" vertical="center"/>
      <protection locked="0"/>
    </xf>
    <xf numFmtId="0" fontId="8" fillId="0" borderId="0" xfId="0" applyFont="1">
      <alignment vertical="center"/>
    </xf>
    <xf numFmtId="0" fontId="10" fillId="0" borderId="0" xfId="0" applyFont="1" applyAlignment="1">
      <alignment horizontal="left" vertical="center" wrapText="1"/>
    </xf>
    <xf numFmtId="0" fontId="0" fillId="2" borderId="0" xfId="0" applyFill="1" applyProtection="1">
      <alignment vertical="center"/>
    </xf>
    <xf numFmtId="187" fontId="4" fillId="2" borderId="35" xfId="0" applyNumberFormat="1" applyFont="1" applyFill="1" applyBorder="1" applyAlignment="1" applyProtection="1">
      <alignment horizontal="center" vertical="center"/>
    </xf>
    <xf numFmtId="182" fontId="4" fillId="2" borderId="7" xfId="1" applyNumberFormat="1" applyFont="1" applyFill="1" applyBorder="1" applyAlignment="1" applyProtection="1">
      <alignment horizontal="right" vertical="center"/>
    </xf>
    <xf numFmtId="194" fontId="4" fillId="2" borderId="144" xfId="0" applyNumberFormat="1" applyFont="1" applyFill="1" applyBorder="1" applyAlignment="1">
      <alignment horizontal="center" vertical="center"/>
    </xf>
    <xf numFmtId="182" fontId="4" fillId="2" borderId="0" xfId="0" applyNumberFormat="1" applyFont="1" applyFill="1" applyBorder="1" applyAlignment="1" applyProtection="1">
      <alignment horizontal="right" vertical="center"/>
    </xf>
    <xf numFmtId="182" fontId="4" fillId="2" borderId="201" xfId="0" applyNumberFormat="1" applyFont="1" applyFill="1" applyBorder="1" applyAlignment="1">
      <alignment horizontal="center" vertical="center"/>
    </xf>
    <xf numFmtId="182" fontId="4" fillId="2" borderId="183" xfId="1" applyNumberFormat="1" applyFont="1" applyFill="1" applyBorder="1" applyAlignment="1" applyProtection="1">
      <alignment horizontal="right" vertical="center"/>
    </xf>
    <xf numFmtId="182" fontId="4" fillId="2" borderId="202" xfId="0" applyNumberFormat="1" applyFont="1" applyFill="1" applyBorder="1" applyAlignment="1">
      <alignment horizontal="center" vertical="center"/>
    </xf>
    <xf numFmtId="182" fontId="4" fillId="2" borderId="203" xfId="0" applyNumberFormat="1" applyFont="1" applyFill="1" applyBorder="1" applyAlignment="1">
      <alignment horizontal="center" vertical="center"/>
    </xf>
    <xf numFmtId="194" fontId="4" fillId="2" borderId="167" xfId="0" applyNumberFormat="1" applyFont="1" applyFill="1" applyBorder="1" applyAlignment="1">
      <alignment horizontal="center" vertical="center"/>
    </xf>
    <xf numFmtId="193" fontId="35" fillId="2" borderId="118" xfId="2" applyNumberFormat="1" applyFont="1" applyFill="1" applyBorder="1" applyAlignment="1">
      <alignment horizontal="center" vertical="center" shrinkToFit="1"/>
    </xf>
    <xf numFmtId="193" fontId="35" fillId="2" borderId="119" xfId="2" applyNumberFormat="1" applyFont="1" applyFill="1" applyBorder="1" applyAlignment="1">
      <alignment horizontal="center" vertical="center" shrinkToFit="1"/>
    </xf>
    <xf numFmtId="193" fontId="35" fillId="2" borderId="152" xfId="2" applyNumberFormat="1" applyFont="1" applyFill="1" applyBorder="1" applyAlignment="1">
      <alignment horizontal="center" vertical="center" shrinkToFit="1"/>
    </xf>
    <xf numFmtId="193" fontId="35" fillId="2" borderId="69" xfId="2" applyNumberFormat="1" applyFont="1" applyFill="1" applyBorder="1" applyAlignment="1">
      <alignment horizontal="center" vertical="center" shrinkToFit="1"/>
    </xf>
    <xf numFmtId="193" fontId="35" fillId="2" borderId="176" xfId="2" applyNumberFormat="1" applyFont="1" applyFill="1" applyBorder="1" applyAlignment="1">
      <alignment horizontal="center" vertical="center" shrinkToFit="1"/>
    </xf>
    <xf numFmtId="193" fontId="35" fillId="2" borderId="71" xfId="2" applyNumberFormat="1" applyFont="1" applyFill="1" applyBorder="1" applyAlignment="1">
      <alignment horizontal="center" vertical="center" shrinkToFit="1"/>
    </xf>
    <xf numFmtId="193" fontId="35" fillId="2" borderId="171" xfId="2" applyNumberFormat="1" applyFont="1" applyFill="1" applyBorder="1" applyAlignment="1">
      <alignment horizontal="center" vertical="center" shrinkToFit="1"/>
    </xf>
    <xf numFmtId="193" fontId="35" fillId="2" borderId="177" xfId="2" applyNumberFormat="1" applyFont="1" applyFill="1" applyBorder="1" applyAlignment="1">
      <alignment horizontal="center" vertical="center" shrinkToFit="1"/>
    </xf>
    <xf numFmtId="193" fontId="35" fillId="2" borderId="172" xfId="2" applyNumberFormat="1" applyFont="1" applyFill="1" applyBorder="1" applyAlignment="1">
      <alignment horizontal="center" vertical="center" shrinkToFit="1"/>
    </xf>
    <xf numFmtId="0" fontId="43" fillId="8" borderId="23" xfId="2" applyFont="1" applyFill="1" applyBorder="1" applyAlignment="1">
      <alignment horizontal="center" vertical="center" shrinkToFit="1"/>
    </xf>
    <xf numFmtId="0" fontId="43" fillId="8" borderId="58" xfId="2" applyFont="1" applyFill="1" applyBorder="1" applyAlignment="1">
      <alignment horizontal="center" vertical="center" shrinkToFit="1"/>
    </xf>
    <xf numFmtId="193" fontId="35" fillId="2" borderId="173" xfId="2" applyNumberFormat="1" applyFont="1" applyFill="1" applyBorder="1" applyAlignment="1">
      <alignment horizontal="center" vertical="center" shrinkToFit="1"/>
    </xf>
    <xf numFmtId="193" fontId="35" fillId="2" borderId="174" xfId="2" applyNumberFormat="1" applyFont="1" applyFill="1" applyBorder="1" applyAlignment="1">
      <alignment horizontal="center" vertical="center" shrinkToFit="1"/>
    </xf>
    <xf numFmtId="0" fontId="43" fillId="8" borderId="2" xfId="2" applyFont="1" applyFill="1" applyBorder="1" applyAlignment="1">
      <alignment horizontal="center" vertical="center" shrinkToFit="1"/>
    </xf>
    <xf numFmtId="0" fontId="43" fillId="8" borderId="8" xfId="2" applyFont="1" applyFill="1" applyBorder="1" applyAlignment="1">
      <alignment horizontal="center" vertical="center" shrinkToFit="1"/>
    </xf>
    <xf numFmtId="193" fontId="35" fillId="2" borderId="175" xfId="2" applyNumberFormat="1" applyFont="1" applyFill="1" applyBorder="1" applyAlignment="1">
      <alignment horizontal="center" vertical="center" shrinkToFit="1"/>
    </xf>
    <xf numFmtId="0" fontId="43" fillId="8" borderId="7" xfId="2" applyFont="1" applyFill="1" applyBorder="1" applyAlignment="1">
      <alignment horizontal="center" vertical="center" shrinkToFit="1"/>
    </xf>
    <xf numFmtId="193" fontId="35" fillId="2" borderId="117" xfId="2" applyNumberFormat="1" applyFont="1" applyFill="1" applyBorder="1" applyAlignment="1">
      <alignment horizontal="center" vertical="center" shrinkToFit="1"/>
    </xf>
    <xf numFmtId="193" fontId="35" fillId="2" borderId="22" xfId="2" applyNumberFormat="1" applyFont="1" applyFill="1" applyBorder="1" applyAlignment="1">
      <alignment horizontal="center" vertical="center" shrinkToFit="1"/>
    </xf>
    <xf numFmtId="193" fontId="35" fillId="2" borderId="23" xfId="2" applyNumberFormat="1" applyFont="1" applyFill="1" applyBorder="1" applyAlignment="1">
      <alignment horizontal="center" vertical="center" shrinkToFit="1"/>
    </xf>
    <xf numFmtId="0" fontId="43" fillId="8" borderId="153" xfId="2" applyFont="1" applyFill="1" applyBorder="1" applyAlignment="1">
      <alignment horizontal="center" vertical="center" wrapText="1" shrinkToFit="1"/>
    </xf>
    <xf numFmtId="0" fontId="43" fillId="8" borderId="154" xfId="2" applyFont="1" applyFill="1" applyBorder="1" applyAlignment="1">
      <alignment horizontal="center" vertical="center" wrapText="1" shrinkToFit="1"/>
    </xf>
    <xf numFmtId="0" fontId="44" fillId="8" borderId="1" xfId="2" applyFont="1" applyFill="1" applyBorder="1" applyAlignment="1">
      <alignment horizontal="center" vertical="center" shrinkToFit="1"/>
    </xf>
    <xf numFmtId="0" fontId="44" fillId="8" borderId="32" xfId="2" applyFont="1" applyFill="1" applyBorder="1" applyAlignment="1">
      <alignment horizontal="center" vertical="center" shrinkToFit="1"/>
    </xf>
    <xf numFmtId="0" fontId="44" fillId="8" borderId="12" xfId="2" applyFont="1" applyFill="1" applyBorder="1" applyAlignment="1">
      <alignment horizontal="center" vertical="center" wrapText="1" shrinkToFit="1"/>
    </xf>
    <xf numFmtId="0" fontId="44" fillId="8" borderId="31" xfId="2" applyFont="1" applyFill="1" applyBorder="1" applyAlignment="1">
      <alignment horizontal="center" vertical="center" wrapText="1" shrinkToFit="1"/>
    </xf>
    <xf numFmtId="0" fontId="44" fillId="8" borderId="15" xfId="2" applyFont="1" applyFill="1" applyBorder="1" applyAlignment="1">
      <alignment horizontal="center" vertical="center" wrapText="1" shrinkToFit="1"/>
    </xf>
    <xf numFmtId="0" fontId="0" fillId="0" borderId="111"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12" xfId="0" applyFont="1" applyFill="1" applyBorder="1" applyAlignment="1">
      <alignment horizontal="center" vertical="center"/>
    </xf>
    <xf numFmtId="0" fontId="43" fillId="8" borderId="85" xfId="2" applyFont="1" applyFill="1" applyBorder="1" applyAlignment="1">
      <alignment horizontal="center" vertical="center" shrinkToFit="1"/>
    </xf>
    <xf numFmtId="0" fontId="43" fillId="8" borderId="59" xfId="2" applyFont="1" applyFill="1" applyBorder="1" applyAlignment="1">
      <alignment horizontal="center" vertical="center" shrinkToFit="1"/>
    </xf>
    <xf numFmtId="0" fontId="43" fillId="8" borderId="16" xfId="2" applyFont="1" applyFill="1" applyBorder="1" applyAlignment="1">
      <alignment horizontal="center" vertical="center" shrinkToFit="1"/>
    </xf>
    <xf numFmtId="0" fontId="43" fillId="8" borderId="86" xfId="2" applyFont="1" applyFill="1" applyBorder="1" applyAlignment="1">
      <alignment horizontal="center" vertical="center" shrinkToFit="1"/>
    </xf>
    <xf numFmtId="0" fontId="44" fillId="8" borderId="22" xfId="2" applyFont="1" applyFill="1" applyBorder="1" applyAlignment="1">
      <alignment horizontal="center" vertical="center" wrapText="1" shrinkToFit="1"/>
    </xf>
    <xf numFmtId="0" fontId="44" fillId="8" borderId="24" xfId="2" applyFont="1" applyFill="1" applyBorder="1" applyAlignment="1">
      <alignment horizontal="center" vertical="center" shrinkToFit="1"/>
    </xf>
    <xf numFmtId="0" fontId="0" fillId="0" borderId="2"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0" xfId="0" applyAlignment="1">
      <alignment horizontal="center" vertical="center"/>
    </xf>
    <xf numFmtId="0" fontId="0" fillId="0" borderId="1" xfId="0" applyFont="1" applyFill="1" applyBorder="1" applyAlignment="1">
      <alignment horizontal="center" vertical="center"/>
    </xf>
    <xf numFmtId="0" fontId="0" fillId="0" borderId="85" xfId="0" applyFont="1" applyFill="1" applyBorder="1" applyAlignment="1">
      <alignment horizontal="center" vertical="center"/>
    </xf>
    <xf numFmtId="0" fontId="33" fillId="0" borderId="24" xfId="2" applyFont="1" applyBorder="1" applyAlignment="1">
      <alignment horizontal="center" vertical="center"/>
    </xf>
    <xf numFmtId="193" fontId="35" fillId="2" borderId="24" xfId="2" applyNumberFormat="1" applyFont="1" applyFill="1" applyBorder="1" applyAlignment="1">
      <alignment horizontal="center" vertical="center" shrinkToFit="1"/>
    </xf>
    <xf numFmtId="193" fontId="35" fillId="2" borderId="59" xfId="2" applyNumberFormat="1" applyFont="1" applyFill="1" applyBorder="1" applyAlignment="1">
      <alignment horizontal="center" vertical="center" shrinkToFit="1"/>
    </xf>
    <xf numFmtId="0" fontId="33" fillId="0" borderId="142" xfId="2" applyFont="1" applyBorder="1" applyAlignment="1">
      <alignment horizontal="center" vertical="center"/>
    </xf>
    <xf numFmtId="193" fontId="35" fillId="2" borderId="142" xfId="2" applyNumberFormat="1" applyFont="1" applyFill="1" applyBorder="1" applyAlignment="1">
      <alignment horizontal="center" vertical="center" shrinkToFit="1"/>
    </xf>
    <xf numFmtId="193" fontId="35" fillId="2" borderId="143" xfId="2" applyNumberFormat="1" applyFont="1" applyFill="1" applyBorder="1" applyAlignment="1">
      <alignment horizontal="center" vertical="center" shrinkToFit="1"/>
    </xf>
    <xf numFmtId="0" fontId="33" fillId="0" borderId="117" xfId="2" applyFont="1" applyBorder="1" applyAlignment="1">
      <alignment horizontal="center" vertical="center"/>
    </xf>
    <xf numFmtId="0" fontId="43" fillId="8" borderId="23" xfId="2" applyFont="1" applyFill="1" applyBorder="1" applyAlignment="1">
      <alignment horizontal="center" vertical="center" wrapText="1" shrinkToFit="1"/>
    </xf>
    <xf numFmtId="0" fontId="43" fillId="8" borderId="58" xfId="2" applyFont="1" applyFill="1" applyBorder="1" applyAlignment="1">
      <alignment horizontal="center" vertical="center" wrapText="1" shrinkToFit="1"/>
    </xf>
    <xf numFmtId="0" fontId="43" fillId="8" borderId="46" xfId="2" applyFont="1" applyFill="1" applyBorder="1" applyAlignment="1">
      <alignment horizontal="center" vertical="center" wrapText="1" shrinkToFit="1"/>
    </xf>
    <xf numFmtId="0" fontId="43" fillId="8" borderId="0" xfId="2" applyFont="1" applyFill="1" applyBorder="1" applyAlignment="1">
      <alignment horizontal="center" vertical="center" wrapText="1" shrinkToFit="1"/>
    </xf>
    <xf numFmtId="0" fontId="43" fillId="8" borderId="59" xfId="2" applyFont="1" applyFill="1" applyBorder="1" applyAlignment="1">
      <alignment horizontal="center" vertical="center" wrapText="1" shrinkToFit="1"/>
    </xf>
    <xf numFmtId="0" fontId="43" fillId="8" borderId="16" xfId="2" applyFont="1" applyFill="1" applyBorder="1" applyAlignment="1">
      <alignment horizontal="center" vertical="center" wrapText="1" shrinkToFit="1"/>
    </xf>
    <xf numFmtId="0" fontId="43" fillId="8" borderId="22" xfId="2" applyFont="1" applyFill="1" applyBorder="1" applyAlignment="1">
      <alignment horizontal="center" vertical="center" wrapText="1" shrinkToFit="1"/>
    </xf>
    <xf numFmtId="0" fontId="43" fillId="8" borderId="24" xfId="2" applyFont="1" applyFill="1" applyBorder="1" applyAlignment="1">
      <alignment horizontal="center" vertical="center" wrapText="1" shrinkToFit="1"/>
    </xf>
    <xf numFmtId="0" fontId="43" fillId="8" borderId="55" xfId="2" applyFont="1" applyFill="1" applyBorder="1" applyAlignment="1">
      <alignment horizontal="center" vertical="center" shrinkToFit="1"/>
    </xf>
    <xf numFmtId="0" fontId="43" fillId="8" borderId="99" xfId="2" applyFont="1" applyFill="1" applyBorder="1" applyAlignment="1">
      <alignment horizontal="center" vertical="center" shrinkToFit="1"/>
    </xf>
    <xf numFmtId="0" fontId="33" fillId="2" borderId="16" xfId="2" applyFont="1" applyFill="1" applyBorder="1" applyAlignment="1">
      <alignment horizontal="center" vertical="center"/>
    </xf>
    <xf numFmtId="0" fontId="49" fillId="0" borderId="0" xfId="2" applyFont="1" applyAlignment="1">
      <alignment horizontal="center" vertical="center"/>
    </xf>
    <xf numFmtId="0" fontId="43" fillId="0" borderId="0" xfId="2" applyFont="1" applyFill="1" applyAlignment="1">
      <alignment horizontal="left" vertical="center" wrapText="1"/>
    </xf>
    <xf numFmtId="0" fontId="43" fillId="8" borderId="7" xfId="2" applyFont="1" applyFill="1" applyBorder="1" applyAlignment="1">
      <alignment horizontal="center" vertical="center"/>
    </xf>
    <xf numFmtId="0" fontId="33" fillId="0" borderId="75" xfId="2" applyFont="1" applyBorder="1" applyAlignment="1">
      <alignment horizontal="center" vertical="center"/>
    </xf>
    <xf numFmtId="0" fontId="43" fillId="8" borderId="23" xfId="2" applyFont="1" applyFill="1" applyBorder="1" applyAlignment="1">
      <alignment horizontal="center" vertical="center"/>
    </xf>
    <xf numFmtId="0" fontId="43" fillId="8" borderId="85" xfId="2" applyFont="1" applyFill="1" applyBorder="1" applyAlignment="1">
      <alignment horizontal="center" vertical="center"/>
    </xf>
    <xf numFmtId="0" fontId="43" fillId="8" borderId="46" xfId="2" applyFont="1" applyFill="1" applyBorder="1" applyAlignment="1">
      <alignment horizontal="center" vertical="center"/>
    </xf>
    <xf numFmtId="0" fontId="43" fillId="8" borderId="57" xfId="2" applyFont="1" applyFill="1" applyBorder="1" applyAlignment="1">
      <alignment horizontal="center" vertical="center"/>
    </xf>
    <xf numFmtId="0" fontId="43" fillId="8" borderId="59" xfId="2" applyFont="1" applyFill="1" applyBorder="1" applyAlignment="1">
      <alignment horizontal="center" vertical="center"/>
    </xf>
    <xf numFmtId="0" fontId="43" fillId="8" borderId="86" xfId="2" applyFont="1" applyFill="1" applyBorder="1" applyAlignment="1">
      <alignment horizontal="center" vertical="center"/>
    </xf>
    <xf numFmtId="0" fontId="5" fillId="0" borderId="26" xfId="0" applyFont="1" applyFill="1" applyBorder="1" applyAlignment="1">
      <alignment horizontal="center" vertical="center" wrapText="1"/>
    </xf>
    <xf numFmtId="0" fontId="5" fillId="0" borderId="79" xfId="0" applyFont="1" applyFill="1" applyBorder="1" applyAlignment="1">
      <alignment horizontal="center" vertical="center" wrapText="1"/>
    </xf>
    <xf numFmtId="185" fontId="4" fillId="2" borderId="78" xfId="0" applyNumberFormat="1" applyFont="1" applyFill="1" applyBorder="1" applyAlignment="1" applyProtection="1">
      <alignment horizontal="right" vertical="center"/>
    </xf>
    <xf numFmtId="185" fontId="4" fillId="2" borderId="26" xfId="0" applyNumberFormat="1" applyFont="1" applyFill="1" applyBorder="1" applyAlignment="1" applyProtection="1">
      <alignment horizontal="right" vertical="center"/>
    </xf>
    <xf numFmtId="185" fontId="4" fillId="2" borderId="79" xfId="0" applyNumberFormat="1" applyFont="1" applyFill="1" applyBorder="1" applyAlignment="1" applyProtection="1">
      <alignment horizontal="right" vertical="center"/>
    </xf>
    <xf numFmtId="182" fontId="4" fillId="2" borderId="82" xfId="0" applyNumberFormat="1" applyFont="1" applyFill="1" applyBorder="1" applyAlignment="1" applyProtection="1">
      <alignment horizontal="right" vertical="center"/>
    </xf>
    <xf numFmtId="182" fontId="4" fillId="2" borderId="83" xfId="0" applyNumberFormat="1" applyFont="1" applyFill="1" applyBorder="1" applyAlignment="1" applyProtection="1">
      <alignment horizontal="right" vertical="center"/>
    </xf>
    <xf numFmtId="182" fontId="4" fillId="2" borderId="84" xfId="0" applyNumberFormat="1" applyFont="1" applyFill="1" applyBorder="1" applyAlignment="1" applyProtection="1">
      <alignment horizontal="right" vertical="center"/>
    </xf>
    <xf numFmtId="185" fontId="4" fillId="2" borderId="51" xfId="0" applyNumberFormat="1" applyFont="1" applyFill="1" applyBorder="1" applyAlignment="1" applyProtection="1">
      <alignment horizontal="right" vertical="center"/>
    </xf>
    <xf numFmtId="185" fontId="4" fillId="2" borderId="80" xfId="0" applyNumberFormat="1" applyFont="1" applyFill="1" applyBorder="1" applyAlignment="1" applyProtection="1">
      <alignment horizontal="right" vertical="center"/>
    </xf>
    <xf numFmtId="185" fontId="4" fillId="2" borderId="81" xfId="0" applyNumberFormat="1" applyFont="1" applyFill="1" applyBorder="1" applyAlignment="1" applyProtection="1">
      <alignment horizontal="right" vertical="center"/>
    </xf>
    <xf numFmtId="185" fontId="4" fillId="6" borderId="57" xfId="0" applyNumberFormat="1" applyFont="1" applyFill="1" applyBorder="1" applyAlignment="1" applyProtection="1">
      <alignment horizontal="right" vertical="center"/>
    </xf>
    <xf numFmtId="178" fontId="4" fillId="2" borderId="22" xfId="0" applyNumberFormat="1" applyFont="1" applyFill="1" applyBorder="1" applyAlignment="1" applyProtection="1">
      <alignment horizontal="right" vertical="center"/>
    </xf>
    <xf numFmtId="178" fontId="4" fillId="2" borderId="67" xfId="0" applyNumberFormat="1" applyFont="1" applyFill="1" applyBorder="1" applyAlignment="1" applyProtection="1">
      <alignment horizontal="right" vertical="center"/>
    </xf>
    <xf numFmtId="178" fontId="4" fillId="2" borderId="24" xfId="0" applyNumberFormat="1" applyFont="1" applyFill="1" applyBorder="1" applyAlignment="1" applyProtection="1">
      <alignment horizontal="right" vertical="center"/>
    </xf>
    <xf numFmtId="177" fontId="0" fillId="2" borderId="87" xfId="0" applyNumberFormat="1" applyFont="1" applyFill="1" applyBorder="1" applyAlignment="1" applyProtection="1">
      <alignment horizontal="right" vertical="center"/>
    </xf>
    <xf numFmtId="177" fontId="0" fillId="2" borderId="88" xfId="0" applyNumberFormat="1" applyFont="1" applyFill="1" applyBorder="1" applyAlignment="1" applyProtection="1">
      <alignment horizontal="right" vertical="center"/>
    </xf>
    <xf numFmtId="177" fontId="0" fillId="2" borderId="89" xfId="0" applyNumberFormat="1" applyFont="1" applyFill="1" applyBorder="1" applyAlignment="1" applyProtection="1">
      <alignment horizontal="right" vertical="center"/>
    </xf>
    <xf numFmtId="181" fontId="4" fillId="2" borderId="58" xfId="0" applyNumberFormat="1" applyFont="1" applyFill="1" applyBorder="1" applyAlignment="1" applyProtection="1">
      <alignment horizontal="right" vertical="center"/>
    </xf>
    <xf numFmtId="181" fontId="4" fillId="2" borderId="0" xfId="0" applyNumberFormat="1" applyFont="1" applyFill="1" applyBorder="1" applyAlignment="1" applyProtection="1">
      <alignment horizontal="right" vertical="center"/>
    </xf>
    <xf numFmtId="181" fontId="4" fillId="2" borderId="16" xfId="0" applyNumberFormat="1" applyFont="1" applyFill="1" applyBorder="1" applyAlignment="1" applyProtection="1">
      <alignment horizontal="right" vertical="center"/>
    </xf>
    <xf numFmtId="185" fontId="0" fillId="0" borderId="22" xfId="0" applyNumberFormat="1" applyFont="1" applyFill="1" applyBorder="1" applyAlignment="1" applyProtection="1">
      <alignment horizontal="right" vertical="center"/>
      <protection locked="0"/>
    </xf>
    <xf numFmtId="185" fontId="0" fillId="0" borderId="67" xfId="0" applyNumberFormat="1" applyFont="1" applyFill="1" applyBorder="1" applyAlignment="1" applyProtection="1">
      <alignment horizontal="right" vertical="center"/>
      <protection locked="0"/>
    </xf>
    <xf numFmtId="185" fontId="0" fillId="0" borderId="24" xfId="0" applyNumberFormat="1" applyFont="1" applyFill="1" applyBorder="1" applyAlignment="1" applyProtection="1">
      <alignment horizontal="right" vertical="center"/>
      <protection locked="0"/>
    </xf>
    <xf numFmtId="185" fontId="4" fillId="2" borderId="92" xfId="0" applyNumberFormat="1" applyFont="1" applyFill="1" applyBorder="1" applyAlignment="1" applyProtection="1">
      <alignment horizontal="right" vertical="center"/>
    </xf>
    <xf numFmtId="185" fontId="4" fillId="2" borderId="93" xfId="0" applyNumberFormat="1" applyFont="1" applyFill="1" applyBorder="1" applyAlignment="1" applyProtection="1">
      <alignment horizontal="right" vertical="center"/>
    </xf>
    <xf numFmtId="185" fontId="4" fillId="2" borderId="94" xfId="0" applyNumberFormat="1" applyFont="1" applyFill="1" applyBorder="1" applyAlignment="1" applyProtection="1">
      <alignment horizontal="right" vertical="center"/>
    </xf>
    <xf numFmtId="184" fontId="0" fillId="2" borderId="23" xfId="0" applyNumberFormat="1" applyFont="1" applyFill="1" applyBorder="1" applyAlignment="1" applyProtection="1">
      <alignment horizontal="right" vertical="center"/>
    </xf>
    <xf numFmtId="184" fontId="0" fillId="2" borderId="46" xfId="0" applyNumberFormat="1" applyFont="1" applyFill="1" applyBorder="1" applyAlignment="1" applyProtection="1">
      <alignment horizontal="right" vertical="center"/>
    </xf>
    <xf numFmtId="184" fontId="0" fillId="2" borderId="59" xfId="0" applyNumberFormat="1" applyFont="1" applyFill="1" applyBorder="1" applyAlignment="1" applyProtection="1">
      <alignment horizontal="right" vertical="center"/>
    </xf>
    <xf numFmtId="178" fontId="4" fillId="2" borderId="78" xfId="0" applyNumberFormat="1" applyFont="1" applyFill="1" applyBorder="1" applyAlignment="1" applyProtection="1">
      <alignment horizontal="right" vertical="center"/>
    </xf>
    <xf numFmtId="178" fontId="4" fillId="2" borderId="26" xfId="0" applyNumberFormat="1" applyFont="1" applyFill="1" applyBorder="1" applyAlignment="1" applyProtection="1">
      <alignment horizontal="right" vertical="center"/>
    </xf>
    <xf numFmtId="178" fontId="4" fillId="2" borderId="79" xfId="0" applyNumberFormat="1" applyFont="1" applyFill="1" applyBorder="1" applyAlignment="1" applyProtection="1">
      <alignment horizontal="right" vertical="center"/>
    </xf>
    <xf numFmtId="183" fontId="4" fillId="2" borderId="22" xfId="0" applyNumberFormat="1" applyFont="1" applyFill="1" applyBorder="1" applyAlignment="1" applyProtection="1">
      <alignment horizontal="center" vertical="center"/>
    </xf>
    <xf numFmtId="183" fontId="4" fillId="2" borderId="67" xfId="0" applyNumberFormat="1" applyFont="1" applyFill="1" applyBorder="1" applyAlignment="1" applyProtection="1">
      <alignment horizontal="center" vertical="center"/>
    </xf>
    <xf numFmtId="183" fontId="4" fillId="2" borderId="24" xfId="0" applyNumberFormat="1" applyFont="1" applyFill="1" applyBorder="1" applyAlignment="1" applyProtection="1">
      <alignment horizontal="center" vertical="center"/>
    </xf>
    <xf numFmtId="0" fontId="0" fillId="0" borderId="1" xfId="0" applyNumberFormat="1" applyBorder="1" applyAlignment="1" applyProtection="1">
      <alignment horizontal="right" vertical="center"/>
    </xf>
    <xf numFmtId="185" fontId="0" fillId="0" borderId="1" xfId="0" applyNumberFormat="1" applyBorder="1" applyAlignment="1" applyProtection="1">
      <alignment horizontal="right" vertical="center"/>
    </xf>
    <xf numFmtId="0" fontId="4" fillId="0" borderId="22" xfId="0" applyFont="1" applyBorder="1" applyAlignment="1">
      <alignment horizontal="center" vertical="center"/>
    </xf>
    <xf numFmtId="0" fontId="4" fillId="0" borderId="67" xfId="0" applyFont="1" applyBorder="1" applyAlignment="1">
      <alignment horizontal="center" vertical="center"/>
    </xf>
    <xf numFmtId="0" fontId="4" fillId="0" borderId="24" xfId="0" applyFont="1" applyBorder="1" applyAlignment="1">
      <alignment horizontal="center" vertical="center"/>
    </xf>
    <xf numFmtId="0" fontId="0" fillId="0" borderId="1" xfId="0" applyBorder="1" applyAlignment="1">
      <alignment horizontal="center" vertical="center"/>
    </xf>
    <xf numFmtId="182" fontId="4" fillId="0" borderId="22" xfId="0" applyNumberFormat="1" applyFont="1" applyFill="1" applyBorder="1" applyAlignment="1" applyProtection="1">
      <alignment horizontal="right" vertical="center"/>
      <protection locked="0"/>
    </xf>
    <xf numFmtId="182" fontId="4" fillId="0" borderId="67" xfId="0" applyNumberFormat="1" applyFont="1" applyFill="1" applyBorder="1" applyAlignment="1" applyProtection="1">
      <alignment horizontal="right" vertical="center"/>
      <protection locked="0"/>
    </xf>
    <xf numFmtId="182" fontId="4" fillId="0" borderId="24" xfId="0" applyNumberFormat="1" applyFont="1" applyFill="1" applyBorder="1" applyAlignment="1" applyProtection="1">
      <alignment horizontal="right" vertical="center"/>
      <protection locked="0"/>
    </xf>
    <xf numFmtId="2" fontId="0" fillId="0" borderId="1" xfId="0" applyNumberFormat="1" applyBorder="1" applyAlignment="1">
      <alignment horizontal="right" vertical="center"/>
    </xf>
    <xf numFmtId="0" fontId="4" fillId="0" borderId="22"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1" xfId="0" applyFont="1" applyBorder="1" applyAlignment="1">
      <alignment horizontal="center" vertical="center"/>
    </xf>
    <xf numFmtId="183" fontId="0" fillId="2" borderId="22" xfId="0" applyNumberFormat="1" applyFont="1" applyFill="1" applyBorder="1" applyAlignment="1" applyProtection="1">
      <alignment horizontal="center" vertical="center"/>
    </xf>
    <xf numFmtId="183" fontId="0" fillId="2" borderId="67" xfId="0" applyNumberFormat="1" applyFont="1" applyFill="1" applyBorder="1" applyAlignment="1" applyProtection="1">
      <alignment horizontal="center" vertical="center"/>
    </xf>
    <xf numFmtId="183" fontId="0" fillId="2" borderId="24" xfId="0" applyNumberFormat="1" applyFont="1" applyFill="1" applyBorder="1" applyAlignment="1" applyProtection="1">
      <alignment horizontal="center" vertical="center"/>
    </xf>
    <xf numFmtId="183" fontId="4" fillId="2" borderId="85" xfId="0" applyNumberFormat="1" applyFont="1" applyFill="1" applyBorder="1" applyAlignment="1" applyProtection="1">
      <alignment horizontal="right" vertical="center"/>
    </xf>
    <xf numFmtId="183" fontId="4" fillId="2" borderId="57" xfId="0" applyNumberFormat="1" applyFont="1" applyFill="1" applyBorder="1" applyAlignment="1" applyProtection="1">
      <alignment horizontal="right" vertical="center"/>
    </xf>
    <xf numFmtId="183" fontId="4" fillId="2" borderId="86" xfId="0" applyNumberFormat="1" applyFont="1" applyFill="1" applyBorder="1" applyAlignment="1" applyProtection="1">
      <alignment horizontal="right" vertical="center"/>
    </xf>
    <xf numFmtId="183" fontId="4" fillId="2" borderId="41" xfId="0" applyNumberFormat="1" applyFont="1" applyFill="1" applyBorder="1" applyAlignment="1" applyProtection="1">
      <alignment horizontal="right" vertical="center"/>
    </xf>
    <xf numFmtId="183" fontId="4" fillId="2" borderId="91" xfId="0" applyNumberFormat="1" applyFont="1" applyFill="1" applyBorder="1" applyAlignment="1" applyProtection="1">
      <alignment horizontal="right" vertical="center"/>
    </xf>
    <xf numFmtId="181" fontId="4" fillId="2" borderId="22" xfId="0" applyNumberFormat="1" applyFont="1" applyFill="1" applyBorder="1" applyAlignment="1" applyProtection="1">
      <alignment horizontal="right" vertical="center"/>
    </xf>
    <xf numFmtId="181" fontId="4" fillId="2" borderId="67" xfId="0" applyNumberFormat="1" applyFont="1" applyFill="1" applyBorder="1" applyAlignment="1" applyProtection="1">
      <alignment horizontal="right" vertical="center"/>
    </xf>
    <xf numFmtId="181" fontId="4" fillId="2" borderId="24" xfId="0" applyNumberFormat="1" applyFont="1" applyFill="1" applyBorder="1" applyAlignment="1" applyProtection="1">
      <alignment horizontal="right" vertical="center"/>
    </xf>
    <xf numFmtId="188" fontId="4" fillId="2" borderId="67" xfId="1" applyNumberFormat="1" applyFont="1" applyFill="1" applyBorder="1" applyAlignment="1" applyProtection="1">
      <alignment horizontal="center" vertical="center"/>
    </xf>
    <xf numFmtId="188" fontId="4" fillId="2" borderId="24" xfId="1" applyNumberFormat="1" applyFont="1" applyFill="1" applyBorder="1" applyAlignment="1" applyProtection="1">
      <alignment horizontal="center" vertical="center"/>
    </xf>
    <xf numFmtId="0" fontId="4" fillId="0" borderId="0" xfId="0" applyFont="1" applyAlignment="1">
      <alignment horizontal="center" vertical="center"/>
    </xf>
    <xf numFmtId="183" fontId="4" fillId="2" borderId="58" xfId="0" applyNumberFormat="1" applyFont="1" applyFill="1" applyBorder="1" applyAlignment="1" applyProtection="1">
      <alignment horizontal="right" vertical="center"/>
    </xf>
    <xf numFmtId="183" fontId="4" fillId="2" borderId="0" xfId="0" applyNumberFormat="1" applyFont="1" applyFill="1" applyBorder="1" applyAlignment="1" applyProtection="1">
      <alignment horizontal="right" vertical="center"/>
    </xf>
    <xf numFmtId="183" fontId="4" fillId="2" borderId="16" xfId="0" applyNumberFormat="1" applyFont="1" applyFill="1" applyBorder="1" applyAlignment="1" applyProtection="1">
      <alignment horizontal="right" vertical="center"/>
    </xf>
    <xf numFmtId="0" fontId="12" fillId="0" borderId="22" xfId="0" applyFont="1" applyBorder="1" applyAlignment="1" applyProtection="1">
      <alignment horizontal="center" vertical="center"/>
    </xf>
    <xf numFmtId="0" fontId="12" fillId="0" borderId="24" xfId="0" applyFont="1" applyBorder="1" applyAlignment="1" applyProtection="1">
      <alignment horizontal="center" vertical="center"/>
    </xf>
    <xf numFmtId="0" fontId="12" fillId="0" borderId="22" xfId="0" applyFont="1" applyBorder="1" applyAlignment="1" applyProtection="1">
      <alignment horizontal="center" vertical="center" wrapText="1"/>
    </xf>
    <xf numFmtId="0" fontId="12" fillId="0" borderId="24" xfId="0" applyFont="1" applyBorder="1" applyAlignment="1" applyProtection="1">
      <alignment horizontal="center" vertical="center" wrapText="1"/>
    </xf>
    <xf numFmtId="0" fontId="13" fillId="0" borderId="23" xfId="0" applyFont="1" applyBorder="1" applyAlignment="1" applyProtection="1">
      <alignment horizontal="center" vertical="center" wrapText="1"/>
    </xf>
    <xf numFmtId="0" fontId="13" fillId="0" borderId="46" xfId="0" applyFont="1" applyBorder="1" applyAlignment="1" applyProtection="1">
      <alignment horizontal="center" vertical="center" wrapText="1"/>
    </xf>
    <xf numFmtId="0" fontId="13" fillId="0" borderId="59" xfId="0" applyFont="1" applyBorder="1" applyAlignment="1" applyProtection="1">
      <alignment horizontal="center" vertical="center" wrapText="1"/>
    </xf>
    <xf numFmtId="0" fontId="5" fillId="0" borderId="8" xfId="0" applyFont="1" applyBorder="1" applyAlignment="1" applyProtection="1">
      <alignment horizontal="center" vertical="top" wrapText="1"/>
    </xf>
    <xf numFmtId="0" fontId="5" fillId="0" borderId="1" xfId="0" applyFont="1" applyBorder="1" applyAlignment="1" applyProtection="1">
      <alignment horizontal="center" vertical="top"/>
    </xf>
    <xf numFmtId="183" fontId="4" fillId="2" borderId="41" xfId="0" applyNumberFormat="1" applyFont="1" applyFill="1" applyBorder="1" applyAlignment="1" applyProtection="1">
      <alignment horizontal="right" vertical="center" shrinkToFit="1"/>
    </xf>
    <xf numFmtId="183" fontId="4" fillId="2" borderId="91" xfId="0" applyNumberFormat="1" applyFont="1" applyFill="1" applyBorder="1" applyAlignment="1" applyProtection="1">
      <alignment horizontal="right" vertical="center" shrinkToFit="1"/>
    </xf>
    <xf numFmtId="0" fontId="12" fillId="0" borderId="23" xfId="0" applyFont="1" applyFill="1" applyBorder="1" applyAlignment="1" applyProtection="1">
      <alignment horizontal="center" vertical="center" wrapText="1"/>
    </xf>
    <xf numFmtId="0" fontId="12" fillId="0" borderId="85" xfId="0" applyFont="1" applyFill="1" applyBorder="1" applyAlignment="1" applyProtection="1">
      <alignment horizontal="center" vertical="center" wrapText="1"/>
    </xf>
    <xf numFmtId="0" fontId="12" fillId="0" borderId="46" xfId="0" applyFont="1" applyFill="1" applyBorder="1" applyAlignment="1" applyProtection="1">
      <alignment horizontal="center" vertical="center" wrapText="1"/>
    </xf>
    <xf numFmtId="0" fontId="12" fillId="0" borderId="57" xfId="0" applyFont="1" applyFill="1" applyBorder="1" applyAlignment="1" applyProtection="1">
      <alignment horizontal="center" vertical="center" wrapText="1"/>
    </xf>
    <xf numFmtId="0" fontId="12" fillId="0" borderId="59" xfId="0" applyFont="1" applyFill="1" applyBorder="1" applyAlignment="1" applyProtection="1">
      <alignment horizontal="center" vertical="center" wrapText="1"/>
    </xf>
    <xf numFmtId="0" fontId="12" fillId="0" borderId="86" xfId="0" applyFont="1" applyFill="1" applyBorder="1" applyAlignment="1" applyProtection="1">
      <alignment horizontal="center" vertical="center" wrapText="1"/>
    </xf>
    <xf numFmtId="0" fontId="12" fillId="0" borderId="23" xfId="0" applyFont="1" applyFill="1" applyBorder="1" applyAlignment="1">
      <alignment vertical="center" wrapText="1"/>
    </xf>
    <xf numFmtId="0" fontId="12" fillId="0" borderId="85" xfId="0" applyFont="1" applyFill="1" applyBorder="1" applyAlignment="1">
      <alignment vertical="center" wrapText="1"/>
    </xf>
    <xf numFmtId="0" fontId="12" fillId="0" borderId="46" xfId="0" applyFont="1" applyFill="1" applyBorder="1" applyAlignment="1">
      <alignment vertical="center" wrapText="1"/>
    </xf>
    <xf numFmtId="0" fontId="12" fillId="0" borderId="57" xfId="0" applyFont="1" applyFill="1" applyBorder="1" applyAlignment="1">
      <alignment vertical="center" wrapText="1"/>
    </xf>
    <xf numFmtId="0" fontId="12" fillId="0" borderId="59" xfId="0" applyFont="1" applyFill="1" applyBorder="1" applyAlignment="1">
      <alignment vertical="center" wrapText="1"/>
    </xf>
    <xf numFmtId="0" fontId="12" fillId="0" borderId="86" xfId="0" applyFont="1" applyFill="1" applyBorder="1" applyAlignment="1">
      <alignment vertical="center" wrapText="1"/>
    </xf>
    <xf numFmtId="0" fontId="5" fillId="0" borderId="46"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57" xfId="0" applyFont="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xf>
    <xf numFmtId="0" fontId="7" fillId="0" borderId="22" xfId="0" applyFont="1" applyBorder="1" applyAlignment="1">
      <alignment horizontal="center" vertical="center" textRotation="255"/>
    </xf>
    <xf numFmtId="0" fontId="7" fillId="0" borderId="67" xfId="0" applyFont="1" applyBorder="1" applyAlignment="1">
      <alignment horizontal="center" vertical="center" textRotation="255"/>
    </xf>
    <xf numFmtId="0" fontId="7" fillId="0" borderId="24" xfId="0" applyFont="1" applyBorder="1" applyAlignment="1">
      <alignment horizontal="center" vertical="center" textRotation="255"/>
    </xf>
    <xf numFmtId="0" fontId="12" fillId="0" borderId="85" xfId="0" applyFont="1" applyBorder="1" applyAlignment="1" applyProtection="1">
      <alignment horizontal="center" vertical="center"/>
    </xf>
    <xf numFmtId="0" fontId="12" fillId="0" borderId="86" xfId="0" applyFont="1" applyBorder="1" applyAlignment="1" applyProtection="1">
      <alignment horizontal="center" vertical="center"/>
    </xf>
    <xf numFmtId="183" fontId="4" fillId="2" borderId="82" xfId="0" applyNumberFormat="1" applyFont="1" applyFill="1" applyBorder="1" applyAlignment="1" applyProtection="1">
      <alignment horizontal="right" vertical="center" shrinkToFit="1"/>
    </xf>
    <xf numFmtId="183" fontId="4" fillId="2" borderId="83" xfId="0" applyNumberFormat="1" applyFont="1" applyFill="1" applyBorder="1" applyAlignment="1" applyProtection="1">
      <alignment horizontal="right" vertical="center" shrinkToFit="1"/>
    </xf>
    <xf numFmtId="183" fontId="4" fillId="2" borderId="84" xfId="0" applyNumberFormat="1" applyFont="1" applyFill="1" applyBorder="1" applyAlignment="1" applyProtection="1">
      <alignment horizontal="right" vertical="center" shrinkToFit="1"/>
    </xf>
    <xf numFmtId="183" fontId="4" fillId="2" borderId="128" xfId="0" applyNumberFormat="1" applyFont="1" applyFill="1" applyBorder="1" applyAlignment="1" applyProtection="1">
      <alignment horizontal="right" vertical="center" shrinkToFit="1"/>
    </xf>
    <xf numFmtId="183" fontId="4" fillId="2" borderId="128" xfId="0" applyNumberFormat="1" applyFont="1" applyFill="1" applyBorder="1" applyAlignment="1" applyProtection="1">
      <alignment horizontal="right" vertical="center"/>
    </xf>
    <xf numFmtId="183" fontId="4" fillId="2" borderId="82" xfId="0" applyNumberFormat="1" applyFont="1" applyFill="1" applyBorder="1" applyAlignment="1" applyProtection="1">
      <alignment horizontal="right" vertical="center"/>
    </xf>
    <xf numFmtId="183" fontId="4" fillId="2" borderId="83" xfId="0" applyNumberFormat="1" applyFont="1" applyFill="1" applyBorder="1" applyAlignment="1" applyProtection="1">
      <alignment horizontal="right" vertical="center"/>
    </xf>
    <xf numFmtId="183" fontId="4" fillId="2" borderId="127" xfId="0" applyNumberFormat="1" applyFont="1" applyFill="1" applyBorder="1" applyAlignment="1" applyProtection="1">
      <alignment horizontal="right" vertical="center"/>
    </xf>
    <xf numFmtId="0" fontId="12" fillId="0" borderId="23" xfId="0" applyFont="1" applyBorder="1" applyAlignment="1" applyProtection="1">
      <alignment horizontal="center" vertical="center" wrapText="1"/>
    </xf>
    <xf numFmtId="0" fontId="13" fillId="0" borderId="55" xfId="0" applyFont="1" applyBorder="1" applyAlignment="1" applyProtection="1">
      <alignment horizontal="center" vertical="center" wrapText="1"/>
    </xf>
    <xf numFmtId="0" fontId="13" fillId="0" borderId="47" xfId="0" applyFont="1" applyBorder="1" applyAlignment="1" applyProtection="1">
      <alignment horizontal="center" vertical="center" wrapText="1"/>
    </xf>
    <xf numFmtId="0" fontId="13" fillId="0" borderId="99" xfId="0" applyFont="1" applyBorder="1" applyAlignment="1" applyProtection="1">
      <alignment horizontal="center" vertical="center" wrapText="1"/>
    </xf>
    <xf numFmtId="0" fontId="12" fillId="0" borderId="85" xfId="0" applyFont="1" applyBorder="1" applyAlignment="1" applyProtection="1">
      <alignment horizontal="center" vertical="center" wrapText="1"/>
    </xf>
    <xf numFmtId="0" fontId="12" fillId="0" borderId="46" xfId="0" applyFont="1" applyBorder="1" applyAlignment="1" applyProtection="1">
      <alignment horizontal="center" vertical="center" wrapText="1"/>
    </xf>
    <xf numFmtId="0" fontId="12" fillId="0" borderId="57" xfId="0" applyFont="1" applyBorder="1" applyAlignment="1" applyProtection="1">
      <alignment horizontal="center" vertical="center" wrapText="1"/>
    </xf>
    <xf numFmtId="0" fontId="12" fillId="0" borderId="59" xfId="0" applyFont="1" applyBorder="1" applyAlignment="1" applyProtection="1">
      <alignment horizontal="center" vertical="center" wrapText="1"/>
    </xf>
    <xf numFmtId="0" fontId="12" fillId="0" borderId="86" xfId="0" applyFont="1" applyBorder="1" applyAlignment="1" applyProtection="1">
      <alignment horizontal="center" vertical="center" wrapText="1"/>
    </xf>
    <xf numFmtId="184" fontId="0" fillId="2" borderId="132" xfId="0" applyNumberFormat="1" applyFont="1" applyFill="1" applyBorder="1" applyAlignment="1" applyProtection="1">
      <alignment horizontal="right" vertical="center"/>
    </xf>
    <xf numFmtId="182" fontId="4" fillId="2" borderId="169" xfId="0" applyNumberFormat="1" applyFont="1" applyFill="1" applyBorder="1" applyAlignment="1">
      <alignment horizontal="right" vertical="center"/>
    </xf>
    <xf numFmtId="182" fontId="4" fillId="2" borderId="67" xfId="0" applyNumberFormat="1" applyFont="1" applyFill="1" applyBorder="1" applyAlignment="1">
      <alignment horizontal="right" vertical="center"/>
    </xf>
    <xf numFmtId="182" fontId="4" fillId="2" borderId="24" xfId="0" applyNumberFormat="1" applyFont="1" applyFill="1" applyBorder="1" applyAlignment="1">
      <alignment horizontal="right" vertical="center"/>
    </xf>
    <xf numFmtId="178" fontId="4" fillId="2" borderId="131" xfId="0" applyNumberFormat="1" applyFont="1" applyFill="1" applyBorder="1" applyAlignment="1" applyProtection="1">
      <alignment horizontal="right" vertical="center"/>
    </xf>
    <xf numFmtId="181" fontId="4" fillId="2" borderId="129" xfId="0" applyNumberFormat="1" applyFont="1" applyFill="1" applyBorder="1" applyAlignment="1" applyProtection="1">
      <alignment horizontal="right" vertical="center"/>
    </xf>
    <xf numFmtId="177" fontId="0" fillId="2" borderId="133" xfId="0" applyNumberFormat="1" applyFont="1" applyFill="1" applyBorder="1" applyAlignment="1" applyProtection="1">
      <alignment horizontal="right" vertical="center"/>
    </xf>
    <xf numFmtId="185" fontId="4" fillId="2" borderId="131" xfId="0" applyNumberFormat="1" applyFont="1" applyFill="1" applyBorder="1" applyAlignment="1" applyProtection="1">
      <alignment horizontal="right" vertical="center"/>
    </xf>
    <xf numFmtId="188" fontId="4" fillId="2" borderId="145" xfId="1" applyNumberFormat="1" applyFont="1" applyFill="1" applyBorder="1" applyAlignment="1" applyProtection="1">
      <alignment horizontal="center" vertical="center"/>
    </xf>
    <xf numFmtId="188" fontId="4" fillId="2" borderId="170" xfId="1" applyNumberFormat="1" applyFont="1" applyFill="1" applyBorder="1" applyAlignment="1" applyProtection="1">
      <alignment horizontal="center" vertical="center"/>
    </xf>
    <xf numFmtId="188" fontId="4" fillId="2" borderId="120" xfId="1" applyNumberFormat="1" applyFont="1" applyFill="1" applyBorder="1" applyAlignment="1" applyProtection="1">
      <alignment horizontal="center" vertical="center"/>
    </xf>
    <xf numFmtId="185" fontId="4" fillId="2" borderId="168" xfId="0" applyNumberFormat="1" applyFont="1" applyFill="1" applyBorder="1" applyAlignment="1" applyProtection="1">
      <alignment horizontal="right" vertical="center"/>
    </xf>
    <xf numFmtId="185" fontId="4" fillId="2" borderId="90" xfId="0" applyNumberFormat="1" applyFont="1" applyFill="1" applyBorder="1" applyAlignment="1" applyProtection="1">
      <alignment horizontal="right" vertical="center"/>
    </xf>
    <xf numFmtId="182" fontId="4" fillId="0" borderId="130" xfId="0" applyNumberFormat="1" applyFont="1" applyFill="1" applyBorder="1" applyAlignment="1" applyProtection="1">
      <alignment horizontal="right" vertical="center"/>
      <protection locked="0"/>
    </xf>
    <xf numFmtId="181" fontId="4" fillId="2" borderId="0" xfId="0" applyNumberFormat="1" applyFont="1" applyFill="1" applyAlignment="1">
      <alignment horizontal="right" vertical="center"/>
    </xf>
    <xf numFmtId="181" fontId="4" fillId="2" borderId="16" xfId="0" applyNumberFormat="1" applyFont="1" applyFill="1" applyBorder="1" applyAlignment="1">
      <alignment horizontal="right" vertical="center"/>
    </xf>
    <xf numFmtId="178" fontId="4" fillId="2" borderId="130" xfId="0" applyNumberFormat="1" applyFont="1" applyFill="1" applyBorder="1" applyAlignment="1" applyProtection="1">
      <alignment horizontal="right" vertical="center"/>
    </xf>
    <xf numFmtId="177" fontId="4" fillId="2" borderId="67" xfId="0" applyNumberFormat="1" applyFont="1" applyFill="1" applyBorder="1" applyAlignment="1">
      <alignment horizontal="right" vertical="center"/>
    </xf>
    <xf numFmtId="177" fontId="4" fillId="2" borderId="24" xfId="0" applyNumberFormat="1" applyFont="1" applyFill="1" applyBorder="1" applyAlignment="1">
      <alignment horizontal="right" vertical="center"/>
    </xf>
    <xf numFmtId="0" fontId="0" fillId="3" borderId="136" xfId="0" applyFill="1" applyBorder="1" applyAlignment="1">
      <alignment horizontal="center" vertical="center"/>
    </xf>
    <xf numFmtId="0" fontId="0" fillId="3" borderId="147" xfId="0" applyFill="1" applyBorder="1" applyAlignment="1">
      <alignment horizontal="center" vertical="center"/>
    </xf>
    <xf numFmtId="0" fontId="0" fillId="3" borderId="121" xfId="0" applyFill="1" applyBorder="1" applyAlignment="1">
      <alignment horizontal="center" vertical="center"/>
    </xf>
    <xf numFmtId="177" fontId="4" fillId="2" borderId="23" xfId="0" applyNumberFormat="1" applyFont="1" applyFill="1" applyBorder="1" applyAlignment="1">
      <alignment horizontal="right" vertical="center"/>
    </xf>
    <xf numFmtId="177" fontId="4" fillId="2" borderId="46" xfId="0" applyNumberFormat="1" applyFont="1" applyFill="1" applyBorder="1" applyAlignment="1">
      <alignment horizontal="right" vertical="center"/>
    </xf>
    <xf numFmtId="177" fontId="4" fillId="2" borderId="59" xfId="0" applyNumberFormat="1" applyFont="1" applyFill="1" applyBorder="1" applyAlignment="1">
      <alignment horizontal="right" vertical="center"/>
    </xf>
    <xf numFmtId="185" fontId="4" fillId="2" borderId="134" xfId="0" applyNumberFormat="1" applyFont="1" applyFill="1" applyBorder="1" applyAlignment="1" applyProtection="1">
      <alignment horizontal="right" vertical="center"/>
    </xf>
    <xf numFmtId="177" fontId="4" fillId="2" borderId="132" xfId="0" applyNumberFormat="1" applyFont="1" applyFill="1" applyBorder="1" applyAlignment="1">
      <alignment horizontal="right" vertical="center"/>
    </xf>
    <xf numFmtId="177" fontId="4" fillId="2" borderId="145" xfId="0" applyNumberFormat="1" applyFont="1" applyFill="1" applyBorder="1" applyAlignment="1" applyProtection="1">
      <alignment vertical="center"/>
    </xf>
    <xf numFmtId="177" fontId="4" fillId="2" borderId="170" xfId="0" applyNumberFormat="1" applyFont="1" applyFill="1" applyBorder="1" applyAlignment="1" applyProtection="1">
      <alignment vertical="center"/>
    </xf>
    <xf numFmtId="177" fontId="4" fillId="2" borderId="77" xfId="0" applyNumberFormat="1" applyFont="1" applyFill="1" applyBorder="1" applyAlignment="1" applyProtection="1">
      <alignment vertical="center"/>
    </xf>
    <xf numFmtId="177" fontId="4" fillId="2" borderId="120" xfId="0" applyNumberFormat="1" applyFont="1" applyFill="1" applyBorder="1" applyAlignment="1" applyProtection="1">
      <alignment vertical="center"/>
    </xf>
    <xf numFmtId="177" fontId="4" fillId="2" borderId="22" xfId="0" applyNumberFormat="1" applyFont="1" applyFill="1" applyBorder="1" applyAlignment="1">
      <alignment horizontal="right" vertical="center"/>
    </xf>
    <xf numFmtId="177" fontId="4" fillId="2" borderId="130" xfId="0" applyNumberFormat="1" applyFont="1" applyFill="1" applyBorder="1" applyAlignment="1">
      <alignment horizontal="right" vertical="center"/>
    </xf>
    <xf numFmtId="178" fontId="4" fillId="2" borderId="90" xfId="0" applyNumberFormat="1" applyFont="1" applyFill="1" applyBorder="1" applyAlignment="1" applyProtection="1">
      <alignment horizontal="right" vertical="center"/>
    </xf>
    <xf numFmtId="0" fontId="14" fillId="0" borderId="25" xfId="0" applyFont="1" applyFill="1" applyBorder="1" applyAlignment="1">
      <alignment horizontal="center" vertical="center" wrapText="1"/>
    </xf>
    <xf numFmtId="0" fontId="14" fillId="0" borderId="26" xfId="0" applyFont="1" applyFill="1" applyBorder="1" applyAlignment="1">
      <alignment horizontal="center" vertical="center" wrapText="1"/>
    </xf>
    <xf numFmtId="0" fontId="14" fillId="0" borderId="79" xfId="0" applyFont="1" applyFill="1" applyBorder="1" applyAlignment="1">
      <alignment horizontal="center" vertical="center" wrapText="1"/>
    </xf>
    <xf numFmtId="0" fontId="12" fillId="0" borderId="58" xfId="0" applyFont="1" applyBorder="1" applyAlignment="1" applyProtection="1">
      <alignment horizontal="center" vertical="center" wrapText="1"/>
    </xf>
    <xf numFmtId="0" fontId="12" fillId="0" borderId="0" xfId="0" applyFont="1" applyBorder="1" applyAlignment="1" applyProtection="1">
      <alignment horizontal="center" vertical="center" wrapText="1"/>
    </xf>
    <xf numFmtId="0" fontId="12" fillId="0" borderId="16" xfId="0" applyFont="1" applyBorder="1" applyAlignment="1" applyProtection="1">
      <alignment horizontal="center" vertical="center" wrapText="1"/>
    </xf>
    <xf numFmtId="0" fontId="12" fillId="0" borderId="183" xfId="0" applyFont="1" applyBorder="1" applyAlignment="1" applyProtection="1">
      <alignment horizontal="center" vertical="center" wrapText="1"/>
    </xf>
    <xf numFmtId="0" fontId="12" fillId="0" borderId="7" xfId="0" applyFont="1" applyBorder="1" applyAlignment="1" applyProtection="1">
      <alignment horizontal="center" vertical="center" wrapText="1"/>
    </xf>
    <xf numFmtId="0" fontId="12" fillId="0" borderId="184" xfId="0" applyFont="1" applyBorder="1" applyAlignment="1" applyProtection="1">
      <alignment horizontal="center" vertical="center" wrapText="1"/>
    </xf>
    <xf numFmtId="0" fontId="13" fillId="0" borderId="103" xfId="0" applyFont="1" applyFill="1" applyBorder="1" applyAlignment="1">
      <alignment horizontal="center" vertical="center" wrapText="1"/>
    </xf>
    <xf numFmtId="0" fontId="13" fillId="0" borderId="104" xfId="0" applyFont="1" applyFill="1" applyBorder="1" applyAlignment="1">
      <alignment horizontal="center" vertical="center" wrapText="1"/>
    </xf>
    <xf numFmtId="0" fontId="13" fillId="0" borderId="105"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67"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4" fillId="2" borderId="22" xfId="0" applyNumberFormat="1" applyFont="1" applyFill="1" applyBorder="1" applyAlignment="1" applyProtection="1">
      <alignment horizontal="center" vertical="center"/>
    </xf>
    <xf numFmtId="0" fontId="4" fillId="2" borderId="67" xfId="0" applyNumberFormat="1" applyFont="1" applyFill="1" applyBorder="1" applyAlignment="1" applyProtection="1">
      <alignment horizontal="center" vertical="center"/>
    </xf>
    <xf numFmtId="0" fontId="4" fillId="2" borderId="24" xfId="0" applyNumberFormat="1" applyFont="1" applyFill="1" applyBorder="1" applyAlignment="1" applyProtection="1">
      <alignment horizontal="center" vertical="center"/>
    </xf>
    <xf numFmtId="0" fontId="12" fillId="0" borderId="23" xfId="0" applyFont="1" applyFill="1" applyBorder="1" applyAlignment="1">
      <alignment horizontal="center" vertical="center" wrapText="1"/>
    </xf>
    <xf numFmtId="0" fontId="12" fillId="0" borderId="58"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59"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5" fillId="0" borderId="7" xfId="0" applyFont="1" applyBorder="1" applyAlignment="1" applyProtection="1">
      <alignment horizontal="center" vertical="center" wrapText="1"/>
    </xf>
    <xf numFmtId="0" fontId="5" fillId="0" borderId="58" xfId="0" applyFont="1" applyBorder="1" applyAlignment="1" applyProtection="1">
      <alignment horizontal="center" vertical="center" wrapText="1"/>
    </xf>
    <xf numFmtId="183" fontId="4" fillId="2" borderId="100" xfId="0" applyNumberFormat="1" applyFont="1" applyFill="1" applyBorder="1" applyAlignment="1" applyProtection="1">
      <alignment horizontal="center" vertical="center"/>
    </xf>
    <xf numFmtId="183" fontId="4" fillId="2" borderId="101" xfId="0" applyNumberFormat="1" applyFont="1" applyFill="1" applyBorder="1" applyAlignment="1" applyProtection="1">
      <alignment horizontal="center" vertical="center"/>
    </xf>
    <xf numFmtId="183" fontId="4" fillId="2" borderId="102" xfId="0" applyNumberFormat="1" applyFont="1" applyFill="1" applyBorder="1" applyAlignment="1" applyProtection="1">
      <alignment horizontal="center" vertical="center"/>
    </xf>
    <xf numFmtId="0" fontId="13" fillId="0" borderId="22" xfId="0" applyFont="1" applyBorder="1" applyAlignment="1" applyProtection="1">
      <alignment horizontal="center" vertical="center" wrapText="1"/>
    </xf>
    <xf numFmtId="0" fontId="13" fillId="0" borderId="67" xfId="0" applyFont="1" applyBorder="1" applyAlignment="1" applyProtection="1">
      <alignment horizontal="center" vertical="center" wrapText="1"/>
    </xf>
    <xf numFmtId="0" fontId="13" fillId="0" borderId="24" xfId="0" applyFont="1" applyBorder="1" applyAlignment="1" applyProtection="1">
      <alignment horizontal="center" vertical="center" wrapText="1"/>
    </xf>
    <xf numFmtId="0" fontId="12" fillId="0" borderId="97" xfId="0" applyFont="1" applyBorder="1" applyAlignment="1">
      <alignment horizontal="center" vertical="center" wrapText="1"/>
    </xf>
    <xf numFmtId="0" fontId="12" fillId="0" borderId="58" xfId="0" applyFont="1" applyBorder="1" applyAlignment="1">
      <alignment horizontal="center" vertical="center" wrapText="1"/>
    </xf>
    <xf numFmtId="0" fontId="12" fillId="0" borderId="103" xfId="0" applyFont="1" applyBorder="1" applyAlignment="1">
      <alignment horizontal="center" vertical="center" wrapText="1"/>
    </xf>
    <xf numFmtId="0" fontId="12" fillId="0" borderId="97" xfId="0" applyFont="1" applyFill="1" applyBorder="1" applyAlignment="1" applyProtection="1">
      <alignment horizontal="center" vertical="center" wrapText="1"/>
    </xf>
    <xf numFmtId="0" fontId="12" fillId="0" borderId="17" xfId="0" applyFont="1" applyFill="1" applyBorder="1" applyAlignment="1" applyProtection="1">
      <alignment horizontal="center" vertical="center" wrapText="1"/>
    </xf>
    <xf numFmtId="0" fontId="12" fillId="0" borderId="98" xfId="0" applyFont="1" applyFill="1" applyBorder="1" applyAlignment="1" applyProtection="1">
      <alignment horizontal="center" vertical="center" wrapText="1"/>
    </xf>
    <xf numFmtId="0" fontId="14" fillId="0" borderId="95" xfId="0" applyFont="1" applyFill="1" applyBorder="1" applyAlignment="1">
      <alignment horizontal="center" vertical="center" wrapText="1"/>
    </xf>
    <xf numFmtId="0" fontId="14" fillId="0" borderId="96" xfId="0" applyFont="1" applyFill="1" applyBorder="1" applyAlignment="1">
      <alignment horizontal="center" vertical="center" wrapText="1"/>
    </xf>
    <xf numFmtId="0" fontId="15" fillId="0" borderId="96" xfId="0" applyFont="1" applyFill="1" applyBorder="1">
      <alignment vertical="center"/>
    </xf>
    <xf numFmtId="0" fontId="62" fillId="0" borderId="95" xfId="0" applyFont="1" applyFill="1" applyBorder="1" applyAlignment="1">
      <alignment horizontal="center" vertical="center" wrapText="1"/>
    </xf>
    <xf numFmtId="0" fontId="62" fillId="0" borderId="96" xfId="0" applyFont="1" applyFill="1" applyBorder="1" applyAlignment="1">
      <alignment horizontal="center" vertical="center" wrapText="1"/>
    </xf>
    <xf numFmtId="0" fontId="63" fillId="0" borderId="96" xfId="0" applyFont="1" applyFill="1" applyBorder="1">
      <alignment vertical="center"/>
    </xf>
    <xf numFmtId="0" fontId="12" fillId="0" borderId="67" xfId="0" applyFont="1" applyBorder="1" applyAlignment="1" applyProtection="1">
      <alignment horizontal="center" vertical="center" wrapText="1"/>
    </xf>
    <xf numFmtId="0" fontId="12" fillId="0" borderId="58" xfId="0" applyFont="1" applyFill="1" applyBorder="1" applyAlignment="1" applyProtection="1">
      <alignment horizontal="center" vertical="center" wrapText="1"/>
    </xf>
    <xf numFmtId="0" fontId="12" fillId="0" borderId="16"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wrapText="1"/>
    </xf>
    <xf numFmtId="0" fontId="12" fillId="0" borderId="25" xfId="0" applyFont="1" applyFill="1" applyBorder="1" applyAlignment="1" applyProtection="1">
      <alignment horizontal="center" vertical="top" wrapText="1"/>
    </xf>
    <xf numFmtId="0" fontId="12" fillId="0" borderId="26" xfId="0" applyFont="1" applyFill="1" applyBorder="1" applyAlignment="1" applyProtection="1">
      <alignment horizontal="center" vertical="top" wrapText="1"/>
    </xf>
    <xf numFmtId="0" fontId="12" fillId="0" borderId="79" xfId="0" applyFont="1" applyFill="1" applyBorder="1" applyAlignment="1" applyProtection="1">
      <alignment horizontal="center" vertical="top" wrapText="1"/>
    </xf>
    <xf numFmtId="0" fontId="8" fillId="0" borderId="56" xfId="0" applyFont="1" applyBorder="1" applyAlignment="1" applyProtection="1">
      <alignment horizontal="center" vertical="center"/>
    </xf>
    <xf numFmtId="0" fontId="5" fillId="0" borderId="1" xfId="0" applyFont="1" applyBorder="1" applyAlignment="1" applyProtection="1">
      <alignment horizontal="center" vertical="top" wrapText="1"/>
    </xf>
    <xf numFmtId="183" fontId="4" fillId="2" borderId="82" xfId="0" applyNumberFormat="1" applyFont="1" applyFill="1" applyBorder="1" applyAlignment="1" applyProtection="1">
      <alignment horizontal="center" vertical="center" shrinkToFit="1"/>
    </xf>
    <xf numFmtId="183" fontId="4" fillId="2" borderId="83" xfId="0" applyNumberFormat="1" applyFont="1" applyFill="1" applyBorder="1" applyAlignment="1" applyProtection="1">
      <alignment horizontal="center" vertical="center" shrinkToFit="1"/>
    </xf>
    <xf numFmtId="183" fontId="4" fillId="2" borderId="84" xfId="0" applyNumberFormat="1" applyFont="1" applyFill="1" applyBorder="1" applyAlignment="1" applyProtection="1">
      <alignment horizontal="center" vertical="center" shrinkToFit="1"/>
    </xf>
    <xf numFmtId="0" fontId="4" fillId="0" borderId="22" xfId="0" applyFont="1" applyBorder="1" applyAlignment="1" applyProtection="1">
      <alignment horizontal="center" vertical="center"/>
    </xf>
    <xf numFmtId="0" fontId="4" fillId="0" borderId="67" xfId="0" applyFont="1" applyBorder="1" applyAlignment="1" applyProtection="1">
      <alignment horizontal="center" vertical="center"/>
    </xf>
    <xf numFmtId="0" fontId="4" fillId="0" borderId="24" xfId="0" applyFont="1" applyBorder="1" applyAlignment="1" applyProtection="1">
      <alignment horizontal="center" vertical="center"/>
    </xf>
    <xf numFmtId="0" fontId="8" fillId="0" borderId="56" xfId="0" applyFont="1" applyBorder="1" applyAlignment="1" applyProtection="1">
      <alignment horizontal="center" vertical="center" shrinkToFit="1"/>
      <protection locked="0"/>
    </xf>
    <xf numFmtId="0" fontId="7" fillId="0" borderId="67" xfId="0" applyFont="1" applyBorder="1" applyAlignment="1" applyProtection="1">
      <alignment horizontal="center" vertical="center"/>
    </xf>
    <xf numFmtId="0" fontId="10" fillId="0" borderId="67" xfId="0" applyFont="1" applyBorder="1" applyAlignment="1" applyProtection="1">
      <alignment horizontal="center" vertical="center"/>
    </xf>
    <xf numFmtId="0" fontId="10" fillId="0" borderId="24" xfId="0" applyFont="1" applyBorder="1" applyAlignment="1" applyProtection="1">
      <alignment horizontal="center" vertical="center"/>
    </xf>
    <xf numFmtId="0" fontId="7" fillId="0" borderId="22" xfId="0" applyFont="1" applyBorder="1" applyAlignment="1" applyProtection="1">
      <alignment horizontal="center" vertical="center" textRotation="255"/>
    </xf>
    <xf numFmtId="0" fontId="7" fillId="0" borderId="67" xfId="0" applyFont="1" applyBorder="1" applyAlignment="1" applyProtection="1">
      <alignment horizontal="center" vertical="center" textRotation="255"/>
    </xf>
    <xf numFmtId="0" fontId="7" fillId="0" borderId="24" xfId="0" applyFont="1" applyBorder="1" applyAlignment="1" applyProtection="1">
      <alignment horizontal="center" vertical="center" textRotation="255"/>
    </xf>
    <xf numFmtId="187" fontId="4" fillId="2" borderId="41" xfId="0" applyNumberFormat="1" applyFont="1" applyFill="1" applyBorder="1" applyAlignment="1" applyProtection="1">
      <alignment horizontal="center" vertical="center"/>
    </xf>
    <xf numFmtId="187" fontId="4" fillId="2" borderId="91" xfId="0" applyNumberFormat="1" applyFont="1" applyFill="1" applyBorder="1" applyAlignment="1" applyProtection="1">
      <alignment horizontal="center" vertical="center"/>
    </xf>
    <xf numFmtId="0" fontId="4" fillId="0" borderId="24"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182" fontId="4" fillId="2" borderId="83" xfId="0" applyNumberFormat="1" applyFont="1" applyFill="1" applyBorder="1" applyAlignment="1">
      <alignment horizontal="right" vertical="center"/>
    </xf>
    <xf numFmtId="182" fontId="4" fillId="2" borderId="84" xfId="0" applyNumberFormat="1" applyFont="1" applyFill="1" applyBorder="1" applyAlignment="1">
      <alignment horizontal="right" vertical="center"/>
    </xf>
    <xf numFmtId="182" fontId="4" fillId="2" borderId="127" xfId="0" applyNumberFormat="1" applyFont="1" applyFill="1" applyBorder="1" applyAlignment="1" applyProtection="1">
      <alignment horizontal="right" vertical="center"/>
    </xf>
    <xf numFmtId="181" fontId="4" fillId="2" borderId="130" xfId="0" applyNumberFormat="1" applyFont="1" applyFill="1" applyBorder="1" applyAlignment="1" applyProtection="1">
      <alignment horizontal="right" vertical="center"/>
    </xf>
    <xf numFmtId="0" fontId="0" fillId="0" borderId="97" xfId="0" applyBorder="1" applyAlignment="1">
      <alignment horizontal="left" vertical="center" wrapText="1"/>
    </xf>
    <xf numFmtId="0" fontId="0" fillId="0" borderId="58" xfId="0" applyBorder="1" applyAlignment="1">
      <alignment horizontal="left" vertical="center" wrapText="1"/>
    </xf>
    <xf numFmtId="0" fontId="0" fillId="0" borderId="85" xfId="0" applyBorder="1" applyAlignment="1">
      <alignment horizontal="left" vertical="center" wrapText="1"/>
    </xf>
    <xf numFmtId="183" fontId="4" fillId="2" borderId="84" xfId="0" applyNumberFormat="1" applyFont="1" applyFill="1" applyBorder="1" applyAlignment="1" applyProtection="1">
      <alignment horizontal="right" vertical="center"/>
    </xf>
    <xf numFmtId="183" fontId="4" fillId="2" borderId="130" xfId="0" applyNumberFormat="1" applyFont="1" applyFill="1" applyBorder="1" applyAlignment="1" applyProtection="1">
      <alignment horizontal="center" vertical="center"/>
    </xf>
    <xf numFmtId="177" fontId="4" fillId="2" borderId="23" xfId="0" applyNumberFormat="1" applyFont="1" applyFill="1" applyBorder="1" applyAlignment="1" applyProtection="1">
      <alignment horizontal="right" vertical="center"/>
    </xf>
    <xf numFmtId="177" fontId="4" fillId="2" borderId="46" xfId="0" applyNumberFormat="1" applyFont="1" applyFill="1" applyBorder="1" applyAlignment="1" applyProtection="1">
      <alignment horizontal="right" vertical="center"/>
    </xf>
    <xf numFmtId="177" fontId="4" fillId="2" borderId="59" xfId="0" applyNumberFormat="1" applyFont="1" applyFill="1" applyBorder="1" applyAlignment="1" applyProtection="1">
      <alignment horizontal="right" vertical="center"/>
    </xf>
    <xf numFmtId="0" fontId="13" fillId="0" borderId="97" xfId="0" applyFont="1" applyFill="1" applyBorder="1" applyAlignment="1" applyProtection="1">
      <alignment horizontal="center" vertical="center" wrapText="1"/>
    </xf>
    <xf numFmtId="0" fontId="13" fillId="0" borderId="85" xfId="0" applyFont="1" applyFill="1" applyBorder="1" applyAlignment="1" applyProtection="1">
      <alignment horizontal="center" vertical="center" wrapText="1"/>
    </xf>
    <xf numFmtId="0" fontId="13" fillId="0" borderId="98" xfId="0" applyFont="1" applyFill="1" applyBorder="1" applyAlignment="1" applyProtection="1">
      <alignment horizontal="center" vertical="center" wrapText="1"/>
    </xf>
    <xf numFmtId="0" fontId="13" fillId="0" borderId="86" xfId="0" applyFont="1" applyFill="1" applyBorder="1" applyAlignment="1" applyProtection="1">
      <alignment horizontal="center" vertical="center" wrapText="1"/>
    </xf>
    <xf numFmtId="0" fontId="4" fillId="2" borderId="41" xfId="0" applyNumberFormat="1" applyFont="1" applyFill="1" applyBorder="1" applyAlignment="1" applyProtection="1">
      <alignment horizontal="center" vertical="center"/>
    </xf>
    <xf numFmtId="183" fontId="4" fillId="2" borderId="220" xfId="0" applyNumberFormat="1" applyFont="1" applyFill="1" applyBorder="1" applyAlignment="1" applyProtection="1">
      <alignment horizontal="center" vertical="center"/>
    </xf>
    <xf numFmtId="183" fontId="0" fillId="4" borderId="169" xfId="0" applyNumberFormat="1" applyFont="1" applyFill="1" applyBorder="1" applyAlignment="1" applyProtection="1">
      <alignment horizontal="center" vertical="center"/>
    </xf>
    <xf numFmtId="183" fontId="0" fillId="4" borderId="67" xfId="0" applyNumberFormat="1" applyFont="1" applyFill="1" applyBorder="1" applyAlignment="1" applyProtection="1">
      <alignment horizontal="center" vertical="center"/>
    </xf>
    <xf numFmtId="183" fontId="0" fillId="4" borderId="24" xfId="0" applyNumberFormat="1" applyFont="1" applyFill="1" applyBorder="1" applyAlignment="1" applyProtection="1">
      <alignment horizontal="center" vertical="center"/>
    </xf>
    <xf numFmtId="183" fontId="4" fillId="2" borderId="199" xfId="0" applyNumberFormat="1" applyFont="1" applyFill="1" applyBorder="1" applyAlignment="1" applyProtection="1">
      <alignment horizontal="right" vertical="center"/>
    </xf>
    <xf numFmtId="187" fontId="4" fillId="2" borderId="128" xfId="0" applyNumberFormat="1" applyFont="1" applyFill="1" applyBorder="1" applyAlignment="1" applyProtection="1">
      <alignment horizontal="center" vertical="center"/>
    </xf>
    <xf numFmtId="0" fontId="32" fillId="0" borderId="2" xfId="3" applyFont="1" applyBorder="1" applyAlignment="1">
      <alignment horizontal="center" vertical="top"/>
    </xf>
    <xf numFmtId="0" fontId="32" fillId="0" borderId="8" xfId="3" applyFont="1" applyBorder="1" applyAlignment="1">
      <alignment horizontal="center" vertical="top"/>
    </xf>
    <xf numFmtId="0" fontId="39" fillId="0" borderId="2" xfId="3" applyFont="1" applyBorder="1" applyAlignment="1">
      <alignment horizontal="center" vertical="top"/>
    </xf>
    <xf numFmtId="0" fontId="39" fillId="0" borderId="8" xfId="3" applyFont="1" applyBorder="1" applyAlignment="1">
      <alignment horizontal="center" vertical="top"/>
    </xf>
    <xf numFmtId="0" fontId="4" fillId="0" borderId="1" xfId="0" applyFont="1" applyBorder="1" applyAlignment="1" applyProtection="1">
      <alignment horizontal="center" vertical="center"/>
    </xf>
    <xf numFmtId="0" fontId="4" fillId="0" borderId="123" xfId="0" applyFont="1" applyBorder="1" applyAlignment="1" applyProtection="1">
      <alignment horizontal="center" vertical="center"/>
    </xf>
    <xf numFmtId="183" fontId="4" fillId="2" borderId="127" xfId="0" applyNumberFormat="1" applyFont="1" applyFill="1" applyBorder="1" applyAlignment="1" applyProtection="1">
      <alignment horizontal="center" vertical="center" shrinkToFit="1"/>
    </xf>
    <xf numFmtId="183" fontId="4" fillId="2" borderId="127" xfId="0" applyNumberFormat="1" applyFont="1" applyFill="1" applyBorder="1" applyAlignment="1" applyProtection="1">
      <alignment horizontal="right" vertical="center" shrinkToFit="1"/>
    </xf>
    <xf numFmtId="0" fontId="5" fillId="5" borderId="230" xfId="0" applyFont="1" applyFill="1" applyBorder="1" applyAlignment="1">
      <alignment horizontal="left" vertical="center" wrapText="1"/>
    </xf>
    <xf numFmtId="0" fontId="5" fillId="5" borderId="24" xfId="0" applyFont="1" applyFill="1" applyBorder="1" applyAlignment="1">
      <alignment horizontal="left" vertical="center"/>
    </xf>
    <xf numFmtId="0" fontId="5" fillId="5" borderId="231" xfId="0" applyFont="1" applyFill="1" applyBorder="1" applyAlignment="1">
      <alignment horizontal="left" vertical="center"/>
    </xf>
    <xf numFmtId="0" fontId="4" fillId="5" borderId="60"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5" borderId="191" xfId="0" applyFont="1" applyFill="1" applyBorder="1" applyAlignment="1">
      <alignment horizontal="left" vertical="center" wrapText="1"/>
    </xf>
    <xf numFmtId="185" fontId="0" fillId="0" borderId="1" xfId="0" applyNumberFormat="1" applyBorder="1" applyAlignment="1">
      <alignment horizontal="right" vertical="center"/>
    </xf>
    <xf numFmtId="0" fontId="4" fillId="5" borderId="192" xfId="0" applyFont="1" applyFill="1" applyBorder="1" applyAlignment="1">
      <alignment horizontal="left" vertical="center" wrapText="1"/>
    </xf>
    <xf numFmtId="0" fontId="4" fillId="5" borderId="22" xfId="0" applyFont="1" applyFill="1" applyBorder="1" applyAlignment="1">
      <alignment horizontal="left" vertical="center" wrapText="1"/>
    </xf>
    <xf numFmtId="0" fontId="4" fillId="5" borderId="193" xfId="0" applyFont="1" applyFill="1" applyBorder="1" applyAlignment="1">
      <alignment horizontal="left" vertical="center" wrapText="1"/>
    </xf>
    <xf numFmtId="0" fontId="7" fillId="5" borderId="194" xfId="0" applyFont="1" applyFill="1" applyBorder="1" applyAlignment="1">
      <alignment horizontal="left" vertical="center" wrapText="1"/>
    </xf>
    <xf numFmtId="0" fontId="7" fillId="5" borderId="195" xfId="0" applyFont="1" applyFill="1" applyBorder="1" applyAlignment="1">
      <alignment horizontal="left" vertical="center" wrapText="1"/>
    </xf>
    <xf numFmtId="0" fontId="8" fillId="5" borderId="178" xfId="0" applyFont="1" applyFill="1" applyBorder="1" applyAlignment="1">
      <alignment horizontal="left" vertical="center" shrinkToFit="1"/>
    </xf>
    <xf numFmtId="0" fontId="8" fillId="5" borderId="179" xfId="0" applyFont="1" applyFill="1" applyBorder="1" applyAlignment="1">
      <alignment horizontal="left" vertical="center" shrinkToFit="1"/>
    </xf>
    <xf numFmtId="0" fontId="8" fillId="5" borderId="180" xfId="0" applyFont="1" applyFill="1" applyBorder="1" applyAlignment="1">
      <alignment horizontal="left" vertical="center" shrinkToFit="1"/>
    </xf>
    <xf numFmtId="0" fontId="8" fillId="5" borderId="181" xfId="0" applyFont="1" applyFill="1" applyBorder="1" applyAlignment="1">
      <alignment horizontal="left" vertical="center"/>
    </xf>
    <xf numFmtId="0" fontId="8" fillId="5" borderId="182" xfId="0" applyFont="1" applyFill="1" applyBorder="1" applyAlignment="1">
      <alignment horizontal="left" vertical="center"/>
    </xf>
    <xf numFmtId="0" fontId="8" fillId="5" borderId="16" xfId="0" applyFont="1" applyFill="1" applyBorder="1" applyAlignment="1">
      <alignment horizontal="left" vertical="center"/>
    </xf>
    <xf numFmtId="0" fontId="8" fillId="5" borderId="105" xfId="0" applyFont="1" applyFill="1" applyBorder="1" applyAlignment="1">
      <alignment horizontal="left" vertical="center"/>
    </xf>
    <xf numFmtId="0" fontId="21" fillId="5" borderId="60" xfId="0" applyFont="1" applyFill="1" applyBorder="1" applyAlignment="1">
      <alignment horizontal="center" vertical="center"/>
    </xf>
    <xf numFmtId="0" fontId="21" fillId="5" borderId="1" xfId="0" applyFont="1" applyFill="1" applyBorder="1" applyAlignment="1">
      <alignment horizontal="center" vertical="center"/>
    </xf>
    <xf numFmtId="0" fontId="21" fillId="5" borderId="144" xfId="0" applyFont="1" applyFill="1" applyBorder="1" applyAlignment="1">
      <alignment horizontal="center" vertical="center"/>
    </xf>
    <xf numFmtId="195" fontId="8" fillId="2" borderId="194" xfId="0" applyNumberFormat="1" applyFont="1" applyFill="1" applyBorder="1" applyAlignment="1">
      <alignment horizontal="center" vertical="center" wrapText="1"/>
    </xf>
    <xf numFmtId="195" fontId="8" fillId="2" borderId="195" xfId="0" applyNumberFormat="1" applyFont="1" applyFill="1" applyBorder="1" applyAlignment="1">
      <alignment horizontal="center" vertical="center" wrapText="1"/>
    </xf>
    <xf numFmtId="195" fontId="8" fillId="2" borderId="195" xfId="0" applyNumberFormat="1" applyFont="1" applyFill="1" applyBorder="1" applyAlignment="1">
      <alignment horizontal="center" vertical="center"/>
    </xf>
    <xf numFmtId="195" fontId="8" fillId="2" borderId="198" xfId="0" applyNumberFormat="1" applyFont="1" applyFill="1" applyBorder="1" applyAlignment="1">
      <alignment horizontal="center" vertical="center"/>
    </xf>
    <xf numFmtId="195" fontId="0" fillId="5" borderId="185" xfId="0" applyNumberFormat="1" applyFill="1" applyBorder="1" applyAlignment="1">
      <alignment horizontal="center" vertical="center" wrapText="1"/>
    </xf>
    <xf numFmtId="195" fontId="0" fillId="5" borderId="187" xfId="0" applyNumberFormat="1" applyFill="1" applyBorder="1" applyAlignment="1">
      <alignment horizontal="center" vertical="center" wrapText="1"/>
    </xf>
    <xf numFmtId="185" fontId="4" fillId="2" borderId="93" xfId="0" applyNumberFormat="1" applyFont="1" applyFill="1" applyBorder="1" applyAlignment="1">
      <alignment horizontal="right" vertical="center"/>
    </xf>
    <xf numFmtId="185" fontId="4" fillId="2" borderId="94" xfId="0" applyNumberFormat="1" applyFont="1" applyFill="1" applyBorder="1" applyAlignment="1">
      <alignment horizontal="right" vertical="center"/>
    </xf>
    <xf numFmtId="185" fontId="0" fillId="2" borderId="67" xfId="0" applyNumberFormat="1" applyFill="1" applyBorder="1" applyAlignment="1">
      <alignment horizontal="right" vertical="center"/>
    </xf>
    <xf numFmtId="185" fontId="0" fillId="2" borderId="24" xfId="0" applyNumberFormat="1" applyFill="1" applyBorder="1" applyAlignment="1">
      <alignment horizontal="right" vertical="center"/>
    </xf>
    <xf numFmtId="185" fontId="4" fillId="2" borderId="135" xfId="0" applyNumberFormat="1" applyFont="1" applyFill="1" applyBorder="1" applyAlignment="1" applyProtection="1">
      <alignment horizontal="right" vertical="center"/>
    </xf>
    <xf numFmtId="185" fontId="0" fillId="0" borderId="130" xfId="0" applyNumberFormat="1" applyFont="1" applyFill="1" applyBorder="1" applyAlignment="1" applyProtection="1">
      <alignment horizontal="right" vertical="center"/>
      <protection locked="0"/>
    </xf>
    <xf numFmtId="179" fontId="0" fillId="0" borderId="1" xfId="0" applyNumberFormat="1" applyBorder="1" applyAlignment="1">
      <alignment horizontal="center" vertical="center"/>
    </xf>
    <xf numFmtId="179" fontId="0" fillId="0" borderId="24" xfId="0" applyNumberFormat="1" applyBorder="1" applyAlignment="1">
      <alignment horizontal="center" vertical="center"/>
    </xf>
    <xf numFmtId="179" fontId="0" fillId="0" borderId="22" xfId="0" applyNumberFormat="1" applyBorder="1" applyAlignment="1">
      <alignment horizontal="center" vertical="center"/>
    </xf>
    <xf numFmtId="179" fontId="0" fillId="0" borderId="67" xfId="0" applyNumberFormat="1" applyBorder="1" applyAlignment="1">
      <alignment horizontal="center" vertical="center"/>
    </xf>
    <xf numFmtId="0" fontId="60" fillId="0" borderId="22" xfId="0" applyFont="1" applyBorder="1" applyAlignment="1">
      <alignment horizontal="center" vertical="center"/>
    </xf>
    <xf numFmtId="0" fontId="60" fillId="0" borderId="24" xfId="0" applyFont="1" applyBorder="1" applyAlignment="1">
      <alignment horizontal="center" vertical="center"/>
    </xf>
    <xf numFmtId="0" fontId="60" fillId="0" borderId="22"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2"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4" xfId="0" applyFont="1" applyBorder="1" applyAlignment="1">
      <alignment horizontal="center" vertical="center" wrapText="1"/>
    </xf>
    <xf numFmtId="0" fontId="4" fillId="2" borderId="23" xfId="0" applyFont="1" applyFill="1" applyBorder="1" applyAlignment="1">
      <alignment horizontal="left" vertical="center" wrapText="1"/>
    </xf>
    <xf numFmtId="0" fontId="4" fillId="2" borderId="58" xfId="0" applyFont="1" applyFill="1" applyBorder="1" applyAlignment="1">
      <alignment horizontal="left" vertical="center" wrapText="1"/>
    </xf>
    <xf numFmtId="0" fontId="4" fillId="2" borderId="85" xfId="0" applyFont="1" applyFill="1" applyBorder="1" applyAlignment="1">
      <alignment horizontal="left" vertical="center" wrapText="1"/>
    </xf>
    <xf numFmtId="0" fontId="4" fillId="2" borderId="59"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86" xfId="0" applyFont="1" applyFill="1" applyBorder="1" applyAlignment="1">
      <alignment horizontal="left" vertical="center" wrapText="1"/>
    </xf>
    <xf numFmtId="0" fontId="0" fillId="0" borderId="23" xfId="0" applyBorder="1" applyAlignment="1">
      <alignment horizontal="center" vertical="center"/>
    </xf>
    <xf numFmtId="0" fontId="0" fillId="0" borderId="85" xfId="0" applyBorder="1" applyAlignment="1">
      <alignment horizontal="center" vertical="center"/>
    </xf>
    <xf numFmtId="0" fontId="0" fillId="0" borderId="59" xfId="0" applyBorder="1" applyAlignment="1">
      <alignment horizontal="center" vertical="center"/>
    </xf>
    <xf numFmtId="0" fontId="0" fillId="0" borderId="86"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0" fontId="0" fillId="0" borderId="18" xfId="0" applyBorder="1" applyAlignment="1">
      <alignment horizontal="center" vertical="center"/>
    </xf>
    <xf numFmtId="0" fontId="0" fillId="0" borderId="37" xfId="0" applyBorder="1" applyAlignment="1">
      <alignment horizontal="center" vertical="center"/>
    </xf>
    <xf numFmtId="0" fontId="0" fillId="0" borderId="8" xfId="0" applyBorder="1" applyAlignment="1">
      <alignment horizontal="center" vertical="center"/>
    </xf>
    <xf numFmtId="0" fontId="21" fillId="0" borderId="0" xfId="0" applyFont="1" applyFill="1" applyAlignment="1">
      <alignment horizontal="center" vertical="center"/>
    </xf>
    <xf numFmtId="0" fontId="11" fillId="7" borderId="0" xfId="0" applyFont="1" applyFill="1" applyAlignment="1">
      <alignment horizontal="center" vertical="center"/>
    </xf>
    <xf numFmtId="0" fontId="0" fillId="0" borderId="0" xfId="0" applyAlignment="1">
      <alignment horizontal="center" vertical="center" wrapText="1"/>
    </xf>
    <xf numFmtId="0" fontId="5" fillId="0" borderId="0" xfId="0" applyFont="1" applyAlignment="1">
      <alignment horizontal="center" vertical="center" wrapText="1"/>
    </xf>
    <xf numFmtId="0" fontId="4" fillId="0" borderId="23" xfId="0" applyFont="1" applyBorder="1" applyAlignment="1">
      <alignment horizontal="center" vertical="center"/>
    </xf>
    <xf numFmtId="0" fontId="4" fillId="0" borderId="59" xfId="0" applyFont="1" applyBorder="1" applyAlignment="1">
      <alignment horizontal="center" vertical="center"/>
    </xf>
    <xf numFmtId="190" fontId="0" fillId="2" borderId="55" xfId="0" applyNumberFormat="1" applyFill="1" applyBorder="1" applyAlignment="1">
      <alignment horizontal="center" vertical="center"/>
    </xf>
    <xf numFmtId="190" fontId="0" fillId="2" borderId="99" xfId="0" applyNumberFormat="1" applyFill="1" applyBorder="1" applyAlignment="1">
      <alignment horizontal="center" vertical="center"/>
    </xf>
    <xf numFmtId="185" fontId="0" fillId="0" borderId="0" xfId="0" applyNumberFormat="1" applyAlignment="1">
      <alignment horizontal="center" vertical="center"/>
    </xf>
    <xf numFmtId="0" fontId="4" fillId="0" borderId="106" xfId="0" applyFont="1" applyBorder="1" applyAlignment="1">
      <alignment horizontal="center" vertical="center"/>
    </xf>
    <xf numFmtId="0" fontId="4" fillId="0" borderId="107" xfId="0" applyFont="1" applyBorder="1" applyAlignment="1">
      <alignment horizontal="center" vertical="center"/>
    </xf>
    <xf numFmtId="0" fontId="4" fillId="0" borderId="13" xfId="0" applyFont="1" applyBorder="1" applyAlignment="1">
      <alignment horizontal="center" vertical="center"/>
    </xf>
    <xf numFmtId="0" fontId="4" fillId="0" borderId="46" xfId="0" applyFont="1" applyBorder="1" applyAlignment="1">
      <alignment horizontal="center" vertical="center"/>
    </xf>
    <xf numFmtId="190" fontId="0" fillId="2" borderId="45" xfId="0" applyNumberFormat="1" applyFill="1" applyBorder="1" applyAlignment="1">
      <alignment horizontal="center" vertical="center"/>
    </xf>
    <xf numFmtId="0" fontId="6" fillId="0" borderId="1" xfId="0" applyFont="1" applyBorder="1" applyAlignment="1">
      <alignment horizontal="center" vertical="center" wrapText="1"/>
    </xf>
    <xf numFmtId="0" fontId="0" fillId="15" borderId="1" xfId="0" applyFill="1" applyBorder="1" applyAlignment="1">
      <alignment horizontal="center" vertical="center"/>
    </xf>
    <xf numFmtId="0" fontId="53" fillId="0" borderId="2" xfId="0" applyFont="1" applyBorder="1" applyAlignment="1">
      <alignment horizontal="center" vertical="center"/>
    </xf>
    <xf numFmtId="0" fontId="53" fillId="0" borderId="7" xfId="0" applyFont="1" applyBorder="1" applyAlignment="1">
      <alignment horizontal="center" vertical="center"/>
    </xf>
    <xf numFmtId="0" fontId="53" fillId="0" borderId="18" xfId="0" applyFont="1" applyBorder="1" applyAlignment="1">
      <alignment horizontal="center" vertical="center"/>
    </xf>
    <xf numFmtId="0" fontId="54" fillId="0" borderId="7" xfId="0" applyFont="1" applyBorder="1" applyAlignment="1">
      <alignment horizontal="center" vertical="center"/>
    </xf>
    <xf numFmtId="0" fontId="0" fillId="0" borderId="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8" fillId="0" borderId="2" xfId="0" applyFont="1" applyBorder="1" applyAlignment="1" applyProtection="1">
      <alignment horizontal="center" vertical="center"/>
    </xf>
    <xf numFmtId="0" fontId="8" fillId="0" borderId="7" xfId="0" applyFont="1" applyBorder="1" applyAlignment="1" applyProtection="1">
      <alignment horizontal="center" vertical="center"/>
    </xf>
    <xf numFmtId="0" fontId="0" fillId="0" borderId="7" xfId="0" applyBorder="1" applyAlignment="1" applyProtection="1">
      <alignment horizontal="center" vertical="center"/>
    </xf>
    <xf numFmtId="0" fontId="5" fillId="0" borderId="22" xfId="0" applyFont="1" applyBorder="1" applyAlignment="1" applyProtection="1">
      <alignment horizontal="center" vertical="center"/>
    </xf>
    <xf numFmtId="0" fontId="6" fillId="0" borderId="67" xfId="0" applyFont="1" applyBorder="1" applyAlignment="1" applyProtection="1">
      <alignment horizontal="center" vertical="center"/>
    </xf>
    <xf numFmtId="0" fontId="5" fillId="0" borderId="23" xfId="0" applyFont="1" applyBorder="1" applyAlignment="1" applyProtection="1">
      <alignment horizontal="center" vertical="center"/>
    </xf>
    <xf numFmtId="0" fontId="0" fillId="0" borderId="85" xfId="0" applyBorder="1" applyAlignment="1" applyProtection="1">
      <alignment horizontal="center" vertical="center"/>
    </xf>
    <xf numFmtId="0" fontId="0" fillId="0" borderId="59" xfId="0" applyBorder="1" applyAlignment="1" applyProtection="1">
      <alignment horizontal="center" vertical="center"/>
    </xf>
    <xf numFmtId="0" fontId="0" fillId="0" borderId="86" xfId="0" applyBorder="1" applyAlignment="1" applyProtection="1">
      <alignment horizontal="center" vertical="center"/>
    </xf>
    <xf numFmtId="0" fontId="5" fillId="0" borderId="2" xfId="0" applyFont="1" applyBorder="1" applyAlignment="1" applyProtection="1">
      <alignment horizontal="center" vertical="center"/>
    </xf>
    <xf numFmtId="0" fontId="5" fillId="0" borderId="7" xfId="0" applyFont="1" applyBorder="1" applyAlignment="1" applyProtection="1">
      <alignment horizontal="center" vertical="center"/>
    </xf>
    <xf numFmtId="0" fontId="5" fillId="0" borderId="18" xfId="0" applyFont="1" applyBorder="1" applyAlignment="1" applyProtection="1">
      <alignment horizontal="center" vertical="center"/>
    </xf>
    <xf numFmtId="0" fontId="0" fillId="0" borderId="12"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0" fontId="21" fillId="0" borderId="1" xfId="0" applyFont="1" applyBorder="1" applyAlignment="1" applyProtection="1">
      <alignment horizontal="center" vertical="center" wrapText="1"/>
    </xf>
    <xf numFmtId="0" fontId="0" fillId="0" borderId="23" xfId="0" applyBorder="1" applyAlignment="1" applyProtection="1">
      <alignment horizontal="center" vertical="center"/>
      <protection locked="0"/>
    </xf>
    <xf numFmtId="0" fontId="0" fillId="0" borderId="85" xfId="0" applyBorder="1" applyAlignment="1" applyProtection="1">
      <alignment horizontal="center" vertical="center"/>
      <protection locked="0"/>
    </xf>
    <xf numFmtId="186" fontId="8" fillId="2" borderId="108" xfId="0" applyNumberFormat="1" applyFont="1" applyFill="1" applyBorder="1" applyAlignment="1" applyProtection="1">
      <alignment horizontal="center" vertical="center" shrinkToFit="1"/>
    </xf>
    <xf numFmtId="0" fontId="0" fillId="2" borderId="109" xfId="0" applyFill="1" applyBorder="1" applyAlignment="1" applyProtection="1">
      <alignment horizontal="center" vertical="center" shrinkToFit="1"/>
    </xf>
    <xf numFmtId="0" fontId="0" fillId="2" borderId="110" xfId="0" applyFill="1" applyBorder="1" applyAlignment="1" applyProtection="1">
      <alignment horizontal="center" vertical="center" shrinkToFit="1"/>
    </xf>
    <xf numFmtId="0" fontId="0" fillId="0" borderId="0" xfId="0" applyBorder="1" applyAlignment="1" applyProtection="1">
      <alignment horizontal="center" vertical="center"/>
    </xf>
    <xf numFmtId="198" fontId="4" fillId="2" borderId="59" xfId="0" applyNumberFormat="1" applyFont="1" applyFill="1" applyBorder="1" applyAlignment="1" applyProtection="1">
      <alignment vertical="center"/>
    </xf>
    <xf numFmtId="198" fontId="4" fillId="2" borderId="86" xfId="0" applyNumberFormat="1" applyFont="1" applyFill="1" applyBorder="1" applyAlignment="1" applyProtection="1">
      <alignment vertical="center"/>
    </xf>
    <xf numFmtId="0" fontId="8" fillId="0" borderId="59" xfId="0" applyFont="1" applyBorder="1" applyAlignment="1" applyProtection="1">
      <alignment horizontal="center" vertical="center" shrinkToFit="1"/>
    </xf>
    <xf numFmtId="0" fontId="8" fillId="0" borderId="16" xfId="0" applyFont="1" applyBorder="1" applyAlignment="1" applyProtection="1">
      <alignment horizontal="center" vertical="center" shrinkToFit="1"/>
    </xf>
    <xf numFmtId="0" fontId="8" fillId="0" borderId="86" xfId="0" applyFont="1" applyBorder="1" applyAlignment="1" applyProtection="1">
      <alignment horizontal="center" vertical="center" shrinkToFit="1"/>
    </xf>
    <xf numFmtId="0" fontId="0" fillId="0" borderId="1" xfId="0" applyBorder="1" applyAlignment="1" applyProtection="1">
      <alignment horizontal="center" vertical="center" wrapText="1"/>
    </xf>
    <xf numFmtId="178" fontId="4" fillId="2" borderId="59" xfId="0" applyNumberFormat="1" applyFont="1" applyFill="1" applyBorder="1" applyAlignment="1" applyProtection="1">
      <alignment vertical="center"/>
    </xf>
    <xf numFmtId="178" fontId="4" fillId="2" borderId="86" xfId="0" applyNumberFormat="1" applyFont="1" applyFill="1" applyBorder="1" applyAlignment="1" applyProtection="1">
      <alignment vertical="center"/>
    </xf>
    <xf numFmtId="178" fontId="4" fillId="2" borderId="16" xfId="0" applyNumberFormat="1" applyFont="1" applyFill="1" applyBorder="1" applyAlignment="1" applyProtection="1">
      <alignment vertical="center"/>
    </xf>
    <xf numFmtId="0" fontId="0" fillId="0" borderId="32"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8" xfId="0" applyBorder="1" applyAlignment="1" applyProtection="1">
      <alignment horizontal="center" vertical="center" wrapText="1"/>
    </xf>
    <xf numFmtId="178" fontId="4" fillId="2" borderId="113" xfId="0" applyNumberFormat="1" applyFont="1" applyFill="1" applyBorder="1" applyAlignment="1" applyProtection="1">
      <alignment horizontal="right" vertical="center"/>
    </xf>
    <xf numFmtId="0" fontId="8" fillId="0" borderId="59" xfId="0" applyFont="1" applyBorder="1" applyAlignment="1" applyProtection="1">
      <alignment horizontal="center" vertical="center"/>
    </xf>
    <xf numFmtId="0" fontId="8" fillId="0" borderId="16" xfId="0" applyFont="1" applyBorder="1" applyAlignment="1" applyProtection="1">
      <alignment horizontal="center" vertical="center"/>
    </xf>
    <xf numFmtId="0" fontId="8" fillId="0" borderId="86" xfId="0" applyFont="1" applyBorder="1" applyAlignment="1" applyProtection="1">
      <alignment horizontal="center" vertical="center"/>
    </xf>
    <xf numFmtId="0" fontId="6" fillId="0" borderId="24" xfId="0" applyFont="1" applyBorder="1" applyAlignment="1" applyProtection="1">
      <alignment horizontal="center" vertical="center"/>
    </xf>
    <xf numFmtId="0" fontId="5" fillId="0" borderId="22" xfId="0" applyFont="1" applyBorder="1" applyAlignment="1" applyProtection="1">
      <alignment horizontal="center" vertical="center" wrapText="1"/>
    </xf>
    <xf numFmtId="0" fontId="6" fillId="0" borderId="67" xfId="0" applyFont="1" applyBorder="1" applyAlignment="1" applyProtection="1">
      <alignment vertical="center"/>
    </xf>
    <xf numFmtId="0" fontId="6" fillId="0" borderId="24" xfId="0" applyFont="1" applyBorder="1" applyAlignment="1" applyProtection="1">
      <alignment vertical="center"/>
    </xf>
    <xf numFmtId="0" fontId="5" fillId="0" borderId="114" xfId="0" applyFont="1" applyBorder="1" applyAlignment="1" applyProtection="1">
      <alignment horizontal="center" vertical="center" wrapText="1"/>
    </xf>
    <xf numFmtId="0" fontId="5" fillId="0" borderId="115" xfId="0" applyFont="1" applyBorder="1" applyAlignment="1" applyProtection="1">
      <alignment horizontal="center" vertical="center" wrapText="1"/>
    </xf>
    <xf numFmtId="0" fontId="5" fillId="0" borderId="16" xfId="0" applyFont="1" applyBorder="1" applyAlignment="1" applyProtection="1">
      <alignment horizontal="center" vertical="center" wrapText="1"/>
    </xf>
    <xf numFmtId="0" fontId="5" fillId="0" borderId="116" xfId="0" applyFont="1" applyBorder="1" applyAlignment="1" applyProtection="1">
      <alignment horizontal="center" vertical="center" wrapText="1"/>
    </xf>
    <xf numFmtId="0" fontId="0" fillId="0" borderId="12" xfId="0" applyBorder="1" applyAlignment="1" applyProtection="1">
      <alignment horizontal="left" vertical="center" wrapText="1"/>
    </xf>
    <xf numFmtId="0" fontId="0" fillId="0" borderId="13" xfId="0"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16" xfId="0" applyBorder="1" applyAlignment="1" applyProtection="1">
      <alignment horizontal="left" vertical="center" wrapText="1"/>
    </xf>
    <xf numFmtId="0" fontId="0" fillId="0" borderId="33" xfId="0" applyBorder="1" applyAlignment="1" applyProtection="1">
      <alignment horizontal="center" vertical="center" wrapText="1"/>
    </xf>
    <xf numFmtId="178" fontId="4" fillId="2" borderId="24" xfId="0" applyNumberFormat="1" applyFont="1" applyFill="1" applyBorder="1" applyAlignment="1" applyProtection="1">
      <alignment vertical="center"/>
    </xf>
    <xf numFmtId="0" fontId="8" fillId="0" borderId="0" xfId="0" applyNumberFormat="1" applyFont="1" applyAlignment="1" applyProtection="1">
      <alignment horizontal="right" vertical="center"/>
    </xf>
    <xf numFmtId="0" fontId="8" fillId="0" borderId="104" xfId="0" applyNumberFormat="1" applyFont="1" applyBorder="1" applyAlignment="1" applyProtection="1">
      <alignment horizontal="right" vertical="center"/>
    </xf>
    <xf numFmtId="186" fontId="8" fillId="2" borderId="109" xfId="0" applyNumberFormat="1" applyFont="1" applyFill="1" applyBorder="1" applyAlignment="1" applyProtection="1">
      <alignment horizontal="center" vertical="center" shrinkToFit="1"/>
    </xf>
    <xf numFmtId="186" fontId="8" fillId="2" borderId="110" xfId="0" applyNumberFormat="1" applyFont="1" applyFill="1" applyBorder="1" applyAlignment="1" applyProtection="1">
      <alignment horizontal="center" vertical="center" shrinkToFit="1"/>
    </xf>
    <xf numFmtId="0" fontId="11" fillId="0" borderId="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18" xfId="0" applyFont="1" applyBorder="1" applyAlignment="1">
      <alignment horizontal="center" vertical="center" shrinkToFit="1"/>
    </xf>
    <xf numFmtId="178" fontId="4" fillId="10" borderId="111" xfId="0" applyNumberFormat="1" applyFont="1" applyFill="1" applyBorder="1" applyProtection="1">
      <alignment vertical="center"/>
      <protection locked="0"/>
    </xf>
    <xf numFmtId="178" fontId="4" fillId="10" borderId="112" xfId="0" applyNumberFormat="1" applyFont="1" applyFill="1" applyBorder="1" applyProtection="1">
      <alignment vertical="center"/>
      <protection locked="0"/>
    </xf>
    <xf numFmtId="0" fontId="70" fillId="0" borderId="216" xfId="0" applyFont="1" applyFill="1" applyBorder="1" applyAlignment="1">
      <alignment horizontal="center" vertical="center"/>
    </xf>
    <xf numFmtId="0" fontId="70" fillId="0" borderId="208" xfId="0" applyFont="1" applyFill="1" applyBorder="1" applyAlignment="1">
      <alignment horizontal="center" vertical="center"/>
    </xf>
    <xf numFmtId="0" fontId="70" fillId="0" borderId="61" xfId="0" applyFont="1" applyFill="1" applyBorder="1" applyAlignment="1">
      <alignment horizontal="center" vertical="center"/>
    </xf>
    <xf numFmtId="0" fontId="71" fillId="0" borderId="113" xfId="0" applyFont="1" applyFill="1" applyBorder="1" applyAlignment="1">
      <alignment horizontal="center" vertical="center" wrapText="1"/>
    </xf>
    <xf numFmtId="0" fontId="72" fillId="0" borderId="221" xfId="0" applyFont="1" applyFill="1" applyBorder="1" applyAlignment="1">
      <alignment horizontal="center" vertical="center"/>
    </xf>
    <xf numFmtId="0" fontId="72" fillId="0" borderId="59" xfId="0" applyFont="1" applyFill="1" applyBorder="1" applyAlignment="1">
      <alignment horizontal="center" vertical="center"/>
    </xf>
    <xf numFmtId="0" fontId="70" fillId="0" borderId="2" xfId="0" applyFont="1" applyFill="1" applyBorder="1" applyAlignment="1">
      <alignment horizontal="center" vertical="center"/>
    </xf>
    <xf numFmtId="0" fontId="70" fillId="0" borderId="8" xfId="0" applyFont="1" applyFill="1" applyBorder="1" applyAlignment="1">
      <alignment horizontal="center" vertical="center"/>
    </xf>
    <xf numFmtId="179" fontId="68" fillId="0" borderId="22" xfId="0" applyNumberFormat="1" applyFont="1" applyFill="1" applyBorder="1" applyAlignment="1">
      <alignment horizontal="right" vertical="center"/>
    </xf>
    <xf numFmtId="179" fontId="68" fillId="0" borderId="24" xfId="0" applyNumberFormat="1" applyFont="1" applyFill="1" applyBorder="1" applyAlignment="1">
      <alignment horizontal="right" vertical="center"/>
    </xf>
    <xf numFmtId="182" fontId="74" fillId="12" borderId="225" xfId="0" applyNumberFormat="1" applyFont="1" applyFill="1" applyBorder="1" applyAlignment="1">
      <alignment horizontal="right" vertical="center" shrinkToFit="1"/>
    </xf>
    <xf numFmtId="182" fontId="74" fillId="12" borderId="160" xfId="0" applyNumberFormat="1" applyFont="1" applyFill="1" applyBorder="1" applyAlignment="1">
      <alignment horizontal="right" vertical="center" shrinkToFit="1"/>
    </xf>
    <xf numFmtId="186" fontId="8" fillId="0" borderId="108" xfId="0" applyNumberFormat="1" applyFont="1" applyBorder="1" applyAlignment="1" applyProtection="1">
      <alignment horizontal="center" vertical="center" shrinkToFit="1"/>
    </xf>
    <xf numFmtId="186" fontId="8" fillId="0" borderId="109" xfId="0" applyNumberFormat="1" applyFont="1" applyBorder="1" applyAlignment="1" applyProtection="1">
      <alignment horizontal="center" vertical="center" shrinkToFit="1"/>
    </xf>
    <xf numFmtId="186" fontId="8" fillId="0" borderId="110" xfId="0" applyNumberFormat="1" applyFont="1" applyBorder="1" applyAlignment="1" applyProtection="1">
      <alignment horizontal="center" vertical="center" shrinkToFit="1"/>
    </xf>
    <xf numFmtId="0" fontId="0" fillId="0" borderId="0" xfId="0" applyBorder="1" applyAlignment="1" applyProtection="1">
      <alignment horizontal="center" vertical="center"/>
      <protection locked="0"/>
    </xf>
    <xf numFmtId="0" fontId="6" fillId="2" borderId="2"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5" fillId="0" borderId="23" xfId="0" applyFont="1" applyBorder="1" applyAlignment="1" applyProtection="1">
      <alignment horizontal="center" vertical="center" wrapText="1"/>
    </xf>
    <xf numFmtId="0" fontId="5" fillId="0" borderId="59" xfId="0" applyFont="1" applyBorder="1" applyAlignment="1" applyProtection="1">
      <alignment horizontal="center" vertical="center" wrapText="1"/>
    </xf>
    <xf numFmtId="0" fontId="0" fillId="0" borderId="16" xfId="0" applyBorder="1" applyAlignment="1" applyProtection="1">
      <alignment horizontal="center" vertical="center" wrapText="1"/>
    </xf>
    <xf numFmtId="0" fontId="0" fillId="0" borderId="116" xfId="0" applyBorder="1" applyAlignment="1" applyProtection="1">
      <alignment horizontal="center" vertical="center" wrapText="1"/>
    </xf>
    <xf numFmtId="0" fontId="8" fillId="0" borderId="46"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57" xfId="0" applyFont="1" applyBorder="1" applyAlignment="1" applyProtection="1">
      <alignment horizontal="center" vertical="center"/>
    </xf>
    <xf numFmtId="178" fontId="4" fillId="2" borderId="46" xfId="0" applyNumberFormat="1" applyFont="1" applyFill="1" applyBorder="1" applyAlignment="1" applyProtection="1">
      <alignment vertical="center"/>
    </xf>
    <xf numFmtId="178" fontId="4" fillId="2" borderId="57" xfId="0" applyNumberFormat="1" applyFont="1" applyFill="1" applyBorder="1" applyAlignment="1" applyProtection="1">
      <alignment vertical="center"/>
    </xf>
    <xf numFmtId="178" fontId="4" fillId="2" borderId="2" xfId="0" applyNumberFormat="1" applyFont="1" applyFill="1" applyBorder="1" applyAlignment="1" applyProtection="1">
      <alignment vertical="center"/>
      <protection locked="0"/>
    </xf>
    <xf numFmtId="178" fontId="4" fillId="2" borderId="8" xfId="0" applyNumberFormat="1" applyFont="1" applyFill="1" applyBorder="1" applyAlignment="1" applyProtection="1">
      <alignment vertical="center"/>
      <protection locked="0"/>
    </xf>
    <xf numFmtId="0" fontId="8" fillId="0" borderId="2" xfId="0" applyFont="1" applyBorder="1" applyAlignment="1" applyProtection="1">
      <alignment horizontal="center" vertical="center" shrinkToFit="1"/>
    </xf>
    <xf numFmtId="0" fontId="8" fillId="0" borderId="7" xfId="0" applyFont="1" applyBorder="1" applyAlignment="1" applyProtection="1">
      <alignment horizontal="center" vertical="center" shrinkToFit="1"/>
    </xf>
    <xf numFmtId="0" fontId="8" fillId="0" borderId="18" xfId="0" applyFont="1" applyBorder="1" applyAlignment="1" applyProtection="1">
      <alignment horizontal="center" vertical="center" shrinkToFit="1"/>
    </xf>
    <xf numFmtId="178" fontId="4" fillId="0" borderId="111" xfId="0" applyNumberFormat="1" applyFont="1" applyBorder="1" applyAlignment="1" applyProtection="1">
      <alignment vertical="center"/>
      <protection locked="0"/>
    </xf>
    <xf numFmtId="178" fontId="4" fillId="0" borderId="112" xfId="0" applyNumberFormat="1" applyFont="1" applyBorder="1" applyAlignment="1" applyProtection="1">
      <alignment vertical="center"/>
      <protection locked="0"/>
    </xf>
    <xf numFmtId="178" fontId="4" fillId="2" borderId="7" xfId="0" applyNumberFormat="1" applyFont="1" applyFill="1" applyBorder="1" applyAlignment="1" applyProtection="1">
      <alignment vertical="center"/>
      <protection locked="0"/>
    </xf>
    <xf numFmtId="178" fontId="4" fillId="2" borderId="2" xfId="0" applyNumberFormat="1" applyFont="1" applyFill="1" applyBorder="1" applyAlignment="1" applyProtection="1">
      <alignment horizontal="right" vertical="center"/>
      <protection locked="0"/>
    </xf>
    <xf numFmtId="178" fontId="4" fillId="2" borderId="8" xfId="0" applyNumberFormat="1" applyFont="1" applyFill="1" applyBorder="1" applyAlignment="1" applyProtection="1">
      <alignment horizontal="right" vertical="center"/>
      <protection locked="0"/>
    </xf>
    <xf numFmtId="177" fontId="4" fillId="2" borderId="7" xfId="0" applyNumberFormat="1" applyFont="1" applyFill="1" applyBorder="1" applyAlignment="1" applyProtection="1">
      <alignment vertical="center"/>
      <protection locked="0"/>
    </xf>
    <xf numFmtId="177" fontId="4" fillId="2" borderId="9" xfId="0" applyNumberFormat="1" applyFont="1" applyFill="1" applyBorder="1" applyAlignment="1" applyProtection="1">
      <alignment vertical="center"/>
      <protection locked="0"/>
    </xf>
    <xf numFmtId="177" fontId="4" fillId="2" borderId="19" xfId="0" applyNumberFormat="1" applyFont="1" applyFill="1" applyBorder="1" applyAlignment="1" applyProtection="1">
      <alignment vertical="center"/>
      <protection locked="0"/>
    </xf>
    <xf numFmtId="177" fontId="4" fillId="2" borderId="49" xfId="0" applyNumberFormat="1" applyFont="1" applyFill="1" applyBorder="1" applyAlignment="1" applyProtection="1">
      <alignment vertical="center"/>
      <protection locked="0"/>
    </xf>
    <xf numFmtId="177" fontId="4" fillId="2" borderId="50" xfId="0" applyNumberFormat="1" applyFont="1" applyFill="1" applyBorder="1" applyAlignment="1" applyProtection="1">
      <alignment vertical="center"/>
      <protection locked="0"/>
    </xf>
    <xf numFmtId="177" fontId="4" fillId="2" borderId="51" xfId="0" applyNumberFormat="1" applyFont="1" applyFill="1" applyBorder="1" applyAlignment="1" applyProtection="1">
      <alignment vertical="center"/>
      <protection locked="0"/>
    </xf>
  </cellXfs>
  <cellStyles count="5">
    <cellStyle name="桁区切り" xfId="1" builtinId="6"/>
    <cellStyle name="標準" xfId="0" builtinId="0"/>
    <cellStyle name="標準 2" xfId="3" xr:uid="{91A5394A-07E5-4E86-A343-569B82DDF3BE}"/>
    <cellStyle name="標準 3" xfId="4" xr:uid="{D9D6746A-CAFB-46B0-9FFF-31D16F4BE228}"/>
    <cellStyle name="標準 6" xfId="2" xr:uid="{00000000-0005-0000-0000-000002000000}"/>
  </cellStyles>
  <dxfs count="20">
    <dxf>
      <fill>
        <patternFill patternType="none">
          <bgColor auto="1"/>
        </patternFill>
      </fill>
    </dxf>
    <dxf>
      <font>
        <color rgb="FF9C0006"/>
      </font>
      <fill>
        <patternFill>
          <bgColor rgb="FFFFC7CE"/>
        </patternFill>
      </fill>
    </dxf>
    <dxf>
      <fill>
        <patternFill patternType="solid">
          <bgColor rgb="FFFFFF00"/>
        </patternFill>
      </fill>
    </dxf>
    <dxf>
      <fill>
        <patternFill>
          <bgColor theme="0"/>
        </patternFill>
      </fill>
    </dxf>
    <dxf>
      <fill>
        <patternFill>
          <bgColor theme="1" tint="0.499984740745262"/>
        </patternFill>
      </fill>
    </dxf>
    <dxf>
      <fill>
        <patternFill>
          <bgColor rgb="FFFFFF00"/>
        </patternFill>
      </fill>
    </dxf>
    <dxf>
      <font>
        <color rgb="FF9C0006"/>
      </font>
      <fill>
        <patternFill>
          <bgColor rgb="FFFFC7CE"/>
        </patternFill>
      </fill>
    </dxf>
    <dxf>
      <font>
        <color rgb="FF9C0006"/>
      </font>
      <fill>
        <patternFill>
          <bgColor rgb="FFFFC7CE"/>
        </patternFill>
      </fill>
    </dxf>
    <dxf>
      <font>
        <b/>
        <i val="0"/>
        <color rgb="FF9C0006"/>
      </font>
      <fill>
        <patternFill>
          <bgColor rgb="FFFFC7CE"/>
        </patternFill>
      </fill>
    </dxf>
    <dxf>
      <font>
        <b/>
        <i val="0"/>
        <color theme="1"/>
      </font>
      <fill>
        <patternFill>
          <bgColor theme="8" tint="0.79998168889431442"/>
        </patternFill>
      </fill>
    </dxf>
    <dxf>
      <font>
        <b/>
        <i val="0"/>
        <color rgb="FF9C0006"/>
      </font>
      <fill>
        <patternFill>
          <bgColor rgb="FFFFC7CE"/>
        </patternFill>
      </fill>
    </dxf>
    <dxf>
      <font>
        <b/>
        <i val="0"/>
        <color theme="1"/>
      </font>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AEEF3"/>
      <color rgb="FFCCECFF"/>
      <color rgb="FFCCFFFF"/>
      <color rgb="FFD9D9D9"/>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40</xdr:col>
      <xdr:colOff>50061</xdr:colOff>
      <xdr:row>5</xdr:row>
      <xdr:rowOff>657701</xdr:rowOff>
    </xdr:from>
    <xdr:to>
      <xdr:col>40</xdr:col>
      <xdr:colOff>557613</xdr:colOff>
      <xdr:row>6</xdr:row>
      <xdr:rowOff>7243</xdr:rowOff>
    </xdr:to>
    <xdr:sp macro="" textlink="">
      <xdr:nvSpPr>
        <xdr:cNvPr id="30721" name="Text Box 1">
          <a:extLst>
            <a:ext uri="{FF2B5EF4-FFF2-40B4-BE49-F238E27FC236}">
              <a16:creationId xmlns:a16="http://schemas.microsoft.com/office/drawing/2014/main" id="{D921860C-AFC6-4772-ABFF-4EB5935E4CC2}"/>
            </a:ext>
          </a:extLst>
        </xdr:cNvPr>
        <xdr:cNvSpPr txBox="1">
          <a:spLocks noChangeArrowheads="1"/>
        </xdr:cNvSpPr>
      </xdr:nvSpPr>
      <xdr:spPr bwMode="auto">
        <a:xfrm>
          <a:off x="26159144" y="3303534"/>
          <a:ext cx="507552" cy="280876"/>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59</xdr:col>
      <xdr:colOff>40005</xdr:colOff>
      <xdr:row>5</xdr:row>
      <xdr:rowOff>677545</xdr:rowOff>
    </xdr:from>
    <xdr:to>
      <xdr:col>59</xdr:col>
      <xdr:colOff>643299</xdr:colOff>
      <xdr:row>6</xdr:row>
      <xdr:rowOff>24442</xdr:rowOff>
    </xdr:to>
    <xdr:sp macro="" textlink="">
      <xdr:nvSpPr>
        <xdr:cNvPr id="30722" name="Text Box 2">
          <a:extLst>
            <a:ext uri="{FF2B5EF4-FFF2-40B4-BE49-F238E27FC236}">
              <a16:creationId xmlns:a16="http://schemas.microsoft.com/office/drawing/2014/main" id="{0E5F07D1-6C1B-41A8-8BD3-727E115F31A6}"/>
            </a:ext>
          </a:extLst>
        </xdr:cNvPr>
        <xdr:cNvSpPr txBox="1">
          <a:spLocks noChangeArrowheads="1"/>
        </xdr:cNvSpPr>
      </xdr:nvSpPr>
      <xdr:spPr bwMode="auto">
        <a:xfrm>
          <a:off x="35779922" y="3323378"/>
          <a:ext cx="603294" cy="278231"/>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t>
          </a:r>
          <a:r>
            <a:rPr lang="en-US" altLang="ja-JP" sz="1300" b="1" i="0" u="none" strike="noStrike" baseline="0">
              <a:solidFill>
                <a:srgbClr val="000000"/>
              </a:solidFill>
              <a:latin typeface="ＭＳ Ｐゴシック"/>
              <a:ea typeface="ＭＳ Ｐゴシック"/>
            </a:rPr>
            <a:t>C</a:t>
          </a:r>
          <a:r>
            <a:rPr lang="ja-JP" altLang="en-US" sz="13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54</xdr:col>
      <xdr:colOff>253047</xdr:colOff>
      <xdr:row>5</xdr:row>
      <xdr:rowOff>562768</xdr:rowOff>
    </xdr:from>
    <xdr:to>
      <xdr:col>55</xdr:col>
      <xdr:colOff>432593</xdr:colOff>
      <xdr:row>5</xdr:row>
      <xdr:rowOff>858358</xdr:rowOff>
    </xdr:to>
    <xdr:sp macro="" textlink="">
      <xdr:nvSpPr>
        <xdr:cNvPr id="30724" name="Text Box 4">
          <a:extLst>
            <a:ext uri="{FF2B5EF4-FFF2-40B4-BE49-F238E27FC236}">
              <a16:creationId xmlns:a16="http://schemas.microsoft.com/office/drawing/2014/main" id="{6F0CE292-13F2-4968-99EE-7DB561C29B34}"/>
            </a:ext>
          </a:extLst>
        </xdr:cNvPr>
        <xdr:cNvSpPr txBox="1">
          <a:spLocks noChangeArrowheads="1"/>
        </xdr:cNvSpPr>
      </xdr:nvSpPr>
      <xdr:spPr bwMode="auto">
        <a:xfrm>
          <a:off x="33135464" y="3208601"/>
          <a:ext cx="803962" cy="295590"/>
        </a:xfrm>
        <a:prstGeom prst="rect">
          <a:avLst/>
        </a:prstGeom>
        <a:noFill/>
        <a:ln>
          <a:noFill/>
        </a:ln>
      </xdr:spPr>
      <xdr:txBody>
        <a:bodyPr vertOverflow="clip" wrap="square" lIns="27432" tIns="18288" rIns="27432" bIns="0" anchor="t" upright="1"/>
        <a:lstStyle/>
        <a:p>
          <a:pPr algn="ctr" rtl="0">
            <a:lnSpc>
              <a:spcPts val="1200"/>
            </a:lnSpc>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59</xdr:col>
      <xdr:colOff>35719</xdr:colOff>
      <xdr:row>5</xdr:row>
      <xdr:rowOff>352902</xdr:rowOff>
    </xdr:from>
    <xdr:to>
      <xdr:col>59</xdr:col>
      <xdr:colOff>635000</xdr:colOff>
      <xdr:row>5</xdr:row>
      <xdr:rowOff>695802</xdr:rowOff>
    </xdr:to>
    <xdr:sp macro="" textlink="">
      <xdr:nvSpPr>
        <xdr:cNvPr id="30725" name="Text Box 5">
          <a:extLst>
            <a:ext uri="{FF2B5EF4-FFF2-40B4-BE49-F238E27FC236}">
              <a16:creationId xmlns:a16="http://schemas.microsoft.com/office/drawing/2014/main" id="{1D823955-8290-404E-B7A4-ECCD1605188A}"/>
            </a:ext>
          </a:extLst>
        </xdr:cNvPr>
        <xdr:cNvSpPr txBox="1">
          <a:spLocks noChangeArrowheads="1"/>
        </xdr:cNvSpPr>
      </xdr:nvSpPr>
      <xdr:spPr bwMode="auto">
        <a:xfrm>
          <a:off x="35775636" y="2998735"/>
          <a:ext cx="599281" cy="342900"/>
        </a:xfrm>
        <a:prstGeom prst="rect">
          <a:avLst/>
        </a:prstGeom>
        <a:noFill/>
        <a:ln>
          <a:noFill/>
        </a:ln>
      </xdr:spPr>
      <xdr:txBody>
        <a:bodyPr vertOverflow="clip" wrap="square" lIns="27432" tIns="18288" rIns="27432" bIns="0" anchor="t"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lang="ja-JP" altLang="en-US" sz="1100" b="1" i="0" u="none" strike="noStrike" baseline="0">
              <a:solidFill>
                <a:sysClr val="windowText" lastClr="000000"/>
              </a:solidFill>
              <a:effectLst/>
              <a:latin typeface="+mn-lt"/>
              <a:ea typeface="+mn-ea"/>
              <a:cs typeface="+mn-cs"/>
            </a:rPr>
            <a:t>⑰</a:t>
          </a:r>
          <a:r>
            <a:rPr lang="ja-JP" altLang="en-US" sz="1050" b="1" i="0" u="none" strike="noStrike" baseline="0">
              <a:solidFill>
                <a:srgbClr val="000000"/>
              </a:solidFill>
              <a:latin typeface="ＭＳ Ｐゴシック"/>
              <a:ea typeface="ＭＳ Ｐゴシック"/>
            </a:rPr>
            <a:t>～</a:t>
          </a:r>
          <a:r>
            <a:rPr lang="ja-JP" altLang="en-US" sz="1100" b="1" i="0" u="none" strike="noStrike" baseline="0">
              <a:solidFill>
                <a:sysClr val="windowText" lastClr="000000"/>
              </a:solidFill>
              <a:effectLst/>
              <a:latin typeface="+mn-lt"/>
              <a:ea typeface="+mn-ea"/>
              <a:cs typeface="+mn-cs"/>
            </a:rPr>
            <a:t>⑳</a:t>
          </a:r>
          <a:r>
            <a:rPr lang="ja-JP" altLang="en-US" sz="1050" b="1" i="0" u="none" strike="noStrike" baseline="0">
              <a:solidFill>
                <a:srgbClr val="000000"/>
              </a:solidFill>
              <a:latin typeface="ＭＳ Ｐゴシック"/>
              <a:ea typeface="ＭＳ Ｐゴシック"/>
            </a:rPr>
            <a:t>の合計</a:t>
          </a:r>
          <a:endParaRPr lang="ja-JP" altLang="en-US" sz="1100"/>
        </a:p>
      </xdr:txBody>
    </xdr:sp>
    <xdr:clientData/>
  </xdr:twoCellAnchor>
  <xdr:twoCellAnchor>
    <xdr:from>
      <xdr:col>43</xdr:col>
      <xdr:colOff>20955</xdr:colOff>
      <xdr:row>5</xdr:row>
      <xdr:rowOff>695325</xdr:rowOff>
    </xdr:from>
    <xdr:to>
      <xdr:col>43</xdr:col>
      <xdr:colOff>499599</xdr:colOff>
      <xdr:row>6</xdr:row>
      <xdr:rowOff>0</xdr:rowOff>
    </xdr:to>
    <xdr:sp macro="" textlink="">
      <xdr:nvSpPr>
        <xdr:cNvPr id="30730" name="Text Box 10">
          <a:extLst>
            <a:ext uri="{FF2B5EF4-FFF2-40B4-BE49-F238E27FC236}">
              <a16:creationId xmlns:a16="http://schemas.microsoft.com/office/drawing/2014/main" id="{741D56E3-8199-4F2C-914A-6C42C57B088E}"/>
            </a:ext>
          </a:extLst>
        </xdr:cNvPr>
        <xdr:cNvSpPr txBox="1">
          <a:spLocks noChangeArrowheads="1"/>
        </xdr:cNvSpPr>
      </xdr:nvSpPr>
      <xdr:spPr bwMode="auto">
        <a:xfrm>
          <a:off x="27939788" y="3341158"/>
          <a:ext cx="478644" cy="236009"/>
        </a:xfrm>
        <a:prstGeom prst="rect">
          <a:avLst/>
        </a:prstGeom>
        <a:noFill/>
        <a:ln>
          <a:noFill/>
        </a:ln>
      </xdr:spPr>
      <xdr:txBody>
        <a:bodyPr vertOverflow="clip" wrap="square" lIns="36576" tIns="18288" rIns="36576" bIns="0" anchor="t" upright="1"/>
        <a:lstStyle/>
        <a:p>
          <a:pPr algn="ctr" rtl="0">
            <a:defRPr sz="1000"/>
          </a:pPr>
          <a:endParaRPr lang="ja-JP" altLang="en-US"/>
        </a:p>
      </xdr:txBody>
    </xdr:sp>
    <xdr:clientData/>
  </xdr:twoCellAnchor>
  <xdr:twoCellAnchor>
    <xdr:from>
      <xdr:col>20</xdr:col>
      <xdr:colOff>328080</xdr:colOff>
      <xdr:row>5</xdr:row>
      <xdr:rowOff>685799</xdr:rowOff>
    </xdr:from>
    <xdr:to>
      <xdr:col>21</xdr:col>
      <xdr:colOff>329138</xdr:colOff>
      <xdr:row>5</xdr:row>
      <xdr:rowOff>930274</xdr:rowOff>
    </xdr:to>
    <xdr:sp macro="" textlink="">
      <xdr:nvSpPr>
        <xdr:cNvPr id="16" name="Text Box 9">
          <a:extLst>
            <a:ext uri="{FF2B5EF4-FFF2-40B4-BE49-F238E27FC236}">
              <a16:creationId xmlns:a16="http://schemas.microsoft.com/office/drawing/2014/main" id="{48B590D7-63C5-4F89-82BA-AC0E87DE5B03}"/>
            </a:ext>
          </a:extLst>
        </xdr:cNvPr>
        <xdr:cNvSpPr txBox="1">
          <a:spLocks noChangeArrowheads="1"/>
        </xdr:cNvSpPr>
      </xdr:nvSpPr>
      <xdr:spPr bwMode="auto">
        <a:xfrm>
          <a:off x="13684247" y="3331632"/>
          <a:ext cx="604308"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①</a:t>
          </a:r>
          <a:endParaRPr lang="ja-JP" altLang="en-US"/>
        </a:p>
      </xdr:txBody>
    </xdr:sp>
    <xdr:clientData/>
  </xdr:twoCellAnchor>
  <xdr:twoCellAnchor>
    <xdr:from>
      <xdr:col>25</xdr:col>
      <xdr:colOff>10582</xdr:colOff>
      <xdr:row>5</xdr:row>
      <xdr:rowOff>696383</xdr:rowOff>
    </xdr:from>
    <xdr:to>
      <xdr:col>25</xdr:col>
      <xdr:colOff>592665</xdr:colOff>
      <xdr:row>5</xdr:row>
      <xdr:rowOff>931332</xdr:rowOff>
    </xdr:to>
    <xdr:sp macro="" textlink="">
      <xdr:nvSpPr>
        <xdr:cNvPr id="17" name="Text Box 9">
          <a:extLst>
            <a:ext uri="{FF2B5EF4-FFF2-40B4-BE49-F238E27FC236}">
              <a16:creationId xmlns:a16="http://schemas.microsoft.com/office/drawing/2014/main" id="{AA122886-ADF2-4646-9381-547283EC9765}"/>
            </a:ext>
          </a:extLst>
        </xdr:cNvPr>
        <xdr:cNvSpPr txBox="1">
          <a:spLocks noChangeArrowheads="1"/>
        </xdr:cNvSpPr>
      </xdr:nvSpPr>
      <xdr:spPr bwMode="auto">
        <a:xfrm>
          <a:off x="16382999" y="3342216"/>
          <a:ext cx="582083" cy="23494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②</a:t>
          </a:r>
          <a:endParaRPr lang="ja-JP" altLang="en-US"/>
        </a:p>
      </xdr:txBody>
    </xdr:sp>
    <xdr:clientData/>
  </xdr:twoCellAnchor>
  <xdr:twoCellAnchor>
    <xdr:from>
      <xdr:col>27</xdr:col>
      <xdr:colOff>19577</xdr:colOff>
      <xdr:row>5</xdr:row>
      <xdr:rowOff>698500</xdr:rowOff>
    </xdr:from>
    <xdr:to>
      <xdr:col>27</xdr:col>
      <xdr:colOff>599014</xdr:colOff>
      <xdr:row>5</xdr:row>
      <xdr:rowOff>920750</xdr:rowOff>
    </xdr:to>
    <xdr:sp macro="" textlink="">
      <xdr:nvSpPr>
        <xdr:cNvPr id="19" name="Text Box 9">
          <a:extLst>
            <a:ext uri="{FF2B5EF4-FFF2-40B4-BE49-F238E27FC236}">
              <a16:creationId xmlns:a16="http://schemas.microsoft.com/office/drawing/2014/main" id="{85A35011-7778-414C-910B-FFBD7D99DEBA}"/>
            </a:ext>
          </a:extLst>
        </xdr:cNvPr>
        <xdr:cNvSpPr txBox="1">
          <a:spLocks noChangeArrowheads="1"/>
        </xdr:cNvSpPr>
      </xdr:nvSpPr>
      <xdr:spPr bwMode="auto">
        <a:xfrm>
          <a:off x="17598494" y="3344333"/>
          <a:ext cx="579437" cy="22225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③</a:t>
          </a:r>
          <a:endParaRPr lang="ja-JP" altLang="en-US"/>
        </a:p>
      </xdr:txBody>
    </xdr:sp>
    <xdr:clientData/>
  </xdr:twoCellAnchor>
  <xdr:twoCellAnchor>
    <xdr:from>
      <xdr:col>28</xdr:col>
      <xdr:colOff>11375</xdr:colOff>
      <xdr:row>5</xdr:row>
      <xdr:rowOff>698500</xdr:rowOff>
    </xdr:from>
    <xdr:to>
      <xdr:col>29</xdr:col>
      <xdr:colOff>0</xdr:colOff>
      <xdr:row>6</xdr:row>
      <xdr:rowOff>1</xdr:rowOff>
    </xdr:to>
    <xdr:sp macro="" textlink="">
      <xdr:nvSpPr>
        <xdr:cNvPr id="20" name="Text Box 9">
          <a:extLst>
            <a:ext uri="{FF2B5EF4-FFF2-40B4-BE49-F238E27FC236}">
              <a16:creationId xmlns:a16="http://schemas.microsoft.com/office/drawing/2014/main" id="{F54E0451-A63E-4C9E-A28B-C3F263FE1211}"/>
            </a:ext>
          </a:extLst>
        </xdr:cNvPr>
        <xdr:cNvSpPr txBox="1">
          <a:spLocks noChangeArrowheads="1"/>
        </xdr:cNvSpPr>
      </xdr:nvSpPr>
      <xdr:spPr bwMode="auto">
        <a:xfrm>
          <a:off x="18193542" y="3344333"/>
          <a:ext cx="591875" cy="23283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④</a:t>
          </a:r>
          <a:endParaRPr lang="ja-JP" altLang="en-US"/>
        </a:p>
      </xdr:txBody>
    </xdr:sp>
    <xdr:clientData/>
  </xdr:twoCellAnchor>
  <xdr:twoCellAnchor>
    <xdr:from>
      <xdr:col>31</xdr:col>
      <xdr:colOff>8732</xdr:colOff>
      <xdr:row>5</xdr:row>
      <xdr:rowOff>686063</xdr:rowOff>
    </xdr:from>
    <xdr:to>
      <xdr:col>32</xdr:col>
      <xdr:colOff>16933</xdr:colOff>
      <xdr:row>5</xdr:row>
      <xdr:rowOff>928421</xdr:rowOff>
    </xdr:to>
    <xdr:sp macro="" textlink="">
      <xdr:nvSpPr>
        <xdr:cNvPr id="21" name="Text Box 9">
          <a:extLst>
            <a:ext uri="{FF2B5EF4-FFF2-40B4-BE49-F238E27FC236}">
              <a16:creationId xmlns:a16="http://schemas.microsoft.com/office/drawing/2014/main" id="{BE092B9B-6E77-4A03-A0D9-0E24192D002C}"/>
            </a:ext>
          </a:extLst>
        </xdr:cNvPr>
        <xdr:cNvSpPr txBox="1">
          <a:spLocks noChangeArrowheads="1"/>
        </xdr:cNvSpPr>
      </xdr:nvSpPr>
      <xdr:spPr bwMode="auto">
        <a:xfrm>
          <a:off x="20000649" y="3331896"/>
          <a:ext cx="611451" cy="242358"/>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⑤</a:t>
          </a:r>
          <a:endParaRPr lang="ja-JP" altLang="en-US"/>
        </a:p>
      </xdr:txBody>
    </xdr:sp>
    <xdr:clientData/>
  </xdr:twoCellAnchor>
  <xdr:twoCellAnchor>
    <xdr:from>
      <xdr:col>33</xdr:col>
      <xdr:colOff>73290</xdr:colOff>
      <xdr:row>5</xdr:row>
      <xdr:rowOff>688447</xdr:rowOff>
    </xdr:from>
    <xdr:to>
      <xdr:col>33</xdr:col>
      <xdr:colOff>540017</xdr:colOff>
      <xdr:row>6</xdr:row>
      <xdr:rowOff>4234</xdr:rowOff>
    </xdr:to>
    <xdr:sp macro="" textlink="">
      <xdr:nvSpPr>
        <xdr:cNvPr id="22" name="Text Box 9">
          <a:extLst>
            <a:ext uri="{FF2B5EF4-FFF2-40B4-BE49-F238E27FC236}">
              <a16:creationId xmlns:a16="http://schemas.microsoft.com/office/drawing/2014/main" id="{7A07E71C-8092-47CB-9206-3C55DFDC5595}"/>
            </a:ext>
          </a:extLst>
        </xdr:cNvPr>
        <xdr:cNvSpPr txBox="1">
          <a:spLocks noChangeArrowheads="1"/>
        </xdr:cNvSpPr>
      </xdr:nvSpPr>
      <xdr:spPr bwMode="auto">
        <a:xfrm>
          <a:off x="21271707" y="3334280"/>
          <a:ext cx="466727" cy="2471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en-US" altLang="ja-JP" sz="1200" b="1" i="0" u="none" strike="noStrike" baseline="0">
            <a:solidFill>
              <a:srgbClr val="000000"/>
            </a:solidFill>
            <a:latin typeface="ＭＳ Ｐゴシック"/>
            <a:ea typeface="ＭＳ Ｐゴシック"/>
          </a:endParaRPr>
        </a:p>
      </xdr:txBody>
    </xdr:sp>
    <xdr:clientData/>
  </xdr:twoCellAnchor>
  <xdr:twoCellAnchor>
    <xdr:from>
      <xdr:col>35</xdr:col>
      <xdr:colOff>43706</xdr:colOff>
      <xdr:row>5</xdr:row>
      <xdr:rowOff>685318</xdr:rowOff>
    </xdr:from>
    <xdr:to>
      <xdr:col>35</xdr:col>
      <xdr:colOff>592667</xdr:colOff>
      <xdr:row>5</xdr:row>
      <xdr:rowOff>888999</xdr:rowOff>
    </xdr:to>
    <xdr:sp macro="" textlink="">
      <xdr:nvSpPr>
        <xdr:cNvPr id="23" name="Text Box 9">
          <a:extLst>
            <a:ext uri="{FF2B5EF4-FFF2-40B4-BE49-F238E27FC236}">
              <a16:creationId xmlns:a16="http://schemas.microsoft.com/office/drawing/2014/main" id="{ADEEA588-EB96-4D6F-8853-1B343137CE93}"/>
            </a:ext>
          </a:extLst>
        </xdr:cNvPr>
        <xdr:cNvSpPr txBox="1">
          <a:spLocks noChangeArrowheads="1"/>
        </xdr:cNvSpPr>
      </xdr:nvSpPr>
      <xdr:spPr bwMode="auto">
        <a:xfrm>
          <a:off x="23136539" y="3331151"/>
          <a:ext cx="548961" cy="20368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⑦</a:t>
          </a:r>
          <a:endParaRPr lang="ja-JP" altLang="en-US"/>
        </a:p>
      </xdr:txBody>
    </xdr:sp>
    <xdr:clientData/>
  </xdr:twoCellAnchor>
  <xdr:twoCellAnchor>
    <xdr:from>
      <xdr:col>43</xdr:col>
      <xdr:colOff>104243</xdr:colOff>
      <xdr:row>5</xdr:row>
      <xdr:rowOff>705909</xdr:rowOff>
    </xdr:from>
    <xdr:to>
      <xdr:col>43</xdr:col>
      <xdr:colOff>519640</xdr:colOff>
      <xdr:row>6</xdr:row>
      <xdr:rowOff>16934</xdr:rowOff>
    </xdr:to>
    <xdr:sp macro="" textlink="">
      <xdr:nvSpPr>
        <xdr:cNvPr id="24" name="Text Box 9">
          <a:extLst>
            <a:ext uri="{FF2B5EF4-FFF2-40B4-BE49-F238E27FC236}">
              <a16:creationId xmlns:a16="http://schemas.microsoft.com/office/drawing/2014/main" id="{AA8C4406-FEC4-4934-AA38-F557BE4F6106}"/>
            </a:ext>
          </a:extLst>
        </xdr:cNvPr>
        <xdr:cNvSpPr txBox="1">
          <a:spLocks noChangeArrowheads="1"/>
        </xdr:cNvSpPr>
      </xdr:nvSpPr>
      <xdr:spPr bwMode="auto">
        <a:xfrm>
          <a:off x="28023076" y="3351742"/>
          <a:ext cx="415397" cy="24235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⑪</a:t>
          </a:r>
          <a:endParaRPr lang="ja-JP" altLang="en-US"/>
        </a:p>
      </xdr:txBody>
    </xdr:sp>
    <xdr:clientData/>
  </xdr:twoCellAnchor>
  <xdr:twoCellAnchor>
    <xdr:from>
      <xdr:col>38</xdr:col>
      <xdr:colOff>82286</xdr:colOff>
      <xdr:row>5</xdr:row>
      <xdr:rowOff>668603</xdr:rowOff>
    </xdr:from>
    <xdr:to>
      <xdr:col>38</xdr:col>
      <xdr:colOff>523611</xdr:colOff>
      <xdr:row>5</xdr:row>
      <xdr:rowOff>910433</xdr:rowOff>
    </xdr:to>
    <xdr:sp macro="" textlink="">
      <xdr:nvSpPr>
        <xdr:cNvPr id="26" name="Text Box 9">
          <a:extLst>
            <a:ext uri="{FF2B5EF4-FFF2-40B4-BE49-F238E27FC236}">
              <a16:creationId xmlns:a16="http://schemas.microsoft.com/office/drawing/2014/main" id="{6A65FEF4-AC11-436B-8622-3A69884C369E}"/>
            </a:ext>
          </a:extLst>
        </xdr:cNvPr>
        <xdr:cNvSpPr txBox="1">
          <a:spLocks noChangeArrowheads="1"/>
        </xdr:cNvSpPr>
      </xdr:nvSpPr>
      <xdr:spPr bwMode="auto">
        <a:xfrm>
          <a:off x="24984869" y="3314436"/>
          <a:ext cx="441325"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⑨</a:t>
          </a:r>
          <a:endParaRPr lang="ja-JP" altLang="en-US"/>
        </a:p>
      </xdr:txBody>
    </xdr:sp>
    <xdr:clientData/>
  </xdr:twoCellAnchor>
  <xdr:twoCellAnchor>
    <xdr:from>
      <xdr:col>57</xdr:col>
      <xdr:colOff>277918</xdr:colOff>
      <xdr:row>5</xdr:row>
      <xdr:rowOff>524934</xdr:rowOff>
    </xdr:from>
    <xdr:to>
      <xdr:col>58</xdr:col>
      <xdr:colOff>322792</xdr:colOff>
      <xdr:row>5</xdr:row>
      <xdr:rowOff>820524</xdr:rowOff>
    </xdr:to>
    <xdr:sp macro="" textlink="">
      <xdr:nvSpPr>
        <xdr:cNvPr id="28" name="Text Box 4">
          <a:extLst>
            <a:ext uri="{FF2B5EF4-FFF2-40B4-BE49-F238E27FC236}">
              <a16:creationId xmlns:a16="http://schemas.microsoft.com/office/drawing/2014/main" id="{C717E928-D8E0-4CD5-A991-BDA1AA665F23}"/>
            </a:ext>
          </a:extLst>
        </xdr:cNvPr>
        <xdr:cNvSpPr txBox="1">
          <a:spLocks noChangeArrowheads="1"/>
        </xdr:cNvSpPr>
      </xdr:nvSpPr>
      <xdr:spPr bwMode="auto">
        <a:xfrm>
          <a:off x="34896001" y="3170767"/>
          <a:ext cx="679874"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53</xdr:col>
      <xdr:colOff>79639</xdr:colOff>
      <xdr:row>5</xdr:row>
      <xdr:rowOff>709083</xdr:rowOff>
    </xdr:from>
    <xdr:to>
      <xdr:col>53</xdr:col>
      <xdr:colOff>527314</xdr:colOff>
      <xdr:row>5</xdr:row>
      <xdr:rowOff>919429</xdr:rowOff>
    </xdr:to>
    <xdr:sp macro="" textlink="">
      <xdr:nvSpPr>
        <xdr:cNvPr id="50" name="Text Box 9">
          <a:extLst>
            <a:ext uri="{FF2B5EF4-FFF2-40B4-BE49-F238E27FC236}">
              <a16:creationId xmlns:a16="http://schemas.microsoft.com/office/drawing/2014/main" id="{3149789E-C305-41F2-B96D-B62C885DBC75}"/>
            </a:ext>
          </a:extLst>
        </xdr:cNvPr>
        <xdr:cNvSpPr txBox="1">
          <a:spLocks noChangeArrowheads="1"/>
        </xdr:cNvSpPr>
      </xdr:nvSpPr>
      <xdr:spPr bwMode="auto">
        <a:xfrm>
          <a:off x="32358806" y="3354916"/>
          <a:ext cx="447675" cy="210346"/>
        </a:xfrm>
        <a:prstGeom prst="rect">
          <a:avLst/>
        </a:prstGeom>
        <a:noFill/>
        <a:ln>
          <a:noFill/>
        </a:ln>
      </xdr:spPr>
      <xdr:txBody>
        <a:bodyPr vertOverflow="clip" wrap="square" lIns="36576" tIns="18288"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200" b="1" i="0" baseline="0">
              <a:effectLst/>
              <a:latin typeface="+mn-lt"/>
              <a:ea typeface="+mn-ea"/>
              <a:cs typeface="+mn-cs"/>
            </a:rPr>
            <a:t>⑰</a:t>
          </a:r>
          <a:endParaRPr lang="ja-JP" altLang="ja-JP" sz="1200">
            <a:effectLst/>
          </a:endParaRPr>
        </a:p>
        <a:p>
          <a:pPr algn="ctr" rtl="0">
            <a:defRPr sz="1000"/>
          </a:pPr>
          <a:endParaRPr lang="ja-JP" altLang="en-US" sz="1200"/>
        </a:p>
      </xdr:txBody>
    </xdr:sp>
    <xdr:clientData/>
  </xdr:twoCellAnchor>
  <xdr:twoCellAnchor>
    <xdr:from>
      <xdr:col>55</xdr:col>
      <xdr:colOff>77257</xdr:colOff>
      <xdr:row>5</xdr:row>
      <xdr:rowOff>709082</xdr:rowOff>
    </xdr:from>
    <xdr:to>
      <xdr:col>55</xdr:col>
      <xdr:colOff>524932</xdr:colOff>
      <xdr:row>6</xdr:row>
      <xdr:rowOff>13228</xdr:rowOff>
    </xdr:to>
    <xdr:sp macro="" textlink="">
      <xdr:nvSpPr>
        <xdr:cNvPr id="51" name="Text Box 9">
          <a:extLst>
            <a:ext uri="{FF2B5EF4-FFF2-40B4-BE49-F238E27FC236}">
              <a16:creationId xmlns:a16="http://schemas.microsoft.com/office/drawing/2014/main" id="{F2EB246F-9BF8-4BB4-88A3-A77983A306C0}"/>
            </a:ext>
          </a:extLst>
        </xdr:cNvPr>
        <xdr:cNvSpPr txBox="1">
          <a:spLocks noChangeArrowheads="1"/>
        </xdr:cNvSpPr>
      </xdr:nvSpPr>
      <xdr:spPr bwMode="auto">
        <a:xfrm>
          <a:off x="33584090" y="3354915"/>
          <a:ext cx="447675" cy="235480"/>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⑱</a:t>
          </a:r>
          <a:endParaRPr lang="ja-JP" altLang="en-US" sz="1200"/>
        </a:p>
      </xdr:txBody>
    </xdr:sp>
    <xdr:clientData/>
  </xdr:twoCellAnchor>
  <xdr:twoCellAnchor>
    <xdr:from>
      <xdr:col>56</xdr:col>
      <xdr:colOff>23285</xdr:colOff>
      <xdr:row>5</xdr:row>
      <xdr:rowOff>709082</xdr:rowOff>
    </xdr:from>
    <xdr:to>
      <xdr:col>56</xdr:col>
      <xdr:colOff>472018</xdr:colOff>
      <xdr:row>6</xdr:row>
      <xdr:rowOff>2646</xdr:rowOff>
    </xdr:to>
    <xdr:sp macro="" textlink="">
      <xdr:nvSpPr>
        <xdr:cNvPr id="52" name="Text Box 9">
          <a:extLst>
            <a:ext uri="{FF2B5EF4-FFF2-40B4-BE49-F238E27FC236}">
              <a16:creationId xmlns:a16="http://schemas.microsoft.com/office/drawing/2014/main" id="{EEB4F4F4-FC46-4F20-9A69-F35CC85FA52A}"/>
            </a:ext>
          </a:extLst>
        </xdr:cNvPr>
        <xdr:cNvSpPr txBox="1">
          <a:spLocks noChangeArrowheads="1"/>
        </xdr:cNvSpPr>
      </xdr:nvSpPr>
      <xdr:spPr bwMode="auto">
        <a:xfrm>
          <a:off x="34154535" y="3354915"/>
          <a:ext cx="448733" cy="224898"/>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⑲</a:t>
          </a:r>
          <a:endParaRPr lang="ja-JP" altLang="en-US" sz="1200"/>
        </a:p>
      </xdr:txBody>
    </xdr:sp>
    <xdr:clientData/>
  </xdr:twoCellAnchor>
  <xdr:twoCellAnchor>
    <xdr:from>
      <xdr:col>58</xdr:col>
      <xdr:colOff>0</xdr:colOff>
      <xdr:row>5</xdr:row>
      <xdr:rowOff>711993</xdr:rowOff>
    </xdr:from>
    <xdr:to>
      <xdr:col>59</xdr:col>
      <xdr:colOff>14024</xdr:colOff>
      <xdr:row>5</xdr:row>
      <xdr:rowOff>931332</xdr:rowOff>
    </xdr:to>
    <xdr:sp macro="" textlink="">
      <xdr:nvSpPr>
        <xdr:cNvPr id="31" name="Text Box 9">
          <a:extLst>
            <a:ext uri="{FF2B5EF4-FFF2-40B4-BE49-F238E27FC236}">
              <a16:creationId xmlns:a16="http://schemas.microsoft.com/office/drawing/2014/main" id="{0996895F-16D5-4B92-A90F-436087AD95F7}"/>
            </a:ext>
          </a:extLst>
        </xdr:cNvPr>
        <xdr:cNvSpPr txBox="1">
          <a:spLocks noChangeArrowheads="1"/>
        </xdr:cNvSpPr>
      </xdr:nvSpPr>
      <xdr:spPr bwMode="auto">
        <a:xfrm>
          <a:off x="35253083" y="3357826"/>
          <a:ext cx="500858" cy="219339"/>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⑳</a:t>
          </a:r>
          <a:endParaRPr lang="ja-JP" altLang="en-US" sz="1200"/>
        </a:p>
      </xdr:txBody>
    </xdr:sp>
    <xdr:clientData/>
  </xdr:twoCellAnchor>
  <xdr:twoCellAnchor>
    <xdr:from>
      <xdr:col>36</xdr:col>
      <xdr:colOff>103450</xdr:colOff>
      <xdr:row>5</xdr:row>
      <xdr:rowOff>689769</xdr:rowOff>
    </xdr:from>
    <xdr:to>
      <xdr:col>36</xdr:col>
      <xdr:colOff>544775</xdr:colOff>
      <xdr:row>6</xdr:row>
      <xdr:rowOff>266</xdr:rowOff>
    </xdr:to>
    <xdr:sp macro="" textlink="">
      <xdr:nvSpPr>
        <xdr:cNvPr id="29" name="Text Box 9">
          <a:extLst>
            <a:ext uri="{FF2B5EF4-FFF2-40B4-BE49-F238E27FC236}">
              <a16:creationId xmlns:a16="http://schemas.microsoft.com/office/drawing/2014/main" id="{D9522463-B807-4A46-8C28-6AF2C6BABDD2}"/>
            </a:ext>
          </a:extLst>
        </xdr:cNvPr>
        <xdr:cNvSpPr txBox="1">
          <a:spLocks noChangeArrowheads="1"/>
        </xdr:cNvSpPr>
      </xdr:nvSpPr>
      <xdr:spPr bwMode="auto">
        <a:xfrm>
          <a:off x="23799533" y="3335602"/>
          <a:ext cx="441325" cy="24183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⑧</a:t>
          </a:r>
          <a:endParaRPr lang="ja-JP" altLang="en-US"/>
        </a:p>
      </xdr:txBody>
    </xdr:sp>
    <xdr:clientData/>
  </xdr:twoCellAnchor>
  <xdr:twoCellAnchor>
    <xdr:from>
      <xdr:col>52</xdr:col>
      <xdr:colOff>10584</xdr:colOff>
      <xdr:row>5</xdr:row>
      <xdr:rowOff>539296</xdr:rowOff>
    </xdr:from>
    <xdr:to>
      <xdr:col>54</xdr:col>
      <xdr:colOff>37465</xdr:colOff>
      <xdr:row>5</xdr:row>
      <xdr:rowOff>720587</xdr:rowOff>
    </xdr:to>
    <xdr:sp macro="" textlink="">
      <xdr:nvSpPr>
        <xdr:cNvPr id="30" name="Text Box 4">
          <a:extLst>
            <a:ext uri="{FF2B5EF4-FFF2-40B4-BE49-F238E27FC236}">
              <a16:creationId xmlns:a16="http://schemas.microsoft.com/office/drawing/2014/main" id="{3DD52660-5496-498A-BC4D-2908A2465CB0}"/>
            </a:ext>
          </a:extLst>
        </xdr:cNvPr>
        <xdr:cNvSpPr txBox="1">
          <a:spLocks noChangeArrowheads="1"/>
        </xdr:cNvSpPr>
      </xdr:nvSpPr>
      <xdr:spPr bwMode="auto">
        <a:xfrm>
          <a:off x="32215667" y="3185129"/>
          <a:ext cx="704215" cy="181291"/>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en-US" altLang="ja-JP" sz="1000" b="1" i="0" u="none" strike="noStrike" baseline="0">
            <a:solidFill>
              <a:srgbClr val="000000"/>
            </a:solidFill>
            <a:latin typeface="ＭＳ Ｐゴシック"/>
            <a:ea typeface="ＭＳ Ｐゴシック"/>
          </a:endParaRPr>
        </a:p>
      </xdr:txBody>
    </xdr:sp>
    <xdr:clientData/>
  </xdr:twoCellAnchor>
  <xdr:twoCellAnchor>
    <xdr:from>
      <xdr:col>22</xdr:col>
      <xdr:colOff>317497</xdr:colOff>
      <xdr:row>5</xdr:row>
      <xdr:rowOff>685799</xdr:rowOff>
    </xdr:from>
    <xdr:to>
      <xdr:col>23</xdr:col>
      <xdr:colOff>318555</xdr:colOff>
      <xdr:row>5</xdr:row>
      <xdr:rowOff>930274</xdr:rowOff>
    </xdr:to>
    <xdr:sp macro="" textlink="">
      <xdr:nvSpPr>
        <xdr:cNvPr id="32" name="Text Box 9">
          <a:extLst>
            <a:ext uri="{FF2B5EF4-FFF2-40B4-BE49-F238E27FC236}">
              <a16:creationId xmlns:a16="http://schemas.microsoft.com/office/drawing/2014/main" id="{73401CEA-F8FE-43EE-8E74-30BC1392CD9A}"/>
            </a:ext>
          </a:extLst>
        </xdr:cNvPr>
        <xdr:cNvSpPr txBox="1">
          <a:spLocks noChangeArrowheads="1"/>
        </xdr:cNvSpPr>
      </xdr:nvSpPr>
      <xdr:spPr bwMode="auto">
        <a:xfrm>
          <a:off x="14880164" y="3331632"/>
          <a:ext cx="604308"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①</a:t>
          </a:r>
          <a:endParaRPr lang="ja-JP" altLang="en-US"/>
        </a:p>
      </xdr:txBody>
    </xdr:sp>
    <xdr:clientData/>
  </xdr:twoCellAnchor>
  <xdr:twoCellAnchor>
    <xdr:from>
      <xdr:col>46</xdr:col>
      <xdr:colOff>82550</xdr:colOff>
      <xdr:row>5</xdr:row>
      <xdr:rowOff>699030</xdr:rowOff>
    </xdr:from>
    <xdr:to>
      <xdr:col>46</xdr:col>
      <xdr:colOff>530225</xdr:colOff>
      <xdr:row>6</xdr:row>
      <xdr:rowOff>14817</xdr:rowOff>
    </xdr:to>
    <xdr:sp macro="" textlink="">
      <xdr:nvSpPr>
        <xdr:cNvPr id="34" name="Text Box 9">
          <a:extLst>
            <a:ext uri="{FF2B5EF4-FFF2-40B4-BE49-F238E27FC236}">
              <a16:creationId xmlns:a16="http://schemas.microsoft.com/office/drawing/2014/main" id="{534D138D-3B0F-4CFB-BCC4-B44641C9B318}"/>
            </a:ext>
          </a:extLst>
        </xdr:cNvPr>
        <xdr:cNvSpPr txBox="1">
          <a:spLocks noChangeArrowheads="1"/>
        </xdr:cNvSpPr>
      </xdr:nvSpPr>
      <xdr:spPr bwMode="auto">
        <a:xfrm>
          <a:off x="29811133" y="3344863"/>
          <a:ext cx="447675" cy="2471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⑭</a:t>
          </a:r>
          <a:endParaRPr lang="ja-JP" altLang="en-US"/>
        </a:p>
      </xdr:txBody>
    </xdr:sp>
    <xdr:clientData/>
  </xdr:twoCellAnchor>
  <xdr:twoCellAnchor>
    <xdr:from>
      <xdr:col>44</xdr:col>
      <xdr:colOff>82550</xdr:colOff>
      <xdr:row>5</xdr:row>
      <xdr:rowOff>699030</xdr:rowOff>
    </xdr:from>
    <xdr:to>
      <xdr:col>44</xdr:col>
      <xdr:colOff>530225</xdr:colOff>
      <xdr:row>6</xdr:row>
      <xdr:rowOff>14817</xdr:rowOff>
    </xdr:to>
    <xdr:sp macro="" textlink="">
      <xdr:nvSpPr>
        <xdr:cNvPr id="35" name="Text Box 9">
          <a:extLst>
            <a:ext uri="{FF2B5EF4-FFF2-40B4-BE49-F238E27FC236}">
              <a16:creationId xmlns:a16="http://schemas.microsoft.com/office/drawing/2014/main" id="{737567A5-E2A2-4841-B54C-243499C6D062}"/>
            </a:ext>
          </a:extLst>
        </xdr:cNvPr>
        <xdr:cNvSpPr txBox="1">
          <a:spLocks noChangeArrowheads="1"/>
        </xdr:cNvSpPr>
      </xdr:nvSpPr>
      <xdr:spPr bwMode="auto">
        <a:xfrm>
          <a:off x="28604633" y="3344863"/>
          <a:ext cx="447675" cy="2471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⑫</a:t>
          </a:r>
          <a:endParaRPr lang="ja-JP" altLang="en-US"/>
        </a:p>
      </xdr:txBody>
    </xdr:sp>
    <xdr:clientData/>
  </xdr:twoCellAnchor>
  <xdr:twoCellAnchor>
    <xdr:from>
      <xdr:col>43</xdr:col>
      <xdr:colOff>550333</xdr:colOff>
      <xdr:row>5</xdr:row>
      <xdr:rowOff>445899</xdr:rowOff>
    </xdr:from>
    <xdr:to>
      <xdr:col>45</xdr:col>
      <xdr:colOff>53601</xdr:colOff>
      <xdr:row>5</xdr:row>
      <xdr:rowOff>711993</xdr:rowOff>
    </xdr:to>
    <xdr:sp macro="" textlink="">
      <xdr:nvSpPr>
        <xdr:cNvPr id="36" name="Text Box 4">
          <a:extLst>
            <a:ext uri="{FF2B5EF4-FFF2-40B4-BE49-F238E27FC236}">
              <a16:creationId xmlns:a16="http://schemas.microsoft.com/office/drawing/2014/main" id="{D8461852-93F1-4BC0-8A7F-D5DFF998BC46}"/>
            </a:ext>
          </a:extLst>
        </xdr:cNvPr>
        <xdr:cNvSpPr txBox="1">
          <a:spLocks noChangeArrowheads="1"/>
        </xdr:cNvSpPr>
      </xdr:nvSpPr>
      <xdr:spPr bwMode="auto">
        <a:xfrm>
          <a:off x="28469166" y="3091732"/>
          <a:ext cx="709768" cy="266094"/>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a:t>
          </a:r>
          <a:r>
            <a:rPr lang="en-US" altLang="ja-JP" sz="1000" b="1" i="0" u="none" strike="noStrike" baseline="0">
              <a:solidFill>
                <a:srgbClr val="000000"/>
              </a:solidFill>
              <a:latin typeface="ＭＳ Ｐゴシック"/>
              <a:ea typeface="ＭＳ Ｐゴシック"/>
            </a:rPr>
            <a:t>1-1</a:t>
          </a:r>
          <a:r>
            <a:rPr lang="ja-JP" altLang="en-US" sz="10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45</xdr:col>
      <xdr:colOff>73290</xdr:colOff>
      <xdr:row>5</xdr:row>
      <xdr:rowOff>698500</xdr:rowOff>
    </xdr:from>
    <xdr:to>
      <xdr:col>45</xdr:col>
      <xdr:colOff>520965</xdr:colOff>
      <xdr:row>6</xdr:row>
      <xdr:rowOff>7673</xdr:rowOff>
    </xdr:to>
    <xdr:sp macro="" textlink="">
      <xdr:nvSpPr>
        <xdr:cNvPr id="37" name="Text Box 9">
          <a:extLst>
            <a:ext uri="{FF2B5EF4-FFF2-40B4-BE49-F238E27FC236}">
              <a16:creationId xmlns:a16="http://schemas.microsoft.com/office/drawing/2014/main" id="{7F821525-644F-4C76-8BFD-2079C502A365}"/>
            </a:ext>
          </a:extLst>
        </xdr:cNvPr>
        <xdr:cNvSpPr txBox="1">
          <a:spLocks noChangeArrowheads="1"/>
        </xdr:cNvSpPr>
      </xdr:nvSpPr>
      <xdr:spPr bwMode="auto">
        <a:xfrm>
          <a:off x="29198623" y="3344333"/>
          <a:ext cx="447675" cy="240507"/>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⑬</a:t>
          </a:r>
          <a:endParaRPr lang="ja-JP" altLang="en-US"/>
        </a:p>
      </xdr:txBody>
    </xdr:sp>
    <xdr:clientData/>
  </xdr:twoCellAnchor>
  <xdr:twoCellAnchor>
    <xdr:from>
      <xdr:col>44</xdr:col>
      <xdr:colOff>539752</xdr:colOff>
      <xdr:row>5</xdr:row>
      <xdr:rowOff>456482</xdr:rowOff>
    </xdr:from>
    <xdr:to>
      <xdr:col>46</xdr:col>
      <xdr:colOff>63500</xdr:colOff>
      <xdr:row>5</xdr:row>
      <xdr:rowOff>722576</xdr:rowOff>
    </xdr:to>
    <xdr:sp macro="" textlink="">
      <xdr:nvSpPr>
        <xdr:cNvPr id="41" name="Text Box 4">
          <a:extLst>
            <a:ext uri="{FF2B5EF4-FFF2-40B4-BE49-F238E27FC236}">
              <a16:creationId xmlns:a16="http://schemas.microsoft.com/office/drawing/2014/main" id="{DCFC7DBD-86F1-4C52-A16D-7305880FCEDE}"/>
            </a:ext>
          </a:extLst>
        </xdr:cNvPr>
        <xdr:cNvSpPr txBox="1">
          <a:spLocks noChangeArrowheads="1"/>
        </xdr:cNvSpPr>
      </xdr:nvSpPr>
      <xdr:spPr bwMode="auto">
        <a:xfrm>
          <a:off x="29061835" y="3102315"/>
          <a:ext cx="730248" cy="266094"/>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a:t>
          </a:r>
          <a:r>
            <a:rPr lang="en-US" altLang="ja-JP" sz="1000" b="1" i="0" u="none" strike="noStrike" baseline="0">
              <a:solidFill>
                <a:srgbClr val="000000"/>
              </a:solidFill>
              <a:latin typeface="ＭＳ Ｐゴシック"/>
              <a:ea typeface="ＭＳ Ｐゴシック"/>
            </a:rPr>
            <a:t>1-2</a:t>
          </a:r>
          <a:r>
            <a:rPr lang="ja-JP" altLang="en-US" sz="10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47</xdr:col>
      <xdr:colOff>71967</xdr:colOff>
      <xdr:row>5</xdr:row>
      <xdr:rowOff>699030</xdr:rowOff>
    </xdr:from>
    <xdr:to>
      <xdr:col>47</xdr:col>
      <xdr:colOff>519642</xdr:colOff>
      <xdr:row>6</xdr:row>
      <xdr:rowOff>14817</xdr:rowOff>
    </xdr:to>
    <xdr:sp macro="" textlink="">
      <xdr:nvSpPr>
        <xdr:cNvPr id="45" name="Text Box 9">
          <a:extLst>
            <a:ext uri="{FF2B5EF4-FFF2-40B4-BE49-F238E27FC236}">
              <a16:creationId xmlns:a16="http://schemas.microsoft.com/office/drawing/2014/main" id="{06FED97C-C3CE-4F78-A128-CB32B8A1F0BB}"/>
            </a:ext>
          </a:extLst>
        </xdr:cNvPr>
        <xdr:cNvSpPr txBox="1">
          <a:spLocks noChangeArrowheads="1"/>
        </xdr:cNvSpPr>
      </xdr:nvSpPr>
      <xdr:spPr bwMode="auto">
        <a:xfrm>
          <a:off x="30403800" y="3344863"/>
          <a:ext cx="447675" cy="247121"/>
        </a:xfrm>
        <a:prstGeom prst="rect">
          <a:avLst/>
        </a:prstGeom>
        <a:noFill/>
        <a:ln>
          <a:noFill/>
        </a:ln>
      </xdr:spPr>
      <xdr:txBody>
        <a:bodyPr vertOverflow="clip" wrap="square" lIns="36576" tIns="18288" rIns="36576" bIns="0" anchor="t" upright="1"/>
        <a:lstStyle/>
        <a:p>
          <a:pPr algn="ctr" rtl="0">
            <a:defRPr sz="1000"/>
          </a:pPr>
          <a:r>
            <a:rPr lang="ja-JP" altLang="en-US" sz="1200" b="1"/>
            <a:t>⑮</a:t>
          </a:r>
        </a:p>
      </xdr:txBody>
    </xdr:sp>
    <xdr:clientData/>
  </xdr:twoCellAnchor>
  <xdr:twoCellAnchor>
    <xdr:from>
      <xdr:col>49</xdr:col>
      <xdr:colOff>31750</xdr:colOff>
      <xdr:row>5</xdr:row>
      <xdr:rowOff>657701</xdr:rowOff>
    </xdr:from>
    <xdr:to>
      <xdr:col>49</xdr:col>
      <xdr:colOff>599945</xdr:colOff>
      <xdr:row>6</xdr:row>
      <xdr:rowOff>7243</xdr:rowOff>
    </xdr:to>
    <xdr:sp macro="" textlink="">
      <xdr:nvSpPr>
        <xdr:cNvPr id="48" name="Text Box 1">
          <a:extLst>
            <a:ext uri="{FF2B5EF4-FFF2-40B4-BE49-F238E27FC236}">
              <a16:creationId xmlns:a16="http://schemas.microsoft.com/office/drawing/2014/main" id="{D88735B0-46A2-46F4-AC06-9E9DD14431E1}"/>
            </a:ext>
          </a:extLst>
        </xdr:cNvPr>
        <xdr:cNvSpPr txBox="1">
          <a:spLocks noChangeArrowheads="1"/>
        </xdr:cNvSpPr>
      </xdr:nvSpPr>
      <xdr:spPr bwMode="auto">
        <a:xfrm>
          <a:off x="31570083" y="3303534"/>
          <a:ext cx="568195" cy="280876"/>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t>
          </a:r>
          <a:r>
            <a:rPr lang="en-US" altLang="ja-JP" sz="1300" b="1" i="0" u="none" strike="noStrike" baseline="0">
              <a:solidFill>
                <a:srgbClr val="000000"/>
              </a:solidFill>
              <a:latin typeface="ＭＳ Ｐゴシック"/>
              <a:ea typeface="ＭＳ Ｐゴシック"/>
            </a:rPr>
            <a:t>B</a:t>
          </a:r>
          <a:r>
            <a:rPr lang="ja-JP" altLang="en-US" sz="13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54</xdr:col>
      <xdr:colOff>357187</xdr:colOff>
      <xdr:row>5</xdr:row>
      <xdr:rowOff>381000</xdr:rowOff>
    </xdr:from>
    <xdr:to>
      <xdr:col>55</xdr:col>
      <xdr:colOff>312629</xdr:colOff>
      <xdr:row>5</xdr:row>
      <xdr:rowOff>676590</xdr:rowOff>
    </xdr:to>
    <xdr:sp macro="" textlink="">
      <xdr:nvSpPr>
        <xdr:cNvPr id="211" name="Text Box 4">
          <a:extLst>
            <a:ext uri="{FF2B5EF4-FFF2-40B4-BE49-F238E27FC236}">
              <a16:creationId xmlns:a16="http://schemas.microsoft.com/office/drawing/2014/main" id="{6ECDBF69-1045-4400-873A-80691D9A1DBF}"/>
            </a:ext>
          </a:extLst>
        </xdr:cNvPr>
        <xdr:cNvSpPr txBox="1">
          <a:spLocks noChangeArrowheads="1"/>
        </xdr:cNvSpPr>
      </xdr:nvSpPr>
      <xdr:spPr bwMode="auto">
        <a:xfrm>
          <a:off x="33239604" y="3026833"/>
          <a:ext cx="579858"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41</xdr:col>
      <xdr:colOff>26989</xdr:colOff>
      <xdr:row>5</xdr:row>
      <xdr:rowOff>694004</xdr:rowOff>
    </xdr:from>
    <xdr:to>
      <xdr:col>42</xdr:col>
      <xdr:colOff>592667</xdr:colOff>
      <xdr:row>6</xdr:row>
      <xdr:rowOff>0</xdr:rowOff>
    </xdr:to>
    <xdr:sp macro="" textlink="">
      <xdr:nvSpPr>
        <xdr:cNvPr id="213" name="Text Box 9">
          <a:extLst>
            <a:ext uri="{FF2B5EF4-FFF2-40B4-BE49-F238E27FC236}">
              <a16:creationId xmlns:a16="http://schemas.microsoft.com/office/drawing/2014/main" id="{DCB20A95-706E-4D99-B8BA-A85F58FF6275}"/>
            </a:ext>
          </a:extLst>
        </xdr:cNvPr>
        <xdr:cNvSpPr txBox="1">
          <a:spLocks noChangeArrowheads="1"/>
        </xdr:cNvSpPr>
      </xdr:nvSpPr>
      <xdr:spPr bwMode="auto">
        <a:xfrm>
          <a:off x="26739322" y="3339837"/>
          <a:ext cx="1168928" cy="2373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⑩</a:t>
          </a:r>
          <a:endParaRPr lang="ja-JP" altLang="en-US"/>
        </a:p>
      </xdr:txBody>
    </xdr:sp>
    <xdr:clientData/>
  </xdr:twoCellAnchor>
  <xdr:twoCellAnchor>
    <xdr:from>
      <xdr:col>16</xdr:col>
      <xdr:colOff>583406</xdr:colOff>
      <xdr:row>53</xdr:row>
      <xdr:rowOff>333371</xdr:rowOff>
    </xdr:from>
    <xdr:to>
      <xdr:col>31</xdr:col>
      <xdr:colOff>309562</xdr:colOff>
      <xdr:row>53</xdr:row>
      <xdr:rowOff>1321593</xdr:rowOff>
    </xdr:to>
    <xdr:sp macro="" textlink="">
      <xdr:nvSpPr>
        <xdr:cNvPr id="234" name="正方形/長方形 233">
          <a:extLst>
            <a:ext uri="{FF2B5EF4-FFF2-40B4-BE49-F238E27FC236}">
              <a16:creationId xmlns:a16="http://schemas.microsoft.com/office/drawing/2014/main" id="{39EB4353-6EE2-47B4-8177-65A1CBC60544}"/>
            </a:ext>
          </a:extLst>
        </xdr:cNvPr>
        <xdr:cNvSpPr/>
      </xdr:nvSpPr>
      <xdr:spPr bwMode="auto">
        <a:xfrm>
          <a:off x="11441906" y="21256621"/>
          <a:ext cx="8859573" cy="988222"/>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 「適用済」の場合、現在の実配置数で、それぞれ</a:t>
          </a:r>
          <a:r>
            <a:rPr kumimoji="1" lang="en-US" altLang="ja-JP" sz="1100">
              <a:solidFill>
                <a:srgbClr val="FF0000"/>
              </a:solidFill>
              <a:latin typeface="BIZ UDゴシック" panose="020B0400000000000000" pitchFamily="49" charset="-128"/>
              <a:ea typeface="BIZ UDゴシック" panose="020B0400000000000000" pitchFamily="49" charset="-128"/>
            </a:rPr>
            <a:t>AP</a:t>
          </a:r>
          <a:r>
            <a:rPr kumimoji="1" lang="ja-JP" altLang="en-US" sz="1100">
              <a:solidFill>
                <a:srgbClr val="FF0000"/>
              </a:solidFill>
              <a:latin typeface="BIZ UDゴシック" panose="020B0400000000000000" pitchFamily="49" charset="-128"/>
              <a:ea typeface="BIZ UDゴシック" panose="020B0400000000000000" pitchFamily="49" charset="-128"/>
            </a:rPr>
            <a:t>～</a:t>
          </a:r>
          <a:r>
            <a:rPr kumimoji="1" lang="en-US" altLang="ja-JP" sz="1100">
              <a:solidFill>
                <a:srgbClr val="FF0000"/>
              </a:solidFill>
              <a:latin typeface="BIZ UDゴシック" panose="020B0400000000000000" pitchFamily="49" charset="-128"/>
              <a:ea typeface="BIZ UDゴシック" panose="020B0400000000000000" pitchFamily="49" charset="-128"/>
            </a:rPr>
            <a:t>AW</a:t>
          </a:r>
          <a:r>
            <a:rPr kumimoji="1" lang="ja-JP" altLang="en-US" sz="1100">
              <a:solidFill>
                <a:srgbClr val="FF0000"/>
              </a:solidFill>
              <a:latin typeface="BIZ UDゴシック" panose="020B0400000000000000" pitchFamily="49" charset="-128"/>
              <a:ea typeface="BIZ UDゴシック" panose="020B0400000000000000" pitchFamily="49" charset="-128"/>
            </a:rPr>
            <a:t>列</a:t>
          </a:r>
          <a:r>
            <a:rPr kumimoji="1" lang="en-US" altLang="ja-JP" sz="1100">
              <a:solidFill>
                <a:srgbClr val="FF0000"/>
              </a:solidFill>
              <a:latin typeface="BIZ UDゴシック" panose="020B0400000000000000" pitchFamily="49" charset="-128"/>
              <a:ea typeface="BIZ UDゴシック" panose="020B0400000000000000" pitchFamily="49" charset="-128"/>
            </a:rPr>
            <a:t>43</a:t>
          </a:r>
          <a:r>
            <a:rPr kumimoji="1" lang="ja-JP" altLang="en-US" sz="1100">
              <a:solidFill>
                <a:srgbClr val="FF0000"/>
              </a:solidFill>
              <a:latin typeface="BIZ UDゴシック" panose="020B0400000000000000" pitchFamily="49" charset="-128"/>
              <a:ea typeface="BIZ UDゴシック" panose="020B0400000000000000" pitchFamily="49" charset="-128"/>
            </a:rPr>
            <a:t>行目に記載の加配数が補助上限の算定に当たって考慮されています。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 数値が入っている場合は、各々記載の分、実配置数を増やすことで、当該加算が考慮されるようになります。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en-US" altLang="ja-JP" sz="1100">
              <a:solidFill>
                <a:srgbClr val="FF0000"/>
              </a:solidFill>
              <a:latin typeface="BIZ UDゴシック" panose="020B0400000000000000" pitchFamily="49" charset="-128"/>
              <a:ea typeface="BIZ UDゴシック" panose="020B0400000000000000" pitchFamily="49" charset="-128"/>
            </a:rPr>
            <a:t> </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「障害児加配」以外の加配は、「適用済」であれば、実配置数の限りでなく、当該加配の人数（</a:t>
          </a:r>
          <a:r>
            <a:rPr kumimoji="1" lang="en-US" altLang="ja-JP" sz="1100">
              <a:solidFill>
                <a:schemeClr val="tx1"/>
              </a:solidFill>
              <a:latin typeface="BIZ UDゴシック" panose="020B0400000000000000" pitchFamily="49" charset="-128"/>
              <a:ea typeface="BIZ UDゴシック" panose="020B0400000000000000" pitchFamily="49" charset="-128"/>
            </a:rPr>
            <a:t>AR</a:t>
          </a:r>
          <a:r>
            <a:rPr kumimoji="1" lang="ja-JP" altLang="en-US" sz="1100">
              <a:solidFill>
                <a:schemeClr val="tx1"/>
              </a:solidFill>
              <a:latin typeface="BIZ UDゴシック" panose="020B0400000000000000" pitchFamily="49" charset="-128"/>
              <a:ea typeface="BIZ UDゴシック" panose="020B0400000000000000" pitchFamily="49" charset="-128"/>
            </a:rPr>
            <a:t>～</a:t>
          </a:r>
          <a:r>
            <a:rPr kumimoji="1" lang="en-US" altLang="ja-JP" sz="1100">
              <a:solidFill>
                <a:schemeClr val="tx1"/>
              </a:solidFill>
              <a:latin typeface="BIZ UDゴシック" panose="020B0400000000000000" pitchFamily="49" charset="-128"/>
              <a:ea typeface="BIZ UDゴシック" panose="020B0400000000000000" pitchFamily="49" charset="-128"/>
            </a:rPr>
            <a:t>AW</a:t>
          </a:r>
          <a:r>
            <a:rPr kumimoji="1" lang="ja-JP" altLang="en-US" sz="1100">
              <a:solidFill>
                <a:schemeClr val="tx1"/>
              </a:solidFill>
              <a:latin typeface="BIZ UDゴシック" panose="020B0400000000000000" pitchFamily="49" charset="-128"/>
              <a:ea typeface="BIZ UDゴシック" panose="020B0400000000000000" pitchFamily="49" charset="-128"/>
            </a:rPr>
            <a:t>列</a:t>
          </a:r>
          <a:r>
            <a:rPr kumimoji="1" lang="en-US" altLang="ja-JP" sz="1100">
              <a:solidFill>
                <a:schemeClr val="tx1"/>
              </a:solidFill>
              <a:latin typeface="BIZ UDゴシック" panose="020B0400000000000000" pitchFamily="49" charset="-128"/>
              <a:ea typeface="BIZ UDゴシック" panose="020B0400000000000000" pitchFamily="49" charset="-128"/>
            </a:rPr>
            <a:t>43</a:t>
          </a:r>
          <a:r>
            <a:rPr kumimoji="1" lang="ja-JP" altLang="en-US" sz="1100">
              <a:solidFill>
                <a:schemeClr val="tx1"/>
              </a:solidFill>
              <a:latin typeface="BIZ UDゴシック" panose="020B0400000000000000" pitchFamily="49" charset="-128"/>
              <a:ea typeface="BIZ UDゴシック" panose="020B0400000000000000" pitchFamily="49" charset="-128"/>
            </a:rPr>
            <a:t>行目）全てが</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　 補助算定に含まれます。</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425824</xdr:colOff>
      <xdr:row>53</xdr:row>
      <xdr:rowOff>714373</xdr:rowOff>
    </xdr:from>
    <xdr:to>
      <xdr:col>16</xdr:col>
      <xdr:colOff>428623</xdr:colOff>
      <xdr:row>53</xdr:row>
      <xdr:rowOff>1333498</xdr:rowOff>
    </xdr:to>
    <xdr:sp macro="" textlink="">
      <xdr:nvSpPr>
        <xdr:cNvPr id="235" name="正方形/長方形 234">
          <a:extLst>
            <a:ext uri="{FF2B5EF4-FFF2-40B4-BE49-F238E27FC236}">
              <a16:creationId xmlns:a16="http://schemas.microsoft.com/office/drawing/2014/main" id="{7555FFF6-EE07-403C-ADF4-E05104995E01}"/>
            </a:ext>
          </a:extLst>
        </xdr:cNvPr>
        <xdr:cNvSpPr/>
      </xdr:nvSpPr>
      <xdr:spPr bwMode="auto">
        <a:xfrm>
          <a:off x="6477000" y="22095197"/>
          <a:ext cx="3633505" cy="619125"/>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 「障害児加配」については、実配置数の限りにおいて、</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en-US" altLang="ja-JP" sz="1100">
              <a:solidFill>
                <a:srgbClr val="FF0000"/>
              </a:solidFill>
              <a:latin typeface="BIZ UDゴシック" panose="020B0400000000000000" pitchFamily="49" charset="-128"/>
              <a:ea typeface="BIZ UDゴシック" panose="020B0400000000000000" pitchFamily="49" charset="-128"/>
            </a:rPr>
            <a:t> </a:t>
          </a:r>
          <a:r>
            <a:rPr kumimoji="1" lang="ja-JP" altLang="en-US" sz="1100">
              <a:solidFill>
                <a:srgbClr val="FF0000"/>
              </a:solidFill>
              <a:latin typeface="BIZ UDゴシック" panose="020B0400000000000000" pitchFamily="49" charset="-128"/>
              <a:ea typeface="BIZ UDゴシック" panose="020B0400000000000000" pitchFamily="49" charset="-128"/>
            </a:rPr>
            <a:t>補助金の対象となります。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17</xdr:col>
      <xdr:colOff>14622</xdr:colOff>
      <xdr:row>53</xdr:row>
      <xdr:rowOff>23813</xdr:rowOff>
    </xdr:from>
    <xdr:to>
      <xdr:col>21</xdr:col>
      <xdr:colOff>603249</xdr:colOff>
      <xdr:row>53</xdr:row>
      <xdr:rowOff>311813</xdr:rowOff>
    </xdr:to>
    <xdr:sp macro="" textlink="">
      <xdr:nvSpPr>
        <xdr:cNvPr id="236" name="右中かっこ 235">
          <a:extLst>
            <a:ext uri="{FF2B5EF4-FFF2-40B4-BE49-F238E27FC236}">
              <a16:creationId xmlns:a16="http://schemas.microsoft.com/office/drawing/2014/main" id="{A3B70122-5D82-469B-B696-2E310141532A}"/>
            </a:ext>
          </a:extLst>
        </xdr:cNvPr>
        <xdr:cNvSpPr/>
      </xdr:nvSpPr>
      <xdr:spPr bwMode="auto">
        <a:xfrm rot="5400000">
          <a:off x="12875519" y="19547916"/>
          <a:ext cx="288000" cy="3086294"/>
        </a:xfrm>
        <a:prstGeom prst="rightBrace">
          <a:avLst>
            <a:gd name="adj1" fmla="val 79167"/>
            <a:gd name="adj2" fmla="val 50000"/>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16</xdr:col>
      <xdr:colOff>190500</xdr:colOff>
      <xdr:row>52</xdr:row>
      <xdr:rowOff>654843</xdr:rowOff>
    </xdr:from>
    <xdr:to>
      <xdr:col>16</xdr:col>
      <xdr:colOff>523872</xdr:colOff>
      <xdr:row>53</xdr:row>
      <xdr:rowOff>702468</xdr:rowOff>
    </xdr:to>
    <xdr:cxnSp macro="">
      <xdr:nvCxnSpPr>
        <xdr:cNvPr id="237" name="直線コネクタ 236">
          <a:extLst>
            <a:ext uri="{FF2B5EF4-FFF2-40B4-BE49-F238E27FC236}">
              <a16:creationId xmlns:a16="http://schemas.microsoft.com/office/drawing/2014/main" id="{CE775B93-C386-4940-BEF2-B89FEB2D57B9}"/>
            </a:ext>
          </a:extLst>
        </xdr:cNvPr>
        <xdr:cNvCxnSpPr/>
      </xdr:nvCxnSpPr>
      <xdr:spPr bwMode="auto">
        <a:xfrm flipH="1">
          <a:off x="11049000" y="20773760"/>
          <a:ext cx="333372" cy="851958"/>
        </a:xfrm>
        <a:prstGeom prst="line">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cxnSp>
    <xdr:clientData/>
  </xdr:twoCellAnchor>
  <xdr:twoCellAnchor>
    <xdr:from>
      <xdr:col>0</xdr:col>
      <xdr:colOff>35720</xdr:colOff>
      <xdr:row>46</xdr:row>
      <xdr:rowOff>158750</xdr:rowOff>
    </xdr:from>
    <xdr:to>
      <xdr:col>10</xdr:col>
      <xdr:colOff>547688</xdr:colOff>
      <xdr:row>53</xdr:row>
      <xdr:rowOff>1345968</xdr:rowOff>
    </xdr:to>
    <xdr:sp macro="" textlink="">
      <xdr:nvSpPr>
        <xdr:cNvPr id="238" name="吹き出し: 右矢印 237">
          <a:extLst>
            <a:ext uri="{FF2B5EF4-FFF2-40B4-BE49-F238E27FC236}">
              <a16:creationId xmlns:a16="http://schemas.microsoft.com/office/drawing/2014/main" id="{C6235AD7-30BC-4840-B74C-BEA64AD442B8}"/>
            </a:ext>
          </a:extLst>
        </xdr:cNvPr>
        <xdr:cNvSpPr/>
      </xdr:nvSpPr>
      <xdr:spPr bwMode="auto">
        <a:xfrm>
          <a:off x="35720" y="17628721"/>
          <a:ext cx="6563144" cy="4974806"/>
        </a:xfrm>
        <a:prstGeom prst="rightArrowCallout">
          <a:avLst>
            <a:gd name="adj1" fmla="val 9020"/>
            <a:gd name="adj2" fmla="val 9521"/>
            <a:gd name="adj3" fmla="val 6366"/>
            <a:gd name="adj4" fmla="val 93991"/>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200">
              <a:solidFill>
                <a:srgbClr val="FF0000"/>
              </a:solidFill>
              <a:latin typeface="BIZ UDゴシック" panose="020B0400000000000000" pitchFamily="49" charset="-128"/>
              <a:ea typeface="BIZ UDゴシック" panose="020B0400000000000000" pitchFamily="49" charset="-128"/>
            </a:rPr>
            <a:t> 右表は、</a:t>
          </a:r>
          <a:r>
            <a:rPr kumimoji="1" lang="ja-JP" altLang="ja-JP" sz="1200">
              <a:solidFill>
                <a:srgbClr val="FF0000"/>
              </a:solidFill>
              <a:effectLst/>
              <a:latin typeface="BIZ UDゴシック" panose="020B0400000000000000" pitchFamily="49" charset="-128"/>
              <a:ea typeface="BIZ UDゴシック" panose="020B0400000000000000" pitchFamily="49" charset="-128"/>
              <a:cs typeface="+mn-cs"/>
            </a:rPr>
            <a:t>実配置の現状</a:t>
          </a:r>
          <a:r>
            <a:rPr kumimoji="1" lang="ja-JP" altLang="en-US" sz="1200">
              <a:solidFill>
                <a:srgbClr val="FF0000"/>
              </a:solidFill>
              <a:effectLst/>
              <a:latin typeface="BIZ UDゴシック" panose="020B0400000000000000" pitchFamily="49" charset="-128"/>
              <a:ea typeface="BIZ UDゴシック" panose="020B0400000000000000" pitchFamily="49" charset="-128"/>
              <a:cs typeface="+mn-cs"/>
            </a:rPr>
            <a:t>を踏まえた</a:t>
          </a:r>
          <a:r>
            <a:rPr kumimoji="1" lang="ja-JP" altLang="en-US" sz="1200">
              <a:solidFill>
                <a:srgbClr val="FF0000"/>
              </a:solidFill>
              <a:latin typeface="BIZ UDゴシック" panose="020B0400000000000000" pitchFamily="49" charset="-128"/>
              <a:ea typeface="BIZ UDゴシック" panose="020B0400000000000000" pitchFamily="49" charset="-128"/>
            </a:rPr>
            <a:t>人件費等補助金の補助算定状況を示しています。</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endParaRPr lang="ja-JP" altLang="ja-JP" sz="500">
            <a:effectLst/>
          </a:endParaRPr>
        </a:p>
        <a:p>
          <a:pPr algn="l"/>
          <a:r>
            <a:rPr kumimoji="1" lang="en-US" altLang="ja-JP" sz="1200">
              <a:latin typeface="BIZ UDゴシック" panose="020B0400000000000000" pitchFamily="49" charset="-128"/>
              <a:ea typeface="BIZ UDゴシック" panose="020B0400000000000000" pitchFamily="49" charset="-128"/>
            </a:rPr>
            <a:t> ※</a:t>
          </a:r>
          <a:r>
            <a:rPr kumimoji="1" lang="ja-JP" altLang="en-US" sz="1200">
              <a:latin typeface="BIZ UDゴシック" panose="020B0400000000000000" pitchFamily="49" charset="-128"/>
              <a:ea typeface="BIZ UDゴシック" panose="020B0400000000000000" pitchFamily="49" charset="-128"/>
            </a:rPr>
            <a:t>人件費等補助金がいくらになるかは、収入額（給付費等）、支出額（各園で実際</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に支払われている人件費）、補助上限で計算しますが、補助上限について、保育</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士等の場合は「補助算定職員数</a:t>
          </a:r>
          <a:r>
            <a:rPr kumimoji="1" lang="en-US" altLang="ja-JP" sz="1200">
              <a:latin typeface="BIZ UDゴシック" panose="020B0400000000000000" pitchFamily="49" charset="-128"/>
              <a:ea typeface="BIZ UDゴシック" panose="020B0400000000000000" pitchFamily="49" charset="-128"/>
            </a:rPr>
            <a:t>×</a:t>
          </a:r>
          <a:r>
            <a:rPr kumimoji="1" lang="ja-JP" altLang="en-US" sz="1200">
              <a:latin typeface="BIZ UDゴシック" panose="020B0400000000000000" pitchFamily="49" charset="-128"/>
              <a:ea typeface="BIZ UDゴシック" panose="020B0400000000000000" pitchFamily="49" charset="-128"/>
            </a:rPr>
            <a:t>単価」で算出します。</a:t>
          </a:r>
          <a:endParaRPr kumimoji="1" lang="en-US" altLang="ja-JP" sz="1200">
            <a:latin typeface="BIZ UDゴシック" panose="020B0400000000000000" pitchFamily="49" charset="-128"/>
            <a:ea typeface="BIZ UDゴシック" panose="020B0400000000000000" pitchFamily="49" charset="-128"/>
          </a:endParaRPr>
        </a:p>
        <a:p>
          <a:pPr algn="l"/>
          <a:r>
            <a:rPr kumimoji="1" lang="en-US" altLang="ja-JP" sz="1200">
              <a:latin typeface="BIZ UDゴシック" panose="020B0400000000000000" pitchFamily="49" charset="-128"/>
              <a:ea typeface="BIZ UDゴシック" panose="020B0400000000000000" pitchFamily="49" charset="-128"/>
            </a:rPr>
            <a:t> ※</a:t>
          </a:r>
          <a:r>
            <a:rPr kumimoji="1" lang="ja-JP" altLang="en-US" sz="1200">
              <a:latin typeface="BIZ UDゴシック" panose="020B0400000000000000" pitchFamily="49" charset="-128"/>
              <a:ea typeface="BIZ UDゴシック" panose="020B0400000000000000" pitchFamily="49" charset="-128"/>
            </a:rPr>
            <a:t>補助算定職員数は、①条例で定める配置基準に基づく職員数、②給付費の加算を</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取得するために配置が必要な職員数をベースに、③障害児加配、④１歳児加配、</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⑤標準保育時間対応保育士加配、⑥休憩対応保育士加配、⑦標準時間対応休憩保</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育士加配、⑧３歳児加配という市独自の加配があり、実配置数の状況で、適用範</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囲が決まります。</a:t>
          </a:r>
          <a:endParaRPr kumimoji="1" lang="en-US" altLang="ja-JP" sz="1200">
            <a:latin typeface="BIZ UDゴシック" panose="020B0400000000000000" pitchFamily="49" charset="-128"/>
            <a:ea typeface="BIZ UDゴシック" panose="020B0400000000000000" pitchFamily="49" charset="-128"/>
          </a:endParaRPr>
        </a:p>
        <a:p>
          <a:pPr algn="l"/>
          <a:endParaRPr kumimoji="1" lang="en-US" altLang="ja-JP" sz="400">
            <a:latin typeface="BIZ UDゴシック" panose="020B0400000000000000" pitchFamily="49" charset="-128"/>
            <a:ea typeface="BIZ UDゴシック" panose="020B0400000000000000" pitchFamily="49" charset="-128"/>
          </a:endParaRPr>
        </a:p>
        <a:p>
          <a:pPr algn="l"/>
          <a:r>
            <a:rPr kumimoji="1" lang="en-US" altLang="ja-JP"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rgbClr val="FF0000"/>
              </a:solidFill>
              <a:latin typeface="BIZ UDゴシック" panose="020B0400000000000000" pitchFamily="49" charset="-128"/>
              <a:ea typeface="BIZ UDゴシック" panose="020B0400000000000000" pitchFamily="49" charset="-128"/>
            </a:rPr>
            <a:t>右表の見方</a:t>
          </a:r>
          <a:r>
            <a:rPr kumimoji="1" lang="en-US" altLang="ja-JP" sz="1200">
              <a:solidFill>
                <a:srgbClr val="FF0000"/>
              </a:solidFill>
              <a:latin typeface="BIZ UDゴシック" panose="020B0400000000000000" pitchFamily="49" charset="-128"/>
              <a:ea typeface="BIZ UDゴシック" panose="020B0400000000000000" pitchFamily="49" charset="-128"/>
            </a:rPr>
            <a:t>】</a:t>
          </a: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①「補助対象職員数の算定に含まれている加配」の行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現在の実配置数で、補助対象職員数の算定に含まれている加配に「○」、含まれ</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れていない加配に「</a:t>
          </a: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」を表示します。</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なお、障害児の受入がない場合、障害児加配は「非該当」を表示します。</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②「各加配を算定に含めるために必要な実配置数」の行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各加配を算定に含めるためには、あとどれだけ実配置（年間平均）を増やす必要</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baseline="0">
              <a:solidFill>
                <a:schemeClr val="tx1"/>
              </a:solidFill>
              <a:latin typeface="BIZ UDゴシック" panose="020B0400000000000000" pitchFamily="49" charset="-128"/>
              <a:ea typeface="BIZ UDゴシック" panose="020B0400000000000000" pitchFamily="49" charset="-128"/>
            </a:rPr>
            <a:t> が</a:t>
          </a:r>
          <a:r>
            <a:rPr kumimoji="1" lang="ja-JP" altLang="en-US" sz="1200">
              <a:solidFill>
                <a:schemeClr val="tx1"/>
              </a:solidFill>
              <a:latin typeface="BIZ UDゴシック" panose="020B0400000000000000" pitchFamily="49" charset="-128"/>
              <a:ea typeface="BIZ UDゴシック" panose="020B0400000000000000" pitchFamily="49" charset="-128"/>
            </a:rPr>
            <a:t>あるかを表示しています。なお既に算定に含まれている加配は「適用済」と表示</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a:t>
          </a:r>
          <a:r>
            <a:rPr kumimoji="1" lang="en-US" altLang="ja-JP" sz="1200" b="1" u="sng">
              <a:solidFill>
                <a:schemeClr val="tx1"/>
              </a:solidFill>
              <a:latin typeface="BIZ UDゴシック" panose="020B0400000000000000" pitchFamily="49" charset="-128"/>
              <a:ea typeface="BIZ UDゴシック" panose="020B0400000000000000" pitchFamily="49" charset="-128"/>
            </a:rPr>
            <a:t>※</a:t>
          </a:r>
          <a:r>
            <a:rPr kumimoji="1" lang="ja-JP" altLang="en-US" sz="1200" b="1" u="sng">
              <a:solidFill>
                <a:schemeClr val="tx1"/>
              </a:solidFill>
              <a:latin typeface="BIZ UDゴシック" panose="020B0400000000000000" pitchFamily="49" charset="-128"/>
              <a:ea typeface="BIZ UDゴシック" panose="020B0400000000000000" pitchFamily="49" charset="-128"/>
            </a:rPr>
            <a:t>新たに加配が適用されると補助上限が上がります（補助金は直ちに増えません）</a:t>
          </a:r>
          <a:endParaRPr kumimoji="1" lang="en-US" altLang="ja-JP" sz="1200" b="1" u="sng">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③「今後配置必要実配置数」の行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補助算定職員数は年間平均で算出します。雇用開始月に応じて、②を満たすため</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に</a:t>
          </a:r>
          <a:r>
            <a:rPr kumimoji="1" lang="ja-JP" altLang="en-US" sz="1100">
              <a:solidFill>
                <a:schemeClr val="tx1"/>
              </a:solidFill>
              <a:effectLst/>
              <a:latin typeface="BIZ UDゴシック" panose="020B0400000000000000" pitchFamily="49" charset="-128"/>
              <a:ea typeface="BIZ UDゴシック" panose="020B0400000000000000" pitchFamily="49" charset="-128"/>
              <a:cs typeface="+mn-cs"/>
            </a:rPr>
            <a:t>今後毎月</a:t>
          </a:r>
          <a:r>
            <a:rPr kumimoji="1" lang="ja-JP" altLang="en-US" sz="1200">
              <a:solidFill>
                <a:schemeClr val="tx1"/>
              </a:solidFill>
              <a:latin typeface="BIZ UDゴシック" panose="020B0400000000000000" pitchFamily="49" charset="-128"/>
              <a:ea typeface="BIZ UDゴシック" panose="020B0400000000000000" pitchFamily="49" charset="-128"/>
            </a:rPr>
            <a:t>何人分の雇用が必要かを示しています。（表右側の補足も要参照）</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22</xdr:col>
      <xdr:colOff>160071</xdr:colOff>
      <xdr:row>49</xdr:row>
      <xdr:rowOff>71437</xdr:rowOff>
    </xdr:from>
    <xdr:to>
      <xdr:col>32</xdr:col>
      <xdr:colOff>211666</xdr:colOff>
      <xdr:row>51</xdr:row>
      <xdr:rowOff>47625</xdr:rowOff>
    </xdr:to>
    <xdr:sp macro="" textlink="">
      <xdr:nvSpPr>
        <xdr:cNvPr id="239" name="吹き出し: 左矢印 238">
          <a:extLst>
            <a:ext uri="{FF2B5EF4-FFF2-40B4-BE49-F238E27FC236}">
              <a16:creationId xmlns:a16="http://schemas.microsoft.com/office/drawing/2014/main" id="{E77021CC-6B58-4B68-9918-BBD64EBEFBB7}"/>
            </a:ext>
          </a:extLst>
        </xdr:cNvPr>
        <xdr:cNvSpPr/>
      </xdr:nvSpPr>
      <xdr:spPr bwMode="auto">
        <a:xfrm>
          <a:off x="14722738" y="18539354"/>
          <a:ext cx="6084095" cy="1172104"/>
        </a:xfrm>
        <a:prstGeom prst="leftArrowCallout">
          <a:avLst>
            <a:gd name="adj1" fmla="val 18478"/>
            <a:gd name="adj2" fmla="val 19565"/>
            <a:gd name="adj3" fmla="val 13470"/>
            <a:gd name="adj4" fmla="val 95479"/>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様式２の「資格内容」のいずれかに○、「勤務実績」の雇用開始月以降に「○」を入れて</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いただく、又は様式３の「雇用期間」、「１箇月あたりの勤務時間」を仮に入力いただく</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ことで、新たに職員を雇用した場合にどうなるか、シミュレーションいただけます。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新たに雇用することを検討</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されている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職員が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専従の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常勤</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職員</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の場合は様式２</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非常勤</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職員や非専従の常勤職員</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の場合は様式３を使用</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twoCellAnchor>
    <xdr:from>
      <xdr:col>22</xdr:col>
      <xdr:colOff>169596</xdr:colOff>
      <xdr:row>51</xdr:row>
      <xdr:rowOff>107156</xdr:rowOff>
    </xdr:from>
    <xdr:to>
      <xdr:col>32</xdr:col>
      <xdr:colOff>222250</xdr:colOff>
      <xdr:row>53</xdr:row>
      <xdr:rowOff>166687</xdr:rowOff>
    </xdr:to>
    <xdr:sp macro="" textlink="">
      <xdr:nvSpPr>
        <xdr:cNvPr id="240" name="吹き出し: 左矢印 239">
          <a:extLst>
            <a:ext uri="{FF2B5EF4-FFF2-40B4-BE49-F238E27FC236}">
              <a16:creationId xmlns:a16="http://schemas.microsoft.com/office/drawing/2014/main" id="{AF8CD88A-4EF7-478B-93C9-1B2FA0E3032B}"/>
            </a:ext>
          </a:extLst>
        </xdr:cNvPr>
        <xdr:cNvSpPr/>
      </xdr:nvSpPr>
      <xdr:spPr bwMode="auto">
        <a:xfrm>
          <a:off x="14732263" y="19770989"/>
          <a:ext cx="6085154" cy="1318948"/>
        </a:xfrm>
        <a:prstGeom prst="leftArrowCallout">
          <a:avLst>
            <a:gd name="adj1" fmla="val 18590"/>
            <a:gd name="adj2" fmla="val 17219"/>
            <a:gd name="adj3" fmla="val 12922"/>
            <a:gd name="adj4" fmla="val 95479"/>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補足</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補助算定職員数は年間平均で算出しますので、例えば年間</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人分の実配置を増やすには、</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４月雇用の場合は</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人分で足りますが、</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月雇用の場合は</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人分が必要です。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複数人の組合せの場合、常勤換算人数は各々端数処理するため、若干誤差が生じます。</a:t>
          </a: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（例）４月雇用の場合　</a:t>
          </a:r>
          <a:r>
            <a:rPr kumimoji="1" lang="en-US" altLang="ja-JP" sz="1100" u="sng">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u="sng">
              <a:solidFill>
                <a:schemeClr val="dk1"/>
              </a:solidFill>
              <a:effectLst/>
              <a:latin typeface="BIZ UDゴシック" panose="020B0400000000000000" pitchFamily="49" charset="-128"/>
              <a:ea typeface="BIZ UDゴシック" panose="020B0400000000000000" pitchFamily="49" charset="-128"/>
              <a:cs typeface="+mn-cs"/>
            </a:rPr>
            <a:t>人</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雇用月数</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箇月（４月～３月）／年間</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箇月＝平均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月雇用の場合　</a:t>
          </a:r>
          <a:r>
            <a:rPr kumimoji="1" lang="en-US" altLang="ja-JP" sz="1100" u="sng">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u="sng">
              <a:solidFill>
                <a:schemeClr val="dk1"/>
              </a:solidFill>
              <a:effectLst/>
              <a:latin typeface="BIZ UDゴシック" panose="020B0400000000000000" pitchFamily="49" charset="-128"/>
              <a:ea typeface="BIZ UDゴシック" panose="020B0400000000000000" pitchFamily="49" charset="-128"/>
              <a:cs typeface="+mn-cs"/>
            </a:rPr>
            <a:t>人</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雇用月数６箇月（</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月～３月）／年間</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箇月＝平均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twoCellAnchor>
    <xdr:from>
      <xdr:col>48</xdr:col>
      <xdr:colOff>86791</xdr:colOff>
      <xdr:row>5</xdr:row>
      <xdr:rowOff>703266</xdr:rowOff>
    </xdr:from>
    <xdr:to>
      <xdr:col>48</xdr:col>
      <xdr:colOff>534466</xdr:colOff>
      <xdr:row>6</xdr:row>
      <xdr:rowOff>19053</xdr:rowOff>
    </xdr:to>
    <xdr:sp macro="" textlink="">
      <xdr:nvSpPr>
        <xdr:cNvPr id="18" name="Text Box 9">
          <a:extLst>
            <a:ext uri="{FF2B5EF4-FFF2-40B4-BE49-F238E27FC236}">
              <a16:creationId xmlns:a16="http://schemas.microsoft.com/office/drawing/2014/main" id="{5CF4DF3F-6DB7-46E5-8767-11754FB292AE}"/>
            </a:ext>
          </a:extLst>
        </xdr:cNvPr>
        <xdr:cNvSpPr txBox="1">
          <a:spLocks noChangeArrowheads="1"/>
        </xdr:cNvSpPr>
      </xdr:nvSpPr>
      <xdr:spPr bwMode="auto">
        <a:xfrm>
          <a:off x="31021874" y="3349099"/>
          <a:ext cx="447675" cy="247121"/>
        </a:xfrm>
        <a:prstGeom prst="rect">
          <a:avLst/>
        </a:prstGeom>
        <a:noFill/>
        <a:ln>
          <a:noFill/>
        </a:ln>
      </xdr:spPr>
      <xdr:txBody>
        <a:bodyPr vertOverflow="clip" wrap="square" lIns="36576" tIns="18288" rIns="36576" bIns="0" anchor="t" upright="1"/>
        <a:lstStyle/>
        <a:p>
          <a:pPr algn="ctr" rtl="0">
            <a:defRPr sz="1000"/>
          </a:pPr>
          <a:r>
            <a:rPr lang="ja-JP" altLang="en-US" sz="1200" b="1"/>
            <a:t>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50800</xdr:colOff>
      <xdr:row>0</xdr:row>
      <xdr:rowOff>114300</xdr:rowOff>
    </xdr:from>
    <xdr:to>
      <xdr:col>17</xdr:col>
      <xdr:colOff>622300</xdr:colOff>
      <xdr:row>2</xdr:row>
      <xdr:rowOff>406400</xdr:rowOff>
    </xdr:to>
    <xdr:sp macro="" textlink="">
      <xdr:nvSpPr>
        <xdr:cNvPr id="2" name="テキスト ボックス 1">
          <a:extLst>
            <a:ext uri="{FF2B5EF4-FFF2-40B4-BE49-F238E27FC236}">
              <a16:creationId xmlns:a16="http://schemas.microsoft.com/office/drawing/2014/main" id="{F9A27FBB-1F1E-485E-A259-89DC7C929F0C}"/>
            </a:ext>
          </a:extLst>
        </xdr:cNvPr>
        <xdr:cNvSpPr txBox="1"/>
      </xdr:nvSpPr>
      <xdr:spPr>
        <a:xfrm>
          <a:off x="10261600" y="114300"/>
          <a:ext cx="3416300" cy="8001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「講師配置加算」の算定を受けている場合、</a:t>
          </a:r>
          <a:endParaRPr kumimoji="1" lang="en-US" altLang="ja-JP" sz="1200" b="1">
            <a:solidFill>
              <a:srgbClr val="FF0000"/>
            </a:solidFill>
          </a:endParaRPr>
        </a:p>
        <a:p>
          <a:r>
            <a:rPr kumimoji="1" lang="ja-JP" altLang="en-US" sz="1200" b="1">
              <a:solidFill>
                <a:srgbClr val="FF0000"/>
              </a:solidFill>
            </a:rPr>
            <a:t>当該加算の算定を受けるために配置している</a:t>
          </a:r>
          <a:endParaRPr kumimoji="1" lang="en-US" altLang="ja-JP" sz="1200" b="1">
            <a:solidFill>
              <a:srgbClr val="FF0000"/>
            </a:solidFill>
          </a:endParaRPr>
        </a:p>
        <a:p>
          <a:r>
            <a:rPr kumimoji="1" lang="ja-JP" altLang="en-US" sz="1200" b="1">
              <a:solidFill>
                <a:srgbClr val="FF0000"/>
              </a:solidFill>
            </a:rPr>
            <a:t>講師は入力しないでください。</a:t>
          </a:r>
          <a:endParaRPr kumimoji="1" lang="en-US" altLang="ja-JP" sz="1200" b="1">
            <a:solidFill>
              <a:srgbClr val="FF0000"/>
            </a:solidFill>
          </a:endParaRPr>
        </a:p>
      </xdr:txBody>
    </xdr:sp>
    <xdr:clientData/>
  </xdr:twoCellAnchor>
  <xdr:oneCellAnchor>
    <xdr:from>
      <xdr:col>18</xdr:col>
      <xdr:colOff>214312</xdr:colOff>
      <xdr:row>76</xdr:row>
      <xdr:rowOff>35718</xdr:rowOff>
    </xdr:from>
    <xdr:ext cx="4159250" cy="2084916"/>
    <xdr:sp macro="" textlink="">
      <xdr:nvSpPr>
        <xdr:cNvPr id="4" name="テキスト ボックス 3">
          <a:extLst>
            <a:ext uri="{FF2B5EF4-FFF2-40B4-BE49-F238E27FC236}">
              <a16:creationId xmlns:a16="http://schemas.microsoft.com/office/drawing/2014/main" id="{210239ED-40E5-4623-8837-745A1F0AB479}"/>
            </a:ext>
          </a:extLst>
        </xdr:cNvPr>
        <xdr:cNvSpPr txBox="1"/>
      </xdr:nvSpPr>
      <xdr:spPr>
        <a:xfrm>
          <a:off x="13858875" y="24788812"/>
          <a:ext cx="4159250" cy="2084916"/>
        </a:xfrm>
        <a:prstGeom prst="rect">
          <a:avLst/>
        </a:prstGeom>
        <a:solidFill>
          <a:srgbClr val="FFFFCC"/>
        </a:solidFill>
        <a:ln>
          <a:solidFill>
            <a:srgbClr val="00924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kern="1200">
              <a:solidFill>
                <a:sysClr val="windowText" lastClr="000000"/>
              </a:solidFill>
            </a:rPr>
            <a:t>【</a:t>
          </a:r>
          <a:r>
            <a:rPr kumimoji="1" lang="ja-JP" altLang="en-US" sz="1100" b="1" kern="1200">
              <a:solidFill>
                <a:sysClr val="windowText" lastClr="000000"/>
              </a:solidFill>
            </a:rPr>
            <a:t>注意事項</a:t>
          </a:r>
          <a:r>
            <a:rPr kumimoji="1" lang="en-US" altLang="ja-JP" sz="1100" b="1" kern="1200">
              <a:solidFill>
                <a:sysClr val="windowText" lastClr="000000"/>
              </a:solidFill>
            </a:rPr>
            <a:t>】</a:t>
          </a:r>
        </a:p>
        <a:p>
          <a:r>
            <a:rPr kumimoji="1" lang="ja-JP" altLang="en-US" sz="1100" kern="1200">
              <a:solidFill>
                <a:sysClr val="windowText" lastClr="000000"/>
              </a:solidFill>
            </a:rPr>
            <a:t>療育支援加算で専門職の活用（区分</a:t>
          </a:r>
          <a:r>
            <a:rPr kumimoji="1" lang="en-US" altLang="ja-JP" sz="1100" kern="1200">
              <a:solidFill>
                <a:sysClr val="windowText" lastClr="000000"/>
              </a:solidFill>
            </a:rPr>
            <a:t>C,D</a:t>
          </a:r>
          <a:r>
            <a:rPr kumimoji="1" lang="ja-JP" altLang="en-US" sz="1100" kern="1200">
              <a:solidFill>
                <a:sysClr val="windowText" lastClr="000000"/>
              </a:solidFill>
            </a:rPr>
            <a:t>）を実施している場合、当該取組みに従事する時間を除いて記載してください。</a:t>
          </a:r>
          <a:endParaRPr kumimoji="1" lang="en-US" altLang="ja-JP" sz="1100" kern="1200">
            <a:solidFill>
              <a:sysClr val="windowText" lastClr="000000"/>
            </a:solidFill>
          </a:endParaRPr>
        </a:p>
        <a:p>
          <a:r>
            <a:rPr kumimoji="1" lang="en-US" altLang="ja-JP" sz="1100" kern="1200">
              <a:solidFill>
                <a:sysClr val="windowText" lastClr="000000"/>
              </a:solidFill>
            </a:rPr>
            <a:t>C</a:t>
          </a:r>
          <a:r>
            <a:rPr kumimoji="1" lang="ja-JP" altLang="en-US" sz="1100" kern="1200">
              <a:solidFill>
                <a:sysClr val="windowText" lastClr="000000"/>
              </a:solidFill>
            </a:rPr>
            <a:t>：専門職配置９０時間以上</a:t>
          </a:r>
          <a:endParaRPr kumimoji="1" lang="en-US" altLang="ja-JP" sz="1100" kern="1200">
            <a:solidFill>
              <a:sysClr val="windowText" lastClr="000000"/>
            </a:solidFill>
          </a:endParaRPr>
        </a:p>
        <a:p>
          <a:r>
            <a:rPr kumimoji="1" lang="en-US" altLang="ja-JP" sz="1100" kern="1200">
              <a:solidFill>
                <a:sysClr val="windowText" lastClr="000000"/>
              </a:solidFill>
            </a:rPr>
            <a:t>D</a:t>
          </a:r>
          <a:r>
            <a:rPr kumimoji="1" lang="ja-JP" altLang="en-US" sz="1100" kern="1200">
              <a:solidFill>
                <a:sysClr val="windowText" lastClr="000000"/>
              </a:solidFill>
            </a:rPr>
            <a:t>：専門職配置６０時間以上</a:t>
          </a:r>
          <a:endParaRPr kumimoji="1" lang="en-US" altLang="ja-JP" sz="1100" kern="1200">
            <a:solidFill>
              <a:sysClr val="windowText" lastClr="000000"/>
            </a:solidFill>
          </a:endParaRPr>
        </a:p>
        <a:p>
          <a:endParaRPr kumimoji="1" lang="en-US" altLang="ja-JP" sz="1100" kern="1200">
            <a:solidFill>
              <a:sysClr val="windowText" lastClr="000000"/>
            </a:solidFill>
          </a:endParaRPr>
        </a:p>
        <a:p>
          <a:r>
            <a:rPr kumimoji="1" lang="ja-JP" altLang="en-US" sz="1100" kern="1200">
              <a:solidFill>
                <a:sysClr val="windowText" lastClr="000000"/>
              </a:solidFill>
            </a:rPr>
            <a:t>例）常勤（月当たり１７３時間）の心理担当職員を雇用し、療育支援加算の対象職員かつみなし保育士とする場合</a:t>
          </a:r>
          <a:endParaRPr kumimoji="1" lang="en-US" altLang="ja-JP" sz="1100" kern="1200">
            <a:solidFill>
              <a:sysClr val="windowText" lastClr="000000"/>
            </a:solidFill>
          </a:endParaRPr>
        </a:p>
        <a:p>
          <a:endParaRPr kumimoji="1" lang="en-US" altLang="ja-JP" sz="1100" kern="1200">
            <a:solidFill>
              <a:sysClr val="windowText" lastClr="000000"/>
            </a:solidFill>
          </a:endParaRPr>
        </a:p>
        <a:p>
          <a:r>
            <a:rPr kumimoji="1" lang="ja-JP" altLang="en-US" sz="1100" kern="1200">
              <a:solidFill>
                <a:sysClr val="windowText" lastClr="000000"/>
              </a:solidFill>
            </a:rPr>
            <a:t>１７３時間　－　９０時間　＝</a:t>
          </a:r>
          <a:r>
            <a:rPr kumimoji="1" lang="ja-JP" altLang="en-US" sz="1100" u="sng" kern="1200">
              <a:solidFill>
                <a:sysClr val="windowText" lastClr="000000"/>
              </a:solidFill>
            </a:rPr>
            <a:t>８３時間</a:t>
          </a:r>
          <a:r>
            <a:rPr kumimoji="1" lang="ja-JP" altLang="en-US" sz="1100" u="none" kern="1200">
              <a:solidFill>
                <a:sysClr val="windowText" lastClr="000000"/>
              </a:solidFill>
            </a:rPr>
            <a:t>　をみなし保育士として表に記載</a:t>
          </a:r>
          <a:endParaRPr kumimoji="1" lang="en-US" altLang="ja-JP" sz="1100" u="sng" kern="1200">
            <a:solidFill>
              <a:sysClr val="windowText" lastClr="000000"/>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28</xdr:col>
      <xdr:colOff>25400</xdr:colOff>
      <xdr:row>0</xdr:row>
      <xdr:rowOff>114300</xdr:rowOff>
    </xdr:from>
    <xdr:to>
      <xdr:col>35</xdr:col>
      <xdr:colOff>254000</xdr:colOff>
      <xdr:row>2</xdr:row>
      <xdr:rowOff>457200</xdr:rowOff>
    </xdr:to>
    <xdr:sp macro="" textlink="">
      <xdr:nvSpPr>
        <xdr:cNvPr id="4" name="テキスト ボックス 3">
          <a:extLst>
            <a:ext uri="{FF2B5EF4-FFF2-40B4-BE49-F238E27FC236}">
              <a16:creationId xmlns:a16="http://schemas.microsoft.com/office/drawing/2014/main" id="{09233F06-3E3D-493D-9B63-BADA473948CE}"/>
            </a:ext>
          </a:extLst>
        </xdr:cNvPr>
        <xdr:cNvSpPr txBox="1"/>
      </xdr:nvSpPr>
      <xdr:spPr>
        <a:xfrm>
          <a:off x="12586494" y="114300"/>
          <a:ext cx="3550444" cy="84296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「講師配置加算」の算定を受けている場合、</a:t>
          </a:r>
          <a:endParaRPr kumimoji="1" lang="en-US" altLang="ja-JP" sz="1200" b="1">
            <a:solidFill>
              <a:srgbClr val="FF0000"/>
            </a:solidFill>
          </a:endParaRPr>
        </a:p>
        <a:p>
          <a:r>
            <a:rPr kumimoji="1" lang="ja-JP" altLang="en-US" sz="1200" b="1">
              <a:solidFill>
                <a:srgbClr val="FF0000"/>
              </a:solidFill>
            </a:rPr>
            <a:t>当該加算の算定を受けるために配置している</a:t>
          </a:r>
          <a:endParaRPr kumimoji="1" lang="en-US" altLang="ja-JP" sz="1200" b="1">
            <a:solidFill>
              <a:srgbClr val="FF0000"/>
            </a:solidFill>
          </a:endParaRPr>
        </a:p>
        <a:p>
          <a:r>
            <a:rPr kumimoji="1" lang="ja-JP" altLang="en-US" sz="1200" b="1">
              <a:solidFill>
                <a:srgbClr val="FF0000"/>
              </a:solidFill>
            </a:rPr>
            <a:t>講師は入力しないでください。</a:t>
          </a:r>
          <a:endParaRPr kumimoji="1" lang="en-US" altLang="ja-JP" sz="1200" b="1">
            <a:solidFill>
              <a:srgbClr val="FF0000"/>
            </a:solidFill>
          </a:endParaRPr>
        </a:p>
      </xdr:txBody>
    </xdr:sp>
    <xdr:clientData/>
  </xdr:twoCellAnchor>
  <xdr:twoCellAnchor>
    <xdr:from>
      <xdr:col>37</xdr:col>
      <xdr:colOff>571500</xdr:colOff>
      <xdr:row>2</xdr:row>
      <xdr:rowOff>698500</xdr:rowOff>
    </xdr:from>
    <xdr:to>
      <xdr:col>53</xdr:col>
      <xdr:colOff>206375</xdr:colOff>
      <xdr:row>10</xdr:row>
      <xdr:rowOff>206375</xdr:rowOff>
    </xdr:to>
    <xdr:sp macro="" textlink="">
      <xdr:nvSpPr>
        <xdr:cNvPr id="2" name="正方形/長方形 1">
          <a:extLst>
            <a:ext uri="{FF2B5EF4-FFF2-40B4-BE49-F238E27FC236}">
              <a16:creationId xmlns:a16="http://schemas.microsoft.com/office/drawing/2014/main" id="{1E5953DB-AAF5-4EA2-9668-4613944273A1}"/>
            </a:ext>
          </a:extLst>
        </xdr:cNvPr>
        <xdr:cNvSpPr/>
      </xdr:nvSpPr>
      <xdr:spPr bwMode="auto">
        <a:xfrm>
          <a:off x="17494250" y="1190625"/>
          <a:ext cx="9969500" cy="2190750"/>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＜誰でも通園コメント＞</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誰でも通園として従事した職員は、誰でも通園に専従した勤務時間分を除いて記載してください。</a:t>
          </a:r>
        </a:p>
        <a:p>
          <a:pPr algn="l"/>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本体保育に従事しながら誰通について「支援」を行った勤務時間は除かないこと</a:t>
          </a:r>
        </a:p>
        <a:p>
          <a:pPr algn="l"/>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誰通専任職員であっても、本体保育従事時間は本シートに記載すること</a:t>
          </a:r>
        </a:p>
      </xdr:txBody>
    </xdr:sp>
    <xdr:clientData/>
  </xdr:twoCellAnchor>
  <xdr:twoCellAnchor>
    <xdr:from>
      <xdr:col>35</xdr:col>
      <xdr:colOff>285749</xdr:colOff>
      <xdr:row>0</xdr:row>
      <xdr:rowOff>130968</xdr:rowOff>
    </xdr:from>
    <xdr:to>
      <xdr:col>42</xdr:col>
      <xdr:colOff>33337</xdr:colOff>
      <xdr:row>2</xdr:row>
      <xdr:rowOff>450848</xdr:rowOff>
    </xdr:to>
    <xdr:sp macro="" textlink="">
      <xdr:nvSpPr>
        <xdr:cNvPr id="3" name="テキスト ボックス 2">
          <a:extLst>
            <a:ext uri="{FF2B5EF4-FFF2-40B4-BE49-F238E27FC236}">
              <a16:creationId xmlns:a16="http://schemas.microsoft.com/office/drawing/2014/main" id="{6A289C60-05D0-4355-B821-7FA47FB7F10F}"/>
            </a:ext>
          </a:extLst>
        </xdr:cNvPr>
        <xdr:cNvSpPr txBox="1"/>
      </xdr:nvSpPr>
      <xdr:spPr>
        <a:xfrm>
          <a:off x="16168687" y="130968"/>
          <a:ext cx="3533775" cy="81994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主幹保育教諭等を専任化するための代替保育教諭等として配置する非常勤講師等は入力しないでください。</a:t>
          </a:r>
          <a:endParaRPr kumimoji="1" lang="en-US" altLang="ja-JP" sz="1200" b="1">
            <a:solidFill>
              <a:srgbClr val="FF0000"/>
            </a:solidFill>
          </a:endParaRPr>
        </a:p>
      </xdr:txBody>
    </xdr:sp>
    <xdr:clientData/>
  </xdr:twoCellAnchor>
  <xdr:twoCellAnchor>
    <xdr:from>
      <xdr:col>38</xdr:col>
      <xdr:colOff>0</xdr:colOff>
      <xdr:row>12</xdr:row>
      <xdr:rowOff>0</xdr:rowOff>
    </xdr:from>
    <xdr:to>
      <xdr:col>53</xdr:col>
      <xdr:colOff>287073</xdr:colOff>
      <xdr:row>14</xdr:row>
      <xdr:rowOff>204789</xdr:rowOff>
    </xdr:to>
    <xdr:sp macro="" textlink="">
      <xdr:nvSpPr>
        <xdr:cNvPr id="5" name="正方形/長方形 4">
          <a:extLst>
            <a:ext uri="{FF2B5EF4-FFF2-40B4-BE49-F238E27FC236}">
              <a16:creationId xmlns:a16="http://schemas.microsoft.com/office/drawing/2014/main" id="{A9B5F557-BEFB-4413-933D-72F992F4F899}"/>
            </a:ext>
          </a:extLst>
        </xdr:cNvPr>
        <xdr:cNvSpPr/>
      </xdr:nvSpPr>
      <xdr:spPr bwMode="auto">
        <a:xfrm>
          <a:off x="17478375" y="4452938"/>
          <a:ext cx="9943042" cy="847726"/>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2000">
              <a:solidFill>
                <a:srgbClr val="FF0000"/>
              </a:solidFill>
              <a:latin typeface="BIZ UDゴシック" panose="020B0400000000000000" pitchFamily="49" charset="-128"/>
              <a:ea typeface="BIZ UDゴシック" panose="020B0400000000000000" pitchFamily="49" charset="-128"/>
            </a:rPr>
            <a:t>一時預かり事業に専従する職員がいる場合は、配置状況確認書に記載しないでください。</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304800</xdr:colOff>
      <xdr:row>11</xdr:row>
      <xdr:rowOff>215900</xdr:rowOff>
    </xdr:from>
    <xdr:to>
      <xdr:col>50</xdr:col>
      <xdr:colOff>571500</xdr:colOff>
      <xdr:row>15</xdr:row>
      <xdr:rowOff>317501</xdr:rowOff>
    </xdr:to>
    <xdr:sp macro="" textlink="">
      <xdr:nvSpPr>
        <xdr:cNvPr id="2" name="線吹き出し 2 (枠付き) 1">
          <a:extLst>
            <a:ext uri="{FF2B5EF4-FFF2-40B4-BE49-F238E27FC236}">
              <a16:creationId xmlns:a16="http://schemas.microsoft.com/office/drawing/2014/main" id="{78C96DE4-0848-49FB-9AE8-1E8A7425EEC2}"/>
            </a:ext>
          </a:extLst>
        </xdr:cNvPr>
        <xdr:cNvSpPr/>
      </xdr:nvSpPr>
      <xdr:spPr bwMode="auto">
        <a:xfrm>
          <a:off x="20535900" y="3365500"/>
          <a:ext cx="3619500" cy="1422401"/>
        </a:xfrm>
        <a:prstGeom prst="borderCallout2">
          <a:avLst>
            <a:gd name="adj1" fmla="val 18750"/>
            <a:gd name="adj2" fmla="val -8333"/>
            <a:gd name="adj3" fmla="val 18750"/>
            <a:gd name="adj4" fmla="val -16667"/>
            <a:gd name="adj5" fmla="val -37037"/>
            <a:gd name="adj6" fmla="val -85108"/>
          </a:avLst>
        </a:prstGeom>
        <a:solidFill>
          <a:schemeClr val="bg1"/>
        </a:solidFill>
        <a:ln w="9525" cap="flat" cmpd="sng" algn="ctr">
          <a:solidFill>
            <a:srgbClr val="400000"/>
          </a:solidFill>
          <a:prstDash val="solid"/>
          <a:round/>
          <a:headEnd type="none" w="med" len="med"/>
          <a:tailEnd type="none" w="med" len="med"/>
        </a:ln>
        <a:effectLst>
          <a:outerShdw blurRad="50800" dist="38100" dir="5400000" algn="ctr" rotWithShape="0">
            <a:srgbClr val="000000">
              <a:alpha val="86000"/>
            </a:srgbClr>
          </a:outerShdw>
        </a:effectLst>
      </xdr:spPr>
      <xdr:txBody>
        <a:bodyPr vertOverflow="clip" wrap="square" lIns="18288" tIns="0" rIns="0" bIns="0" rtlCol="0" anchor="t" upright="1"/>
        <a:lstStyle/>
        <a:p>
          <a:pPr algn="l">
            <a:lnSpc>
              <a:spcPts val="1400"/>
            </a:lnSpc>
          </a:pPr>
          <a:r>
            <a:rPr kumimoji="1" lang="ja-JP" altLang="en-US" sz="1200">
              <a:latin typeface="+mj-ea"/>
              <a:ea typeface="+mj-ea"/>
            </a:rPr>
            <a:t>雇用契約等における</a:t>
          </a:r>
          <a:r>
            <a:rPr kumimoji="1" lang="en-US" altLang="ja-JP" sz="1200">
              <a:latin typeface="+mj-ea"/>
              <a:ea typeface="+mj-ea"/>
            </a:rPr>
            <a:t>1</a:t>
          </a:r>
          <a:r>
            <a:rPr kumimoji="1" lang="ja-JP" altLang="en-US" sz="1200">
              <a:latin typeface="+mj-ea"/>
              <a:ea typeface="+mj-ea"/>
            </a:rPr>
            <a:t>箇月あたりの労働時間数，又は変形労働時間制の場合は</a:t>
          </a:r>
          <a:r>
            <a:rPr kumimoji="1" lang="en-US" altLang="ja-JP" sz="1200">
              <a:latin typeface="+mj-ea"/>
              <a:ea typeface="+mj-ea"/>
            </a:rPr>
            <a:t>1</a:t>
          </a:r>
          <a:r>
            <a:rPr kumimoji="1" lang="ja-JP" altLang="en-US" sz="1200">
              <a:latin typeface="+mj-ea"/>
              <a:ea typeface="+mj-ea"/>
            </a:rPr>
            <a:t>箇月あたりの平均労働時間数を入力してください。</a:t>
          </a:r>
        </a:p>
        <a:p>
          <a:pPr algn="l">
            <a:lnSpc>
              <a:spcPts val="1400"/>
            </a:lnSpc>
          </a:pPr>
          <a:r>
            <a:rPr kumimoji="1" lang="ja-JP" altLang="en-US" sz="1200">
              <a:latin typeface="+mj-ea"/>
              <a:ea typeface="+mj-ea"/>
            </a:rPr>
            <a:t>契約の変更がない限り，全月（</a:t>
          </a:r>
          <a:r>
            <a:rPr kumimoji="1" lang="en-US" altLang="ja-JP" sz="1200">
              <a:latin typeface="+mj-ea"/>
              <a:ea typeface="+mj-ea"/>
            </a:rPr>
            <a:t>4</a:t>
          </a:r>
          <a:r>
            <a:rPr kumimoji="1" lang="ja-JP" altLang="en-US" sz="1200">
              <a:latin typeface="+mj-ea"/>
              <a:ea typeface="+mj-ea"/>
            </a:rPr>
            <a:t>月～</a:t>
          </a:r>
          <a:r>
            <a:rPr kumimoji="1" lang="en-US" altLang="ja-JP" sz="1200">
              <a:latin typeface="+mj-ea"/>
              <a:ea typeface="+mj-ea"/>
            </a:rPr>
            <a:t>3</a:t>
          </a:r>
          <a:r>
            <a:rPr kumimoji="1" lang="ja-JP" altLang="en-US" sz="1200">
              <a:latin typeface="+mj-ea"/>
              <a:ea typeface="+mj-ea"/>
            </a:rPr>
            <a:t>月）同じ時間数になります。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749DA-7BF3-4D02-A5BC-6630C8784C17}">
  <sheetPr codeName="Sheet2">
    <pageSetUpPr fitToPage="1"/>
  </sheetPr>
  <dimension ref="A1:AS13"/>
  <sheetViews>
    <sheetView view="pageBreakPreview" zoomScale="90" zoomScaleNormal="100" zoomScaleSheetLayoutView="90" workbookViewId="0"/>
  </sheetViews>
  <sheetFormatPr defaultRowHeight="13.5"/>
  <cols>
    <col min="1" max="1" width="5.5" customWidth="1"/>
    <col min="2" max="2" width="5.5" bestFit="1" customWidth="1"/>
    <col min="3" max="3" width="3.5" bestFit="1" customWidth="1"/>
    <col min="4" max="4" width="3.5" customWidth="1"/>
    <col min="5" max="5" width="4.5" bestFit="1" customWidth="1"/>
    <col min="6" max="14" width="4.5" customWidth="1"/>
    <col min="15" max="20" width="4.5" bestFit="1" customWidth="1"/>
    <col min="21" max="24" width="4.5" customWidth="1"/>
    <col min="25" max="30" width="4.5" bestFit="1" customWidth="1"/>
    <col min="31" max="35" width="6.25" customWidth="1"/>
    <col min="36" max="37" width="4.625" bestFit="1" customWidth="1"/>
    <col min="38" max="41" width="4.625" customWidth="1"/>
    <col min="42" max="42" width="6.125" bestFit="1" customWidth="1"/>
    <col min="43" max="45" width="3" style="402" bestFit="1" customWidth="1"/>
  </cols>
  <sheetData>
    <row r="1" spans="1:45" s="396" customFormat="1" ht="138" customHeight="1">
      <c r="A1" s="477" t="s">
        <v>419</v>
      </c>
      <c r="B1" s="394" t="s">
        <v>119</v>
      </c>
      <c r="C1" s="394" t="s">
        <v>338</v>
      </c>
      <c r="D1" s="394" t="s">
        <v>339</v>
      </c>
      <c r="E1" s="394" t="s">
        <v>345</v>
      </c>
      <c r="F1" s="394" t="s">
        <v>346</v>
      </c>
      <c r="G1" s="394" t="s">
        <v>347</v>
      </c>
      <c r="H1" s="394" t="s">
        <v>348</v>
      </c>
      <c r="I1" s="394" t="s">
        <v>349</v>
      </c>
      <c r="J1" s="394" t="s">
        <v>350</v>
      </c>
      <c r="K1" s="394" t="s">
        <v>360</v>
      </c>
      <c r="L1" s="394" t="s">
        <v>351</v>
      </c>
      <c r="M1" s="394" t="s">
        <v>352</v>
      </c>
      <c r="N1" s="394" t="s">
        <v>353</v>
      </c>
      <c r="O1" s="394" t="s">
        <v>354</v>
      </c>
      <c r="P1" s="394" t="s">
        <v>355</v>
      </c>
      <c r="Q1" s="394" t="s">
        <v>356</v>
      </c>
      <c r="R1" s="394" t="s">
        <v>357</v>
      </c>
      <c r="S1" s="394" t="s">
        <v>358</v>
      </c>
      <c r="T1" s="394" t="s">
        <v>359</v>
      </c>
      <c r="U1" s="394" t="s">
        <v>361</v>
      </c>
      <c r="V1" s="394" t="s">
        <v>362</v>
      </c>
      <c r="W1" s="394" t="s">
        <v>363</v>
      </c>
      <c r="X1" s="394" t="s">
        <v>364</v>
      </c>
      <c r="Y1" s="394" t="s">
        <v>365</v>
      </c>
      <c r="Z1" s="394" t="s">
        <v>366</v>
      </c>
      <c r="AA1" s="394" t="s">
        <v>367</v>
      </c>
      <c r="AB1" s="394" t="s">
        <v>368</v>
      </c>
      <c r="AC1" s="394" t="s">
        <v>369</v>
      </c>
      <c r="AD1" s="394" t="s">
        <v>370</v>
      </c>
      <c r="AE1" s="394" t="s">
        <v>340</v>
      </c>
      <c r="AF1" s="394" t="s">
        <v>341</v>
      </c>
      <c r="AG1" s="394" t="s">
        <v>388</v>
      </c>
      <c r="AH1" s="453" t="s">
        <v>389</v>
      </c>
      <c r="AI1" s="394" t="s">
        <v>399</v>
      </c>
      <c r="AJ1" s="394" t="s">
        <v>342</v>
      </c>
      <c r="AK1" s="394" t="s">
        <v>343</v>
      </c>
      <c r="AL1" s="394" t="s">
        <v>384</v>
      </c>
      <c r="AM1" s="394" t="s">
        <v>385</v>
      </c>
      <c r="AN1" s="394" t="s">
        <v>344</v>
      </c>
      <c r="AO1" s="394" t="s">
        <v>112</v>
      </c>
      <c r="AP1" s="394" t="s">
        <v>390</v>
      </c>
      <c r="AQ1" s="395"/>
      <c r="AR1" s="395"/>
      <c r="AS1" s="395"/>
    </row>
    <row r="2" spans="1:45">
      <c r="A2" t="str">
        <f>様式１!$A$56</f>
        <v>Ｒ８．４</v>
      </c>
      <c r="B2" s="397">
        <f>様式１!C1</f>
        <v>0</v>
      </c>
      <c r="C2" s="397">
        <v>4</v>
      </c>
      <c r="D2" s="398" t="str">
        <f t="shared" ref="D2:D13" si="0">TEXT(C2,"00")</f>
        <v>04</v>
      </c>
      <c r="E2" s="399">
        <f>様式１!C7</f>
        <v>0</v>
      </c>
      <c r="F2" s="399">
        <f>様式１!C8</f>
        <v>0</v>
      </c>
      <c r="G2" s="399">
        <f>様式１!C9</f>
        <v>0</v>
      </c>
      <c r="H2" s="399">
        <f>様式１!D7</f>
        <v>0</v>
      </c>
      <c r="I2" s="399">
        <f>様式１!D8</f>
        <v>0</v>
      </c>
      <c r="J2" s="399">
        <f>様式１!D9</f>
        <v>0</v>
      </c>
      <c r="K2" s="399">
        <f>様式１!H7</f>
        <v>0</v>
      </c>
      <c r="L2" s="399">
        <f>様式１!I7</f>
        <v>0</v>
      </c>
      <c r="M2" s="399">
        <f>様式１!J7</f>
        <v>0</v>
      </c>
      <c r="N2" s="399">
        <f>様式１!K7</f>
        <v>0</v>
      </c>
      <c r="O2" s="399">
        <f>様式１!I8</f>
        <v>0</v>
      </c>
      <c r="P2" s="399">
        <f>様式１!J8</f>
        <v>0</v>
      </c>
      <c r="Q2" s="399">
        <f>様式１!K8</f>
        <v>0</v>
      </c>
      <c r="R2" s="399">
        <f>様式１!E9</f>
        <v>0</v>
      </c>
      <c r="S2" s="399">
        <f>様式１!F9</f>
        <v>0</v>
      </c>
      <c r="T2" s="399">
        <f>様式１!G9</f>
        <v>0</v>
      </c>
      <c r="U2" s="399">
        <f>様式１!P7</f>
        <v>0</v>
      </c>
      <c r="V2" s="399">
        <f>様式１!Q7</f>
        <v>0</v>
      </c>
      <c r="W2" s="399">
        <f>様式１!R7</f>
        <v>0</v>
      </c>
      <c r="X2" s="399">
        <f>様式１!S7</f>
        <v>0</v>
      </c>
      <c r="Y2" s="399">
        <f>様式１!Q8</f>
        <v>0</v>
      </c>
      <c r="Z2" s="399">
        <f>様式１!R8</f>
        <v>0</v>
      </c>
      <c r="AA2" s="399">
        <f>様式１!S8</f>
        <v>0</v>
      </c>
      <c r="AB2" s="399">
        <f>様式１!M9</f>
        <v>0</v>
      </c>
      <c r="AC2" s="399">
        <f>様式１!N9</f>
        <v>0</v>
      </c>
      <c r="AD2" s="399">
        <f>様式１!O9</f>
        <v>0</v>
      </c>
      <c r="AE2" s="400" t="e">
        <f>様式１!BI7</f>
        <v>#VALUE!</v>
      </c>
      <c r="AF2" s="400" t="e">
        <f>様式１!$AO7</f>
        <v>#VALUE!</v>
      </c>
      <c r="AG2" s="401" t="e">
        <f>様式１!$AO7-参考_歳児別配置基準!$H4+参考_歳児別配置基準!$Y4</f>
        <v>#VALUE!</v>
      </c>
      <c r="AH2" s="454">
        <f>参考_歳児別配置基準!AB4+様式１!Z7+様式１!AB7+様式１!AM7+様式１!AC7+様式１!AC8-様式１!AD7</f>
        <v>3</v>
      </c>
      <c r="AI2" s="401" t="e">
        <f>様式１!$AO7-参考_歳児別配置基準!$H4+参考_歳児別配置基準!$AB4</f>
        <v>#VALUE!</v>
      </c>
      <c r="AJ2" s="399" cm="1">
        <f t="array" ref="AJ2">_xlfn.IFS(様式１!AJ7=0,1,様式１!AJ7=1,2,様式１!AJ7=2,3,様式１!AJ7=3,4,様式１!AJ7=3.5,5,様式１!AJ7=4,6,様式１!AJ7=4.5,7,様式１!AJ7=5,8,様式１!AJ7=5.5,9,様式１!AJ7=6,"A",様式１!AJ7=6.5,"B",様式１!AJ7=7,"C",様式１!AJ7=7.5,"D",様式１!AJ7=8,"E")</f>
        <v>1</v>
      </c>
      <c r="AK2" s="399">
        <f>IF(加算等適用状況!G14="○",1,0)</f>
        <v>0</v>
      </c>
      <c r="AL2" s="399">
        <f>IF(加算等適用状況!H14="○",1,0)</f>
        <v>0</v>
      </c>
      <c r="AM2" s="399">
        <f>IF(加算等適用状況!I14="○",1,0)</f>
        <v>0</v>
      </c>
      <c r="AN2" s="399">
        <f>IF(加算等適用状況!J14="○",1,0)</f>
        <v>0</v>
      </c>
      <c r="AO2" s="399">
        <f>IF(加算等適用状況!K14="○",1,0)</f>
        <v>0</v>
      </c>
      <c r="AP2" s="438">
        <f>'様式３（非専従の常勤＋非常勤）'!$L$5</f>
        <v>0</v>
      </c>
    </row>
    <row r="3" spans="1:45">
      <c r="A3" t="str">
        <f>様式１!$A$56</f>
        <v>Ｒ８．４</v>
      </c>
      <c r="B3" s="399">
        <f>B$2</f>
        <v>0</v>
      </c>
      <c r="C3" s="397">
        <v>5</v>
      </c>
      <c r="D3" s="398" t="str">
        <f t="shared" si="0"/>
        <v>05</v>
      </c>
      <c r="E3" s="399">
        <f>様式１!C10</f>
        <v>0</v>
      </c>
      <c r="F3" s="399">
        <f>様式１!C11</f>
        <v>0</v>
      </c>
      <c r="G3" s="399">
        <f>様式１!C12</f>
        <v>0</v>
      </c>
      <c r="H3" s="399">
        <f>様式１!D10</f>
        <v>0</v>
      </c>
      <c r="I3" s="399">
        <f>様式１!D11</f>
        <v>0</v>
      </c>
      <c r="J3" s="399">
        <f>様式１!D12</f>
        <v>0</v>
      </c>
      <c r="K3" s="399">
        <f>様式１!H10</f>
        <v>0</v>
      </c>
      <c r="L3" s="399">
        <f>様式１!I10</f>
        <v>0</v>
      </c>
      <c r="M3" s="399">
        <f>様式１!J10</f>
        <v>0</v>
      </c>
      <c r="N3" s="399">
        <f>様式１!K10</f>
        <v>0</v>
      </c>
      <c r="O3" s="399">
        <f>様式１!I11</f>
        <v>0</v>
      </c>
      <c r="P3" s="399">
        <f>様式１!J11</f>
        <v>0</v>
      </c>
      <c r="Q3" s="399">
        <f>様式１!K11</f>
        <v>0</v>
      </c>
      <c r="R3" s="399">
        <f>様式１!E12</f>
        <v>0</v>
      </c>
      <c r="S3" s="399">
        <f>様式１!F12</f>
        <v>0</v>
      </c>
      <c r="T3" s="399">
        <f>様式１!G12</f>
        <v>0</v>
      </c>
      <c r="U3" s="399">
        <f>様式１!P10</f>
        <v>0</v>
      </c>
      <c r="V3" s="399">
        <f>様式１!Q10</f>
        <v>0</v>
      </c>
      <c r="W3" s="399">
        <f>様式１!R10</f>
        <v>0</v>
      </c>
      <c r="X3" s="399">
        <f>様式１!S10</f>
        <v>0</v>
      </c>
      <c r="Y3" s="399">
        <f>様式１!Q11</f>
        <v>0</v>
      </c>
      <c r="Z3" s="399">
        <f>様式１!R11</f>
        <v>0</v>
      </c>
      <c r="AA3" s="399">
        <f>様式１!S11</f>
        <v>0</v>
      </c>
      <c r="AB3" s="399">
        <f>様式１!M12</f>
        <v>0</v>
      </c>
      <c r="AC3" s="399">
        <f>様式１!N12</f>
        <v>0</v>
      </c>
      <c r="AD3" s="399">
        <f>様式１!O12</f>
        <v>0</v>
      </c>
      <c r="AE3" s="400" t="e">
        <f>様式１!BI10</f>
        <v>#VALUE!</v>
      </c>
      <c r="AF3" s="400" t="e">
        <f>様式１!$AO10</f>
        <v>#VALUE!</v>
      </c>
      <c r="AG3" s="401" t="e">
        <f>様式１!$AO10-参考_歳児別配置基準!$H14+参考_歳児別配置基準!$Y14</f>
        <v>#VALUE!</v>
      </c>
      <c r="AH3" s="454" t="e">
        <f>参考_歳児別配置基準!AB14+様式１!Z10+様式１!AB10+様式１!AM10+様式１!AC10+様式１!AC11-様式１!AD10</f>
        <v>#VALUE!</v>
      </c>
      <c r="AI3" s="401" t="e">
        <f>様式１!$AO10-参考_歳児別配置基準!$H14+参考_歳児別配置基準!$AB14</f>
        <v>#VALUE!</v>
      </c>
      <c r="AJ3" s="399" cm="1">
        <f t="array" ref="AJ3">_xlfn.IFS(様式１!AJ10=0,1,様式１!AJ10=1,2,様式１!AJ10=2,3,様式１!AJ10=3,4,様式１!AJ10=3.5,5,様式１!AJ10=4,6,様式１!AJ10=4.5,7,様式１!AJ10=5,8,様式１!AJ10=5.5,9,様式１!AJ10=6,"A",様式１!AJ10=6.5,"B",様式１!AJ10=7,"C",様式１!AJ10=7.5,"D",様式１!AJ10=8,"E")</f>
        <v>1</v>
      </c>
      <c r="AK3" s="399">
        <f>IF(加算等適用状況!G15="○",1,0)</f>
        <v>0</v>
      </c>
      <c r="AL3" s="399">
        <f>IF(加算等適用状況!H15="○",1,0)</f>
        <v>0</v>
      </c>
      <c r="AM3" s="399">
        <f>IF(加算等適用状況!I15="○",1,0)</f>
        <v>0</v>
      </c>
      <c r="AN3" s="399">
        <f>IF(加算等適用状況!J15="○",1,0)</f>
        <v>0</v>
      </c>
      <c r="AO3" s="399">
        <f>IF(加算等適用状況!K15="○",1,0)</f>
        <v>0</v>
      </c>
      <c r="AP3" s="438">
        <f>AP$2</f>
        <v>0</v>
      </c>
      <c r="AQ3" s="403"/>
      <c r="AR3" s="403"/>
      <c r="AS3" s="403"/>
    </row>
    <row r="4" spans="1:45">
      <c r="A4" t="str">
        <f>様式１!$A$56</f>
        <v>Ｒ８．４</v>
      </c>
      <c r="B4" s="399">
        <f t="shared" ref="B4:B13" si="1">B$2</f>
        <v>0</v>
      </c>
      <c r="C4" s="397">
        <v>6</v>
      </c>
      <c r="D4" s="398" t="str">
        <f t="shared" si="0"/>
        <v>06</v>
      </c>
      <c r="E4" s="399">
        <f>様式１!C13</f>
        <v>0</v>
      </c>
      <c r="F4" s="399">
        <f>様式１!C14</f>
        <v>0</v>
      </c>
      <c r="G4" s="399">
        <f>様式１!C15</f>
        <v>0</v>
      </c>
      <c r="H4" s="399">
        <f>様式１!D13</f>
        <v>0</v>
      </c>
      <c r="I4" s="399">
        <f>様式１!D14</f>
        <v>0</v>
      </c>
      <c r="J4" s="399">
        <f>様式１!D15</f>
        <v>0</v>
      </c>
      <c r="K4" s="399">
        <f>様式１!H13</f>
        <v>0</v>
      </c>
      <c r="L4" s="399">
        <f>様式１!I13</f>
        <v>0</v>
      </c>
      <c r="M4" s="399">
        <f>様式１!J13</f>
        <v>0</v>
      </c>
      <c r="N4" s="399">
        <f>様式１!K13</f>
        <v>0</v>
      </c>
      <c r="O4" s="399">
        <f>様式１!I14</f>
        <v>0</v>
      </c>
      <c r="P4" s="399">
        <f>様式１!J14</f>
        <v>0</v>
      </c>
      <c r="Q4" s="399">
        <f>様式１!K14</f>
        <v>0</v>
      </c>
      <c r="R4" s="399">
        <f>様式１!E15</f>
        <v>0</v>
      </c>
      <c r="S4" s="399">
        <f>様式１!F15</f>
        <v>0</v>
      </c>
      <c r="T4" s="399">
        <f>様式１!G15</f>
        <v>0</v>
      </c>
      <c r="U4" s="399">
        <f>様式１!P13</f>
        <v>0</v>
      </c>
      <c r="V4" s="399">
        <f>様式１!Q13</f>
        <v>0</v>
      </c>
      <c r="W4" s="399">
        <f>様式１!R13</f>
        <v>0</v>
      </c>
      <c r="X4" s="399">
        <f>様式１!S13</f>
        <v>0</v>
      </c>
      <c r="Y4" s="399">
        <f>様式１!Q14</f>
        <v>0</v>
      </c>
      <c r="Z4" s="399">
        <f>様式１!R14</f>
        <v>0</v>
      </c>
      <c r="AA4" s="399">
        <f>様式１!S14</f>
        <v>0</v>
      </c>
      <c r="AB4" s="399">
        <f>様式１!M15</f>
        <v>0</v>
      </c>
      <c r="AC4" s="399">
        <f>様式１!N15</f>
        <v>0</v>
      </c>
      <c r="AD4" s="399">
        <f>様式１!O15</f>
        <v>0</v>
      </c>
      <c r="AE4" s="400" t="e">
        <f>様式１!BI13</f>
        <v>#VALUE!</v>
      </c>
      <c r="AF4" s="400" t="e">
        <f>様式１!$AO13</f>
        <v>#VALUE!</v>
      </c>
      <c r="AG4" s="401" t="e">
        <f>様式１!$AO13-参考_歳児別配置基準!$H24+参考_歳児別配置基準!$Y24</f>
        <v>#VALUE!</v>
      </c>
      <c r="AH4" s="454" t="e">
        <f>参考_歳児別配置基準!AB24+様式１!Z13+様式１!AB13+様式１!AM13+様式１!AC13+様式１!AC14-様式１!AD13</f>
        <v>#VALUE!</v>
      </c>
      <c r="AI4" s="401" t="e">
        <f>様式１!$AO13-参考_歳児別配置基準!$H24+参考_歳児別配置基準!$AB24</f>
        <v>#VALUE!</v>
      </c>
      <c r="AJ4" s="399" cm="1">
        <f t="array" ref="AJ4">_xlfn.IFS(様式１!AJ13=0,1,様式１!AJ13=1,2,様式１!AJ13=2,3,様式１!AJ13=3,4,様式１!AJ13=3.5,5,様式１!AJ13=4,6,様式１!AJ13=4.5,7,様式１!AJ13=5,8,様式１!AJ13=5.5,9,様式１!AJ13=6,"A",様式１!AJ13=6.5,"B",様式１!AJ13=7,"C",様式１!AJ13=7.5,"D",様式１!AJ13=8,"E")</f>
        <v>1</v>
      </c>
      <c r="AK4" s="399">
        <f>IF(加算等適用状況!G16="○",1,0)</f>
        <v>0</v>
      </c>
      <c r="AL4" s="399">
        <f>IF(加算等適用状況!H16="○",1,0)</f>
        <v>0</v>
      </c>
      <c r="AM4" s="399">
        <f>IF(加算等適用状況!I16="○",1,0)</f>
        <v>0</v>
      </c>
      <c r="AN4" s="399">
        <f>IF(加算等適用状況!J16="○",1,0)</f>
        <v>0</v>
      </c>
      <c r="AO4" s="399">
        <f>IF(加算等適用状況!K16="○",1,0)</f>
        <v>0</v>
      </c>
      <c r="AP4" s="438">
        <f t="shared" ref="AP4:AP13" si="2">AP$2</f>
        <v>0</v>
      </c>
      <c r="AQ4" s="403"/>
      <c r="AR4" s="403"/>
      <c r="AS4" s="403"/>
    </row>
    <row r="5" spans="1:45">
      <c r="A5" t="str">
        <f>様式１!$A$56</f>
        <v>Ｒ８．４</v>
      </c>
      <c r="B5" s="399">
        <f t="shared" si="1"/>
        <v>0</v>
      </c>
      <c r="C5" s="397">
        <v>7</v>
      </c>
      <c r="D5" s="398" t="str">
        <f t="shared" si="0"/>
        <v>07</v>
      </c>
      <c r="E5" s="399">
        <f>様式１!C16</f>
        <v>0</v>
      </c>
      <c r="F5" s="399">
        <f>様式１!C17</f>
        <v>0</v>
      </c>
      <c r="G5" s="399">
        <f>様式１!C18</f>
        <v>0</v>
      </c>
      <c r="H5" s="399">
        <f>様式１!D16</f>
        <v>0</v>
      </c>
      <c r="I5" s="399">
        <f>様式１!D17</f>
        <v>0</v>
      </c>
      <c r="J5" s="399">
        <f>様式１!D18</f>
        <v>0</v>
      </c>
      <c r="K5" s="399">
        <f>様式１!H16</f>
        <v>0</v>
      </c>
      <c r="L5" s="399">
        <f>様式１!I16</f>
        <v>0</v>
      </c>
      <c r="M5" s="399">
        <f>様式１!J16</f>
        <v>0</v>
      </c>
      <c r="N5" s="399">
        <f>様式１!K16</f>
        <v>0</v>
      </c>
      <c r="O5" s="399">
        <f>様式１!I17</f>
        <v>0</v>
      </c>
      <c r="P5" s="399">
        <f>様式１!J17</f>
        <v>0</v>
      </c>
      <c r="Q5" s="399">
        <f>様式１!K17</f>
        <v>0</v>
      </c>
      <c r="R5" s="399">
        <f>様式１!E18</f>
        <v>0</v>
      </c>
      <c r="S5" s="399">
        <f>様式１!F18</f>
        <v>0</v>
      </c>
      <c r="T5" s="399">
        <f>様式１!G18</f>
        <v>0</v>
      </c>
      <c r="U5" s="399">
        <f>様式１!P16</f>
        <v>0</v>
      </c>
      <c r="V5" s="399">
        <f>様式１!Q16</f>
        <v>0</v>
      </c>
      <c r="W5" s="399">
        <f>様式１!R16</f>
        <v>0</v>
      </c>
      <c r="X5" s="399">
        <f>様式１!S16</f>
        <v>0</v>
      </c>
      <c r="Y5" s="399">
        <f>様式１!Q17</f>
        <v>0</v>
      </c>
      <c r="Z5" s="399">
        <f>様式１!R17</f>
        <v>0</v>
      </c>
      <c r="AA5" s="399">
        <f>様式１!S17</f>
        <v>0</v>
      </c>
      <c r="AB5" s="399">
        <f>様式１!M18</f>
        <v>0</v>
      </c>
      <c r="AC5" s="399">
        <f>様式１!N18</f>
        <v>0</v>
      </c>
      <c r="AD5" s="399">
        <f>様式１!O18</f>
        <v>0</v>
      </c>
      <c r="AE5" s="400" t="e">
        <f>様式１!BI16</f>
        <v>#VALUE!</v>
      </c>
      <c r="AF5" s="400" t="e">
        <f>様式１!$AO16</f>
        <v>#VALUE!</v>
      </c>
      <c r="AG5" s="401" t="e">
        <f>様式１!$AO16-参考_歳児別配置基準!$H34+参考_歳児別配置基準!$Y34</f>
        <v>#VALUE!</v>
      </c>
      <c r="AH5" s="454" t="e">
        <f>参考_歳児別配置基準!AB34+様式１!Z16+様式１!AB16+様式１!AM16+様式１!AC16+様式１!AC17-様式１!AD16</f>
        <v>#VALUE!</v>
      </c>
      <c r="AI5" s="401" t="e">
        <f>様式１!$AO16-参考_歳児別配置基準!$H34+参考_歳児別配置基準!$AB34</f>
        <v>#VALUE!</v>
      </c>
      <c r="AJ5" s="399" cm="1">
        <f t="array" ref="AJ5">_xlfn.IFS(様式１!AJ16=0,1,様式１!AJ16=1,2,様式１!AJ16=2,3,様式１!AJ16=3,4,様式１!AJ16=3.5,5,様式１!AJ16=4,6,様式１!AJ16=4.5,7,様式１!AJ16=5,8,様式１!AJ16=5.5,9,様式１!AJ16=6,"A",様式１!AJ16=6.5,"B",様式１!AJ16=7,"C",様式１!AJ16=7.5,"D",様式１!AJ16=8,"E")</f>
        <v>1</v>
      </c>
      <c r="AK5" s="399">
        <f>IF(加算等適用状況!G17="○",1,0)</f>
        <v>0</v>
      </c>
      <c r="AL5" s="399">
        <f>IF(加算等適用状況!H17="○",1,0)</f>
        <v>0</v>
      </c>
      <c r="AM5" s="399">
        <f>IF(加算等適用状況!I17="○",1,0)</f>
        <v>0</v>
      </c>
      <c r="AN5" s="399">
        <f>IF(加算等適用状況!J17="○",1,0)</f>
        <v>0</v>
      </c>
      <c r="AO5" s="399">
        <f>IF(加算等適用状況!K17="○",1,0)</f>
        <v>0</v>
      </c>
      <c r="AP5" s="438">
        <f t="shared" si="2"/>
        <v>0</v>
      </c>
      <c r="AQ5" s="403"/>
      <c r="AR5" s="403"/>
      <c r="AS5" s="403"/>
    </row>
    <row r="6" spans="1:45">
      <c r="A6" t="str">
        <f>様式１!$A$56</f>
        <v>Ｒ８．４</v>
      </c>
      <c r="B6" s="399">
        <f t="shared" si="1"/>
        <v>0</v>
      </c>
      <c r="C6" s="397">
        <v>8</v>
      </c>
      <c r="D6" s="398" t="str">
        <f t="shared" si="0"/>
        <v>08</v>
      </c>
      <c r="E6" s="399">
        <f>様式１!C19</f>
        <v>0</v>
      </c>
      <c r="F6" s="399">
        <f>様式１!C20</f>
        <v>0</v>
      </c>
      <c r="G6" s="399">
        <f>様式１!C21</f>
        <v>0</v>
      </c>
      <c r="H6" s="399">
        <f>様式１!D19</f>
        <v>0</v>
      </c>
      <c r="I6" s="399">
        <f>様式１!D20</f>
        <v>0</v>
      </c>
      <c r="J6" s="399">
        <f>様式１!D21</f>
        <v>0</v>
      </c>
      <c r="K6" s="399">
        <f>様式１!H19</f>
        <v>0</v>
      </c>
      <c r="L6" s="399">
        <f>様式１!I19</f>
        <v>0</v>
      </c>
      <c r="M6" s="399">
        <f>様式１!J19</f>
        <v>0</v>
      </c>
      <c r="N6" s="399">
        <f>様式１!K19</f>
        <v>0</v>
      </c>
      <c r="O6" s="399">
        <f>様式１!I20</f>
        <v>0</v>
      </c>
      <c r="P6" s="399">
        <f>様式１!J20</f>
        <v>0</v>
      </c>
      <c r="Q6" s="399">
        <f>様式１!K20</f>
        <v>0</v>
      </c>
      <c r="R6" s="399">
        <f>様式１!E21</f>
        <v>0</v>
      </c>
      <c r="S6" s="399">
        <f>様式１!F21</f>
        <v>0</v>
      </c>
      <c r="T6" s="399">
        <f>様式１!G21</f>
        <v>0</v>
      </c>
      <c r="U6" s="399">
        <f>様式１!P19</f>
        <v>0</v>
      </c>
      <c r="V6" s="399">
        <f>様式１!Q19</f>
        <v>0</v>
      </c>
      <c r="W6" s="399">
        <f>様式１!R19</f>
        <v>0</v>
      </c>
      <c r="X6" s="399">
        <f>様式１!S19</f>
        <v>0</v>
      </c>
      <c r="Y6" s="399">
        <f>様式１!Q20</f>
        <v>0</v>
      </c>
      <c r="Z6" s="399">
        <f>様式１!R20</f>
        <v>0</v>
      </c>
      <c r="AA6" s="399">
        <f>様式１!S20</f>
        <v>0</v>
      </c>
      <c r="AB6" s="399">
        <f>様式１!M21</f>
        <v>0</v>
      </c>
      <c r="AC6" s="399">
        <f>様式１!N21</f>
        <v>0</v>
      </c>
      <c r="AD6" s="399">
        <f>様式１!O21</f>
        <v>0</v>
      </c>
      <c r="AE6" s="400" t="e">
        <f>様式１!BI19</f>
        <v>#VALUE!</v>
      </c>
      <c r="AF6" s="400" t="e">
        <f>様式１!$AO19</f>
        <v>#VALUE!</v>
      </c>
      <c r="AG6" s="401" t="e">
        <f>様式１!$AO19-参考_歳児別配置基準!$H44+参考_歳児別配置基準!$Y44</f>
        <v>#VALUE!</v>
      </c>
      <c r="AH6" s="454" t="e">
        <f>参考_歳児別配置基準!AB44+様式１!Z19+様式１!AB19+様式１!AM19+様式１!AC19+様式１!AC20-様式１!AD19</f>
        <v>#VALUE!</v>
      </c>
      <c r="AI6" s="401" t="e">
        <f>様式１!$AO19-参考_歳児別配置基準!$H44+参考_歳児別配置基準!$AB44</f>
        <v>#VALUE!</v>
      </c>
      <c r="AJ6" s="399" cm="1">
        <f t="array" ref="AJ6">_xlfn.IFS(様式１!AJ19=0,1,様式１!AJ19=1,2,様式１!AJ19=2,3,様式１!AJ19=3,4,様式１!AJ19=3.5,5,様式１!AJ19=4,6,様式１!AJ19=4.5,7,様式１!AJ19=5,8,様式１!AJ19=5.5,9,様式１!AJ19=6,"A",様式１!AJ19=6.5,"B",様式１!AJ19=7,"C",様式１!AJ19=7.5,"D",様式１!AJ19=8,"E")</f>
        <v>1</v>
      </c>
      <c r="AK6" s="399">
        <f>IF(加算等適用状況!G18="○",1,0)</f>
        <v>0</v>
      </c>
      <c r="AL6" s="399">
        <f>IF(加算等適用状況!H18="○",1,0)</f>
        <v>0</v>
      </c>
      <c r="AM6" s="399">
        <f>IF(加算等適用状況!I18="○",1,0)</f>
        <v>0</v>
      </c>
      <c r="AN6" s="399">
        <f>IF(加算等適用状況!J18="○",1,0)</f>
        <v>0</v>
      </c>
      <c r="AO6" s="399">
        <f>IF(加算等適用状況!K18="○",1,0)</f>
        <v>0</v>
      </c>
      <c r="AP6" s="438">
        <f t="shared" si="2"/>
        <v>0</v>
      </c>
      <c r="AQ6" s="403"/>
      <c r="AR6" s="403"/>
      <c r="AS6" s="403"/>
    </row>
    <row r="7" spans="1:45">
      <c r="A7" t="str">
        <f>様式１!$A$56</f>
        <v>Ｒ８．４</v>
      </c>
      <c r="B7" s="399">
        <f t="shared" si="1"/>
        <v>0</v>
      </c>
      <c r="C7" s="397">
        <v>9</v>
      </c>
      <c r="D7" s="398" t="str">
        <f t="shared" si="0"/>
        <v>09</v>
      </c>
      <c r="E7" s="399">
        <f>様式１!C22</f>
        <v>0</v>
      </c>
      <c r="F7" s="399">
        <f>様式１!C23</f>
        <v>0</v>
      </c>
      <c r="G7" s="399">
        <f>様式１!C24</f>
        <v>0</v>
      </c>
      <c r="H7" s="399">
        <f>様式１!D22</f>
        <v>0</v>
      </c>
      <c r="I7" s="399">
        <f>様式１!D23</f>
        <v>0</v>
      </c>
      <c r="J7" s="399">
        <f>様式１!D24</f>
        <v>0</v>
      </c>
      <c r="K7" s="399">
        <f>様式１!H22</f>
        <v>0</v>
      </c>
      <c r="L7" s="399">
        <f>様式１!I22</f>
        <v>0</v>
      </c>
      <c r="M7" s="399">
        <f>様式１!J22</f>
        <v>0</v>
      </c>
      <c r="N7" s="399">
        <f>様式１!K22</f>
        <v>0</v>
      </c>
      <c r="O7" s="399">
        <f>様式１!I23</f>
        <v>0</v>
      </c>
      <c r="P7" s="399">
        <f>様式１!J23</f>
        <v>0</v>
      </c>
      <c r="Q7" s="399">
        <f>様式１!K23</f>
        <v>0</v>
      </c>
      <c r="R7" s="399">
        <f>様式１!E24</f>
        <v>0</v>
      </c>
      <c r="S7" s="399">
        <f>様式１!F24</f>
        <v>0</v>
      </c>
      <c r="T7" s="399">
        <f>様式１!G24</f>
        <v>0</v>
      </c>
      <c r="U7" s="399">
        <f>様式１!P22</f>
        <v>0</v>
      </c>
      <c r="V7" s="399">
        <f>様式１!Q22</f>
        <v>0</v>
      </c>
      <c r="W7" s="399">
        <f>様式１!R22</f>
        <v>0</v>
      </c>
      <c r="X7" s="399">
        <f>様式１!S22</f>
        <v>0</v>
      </c>
      <c r="Y7" s="399">
        <f>様式１!Q23</f>
        <v>0</v>
      </c>
      <c r="Z7" s="399">
        <f>様式１!R23</f>
        <v>0</v>
      </c>
      <c r="AA7" s="399">
        <f>様式１!S23</f>
        <v>0</v>
      </c>
      <c r="AB7" s="399">
        <f>様式１!M24</f>
        <v>0</v>
      </c>
      <c r="AC7" s="399">
        <f>様式１!N24</f>
        <v>0</v>
      </c>
      <c r="AD7" s="399">
        <f>様式１!O24</f>
        <v>0</v>
      </c>
      <c r="AE7" s="400" t="e">
        <f>様式１!BI22</f>
        <v>#VALUE!</v>
      </c>
      <c r="AF7" s="400" t="e">
        <f>様式１!$AO22</f>
        <v>#VALUE!</v>
      </c>
      <c r="AG7" s="401" t="e">
        <f>様式１!$AO22-参考_歳児別配置基準!$H54+参考_歳児別配置基準!$Y54</f>
        <v>#VALUE!</v>
      </c>
      <c r="AH7" s="454" t="e">
        <f>参考_歳児別配置基準!AB54+様式１!Z22+様式１!AB22+様式１!AM22+様式１!AC22+様式１!AC23-様式１!AD22</f>
        <v>#VALUE!</v>
      </c>
      <c r="AI7" s="401" t="e">
        <f>様式１!$AO22-参考_歳児別配置基準!$H54+参考_歳児別配置基準!$AB54</f>
        <v>#VALUE!</v>
      </c>
      <c r="AJ7" s="399" cm="1">
        <f t="array" ref="AJ7">_xlfn.IFS(様式１!AJ22=0,1,様式１!AJ22=1,2,様式１!AJ22=2,3,様式１!AJ22=3,4,様式１!AJ22=3.5,5,様式１!AJ22=4,6,様式１!AJ22=4.5,7,様式１!AJ22=5,8,様式１!AJ22=5.5,9,様式１!AJ22=6,"A",様式１!AJ22=6.5,"B",様式１!AJ22=7,"C",様式１!AJ22=7.5,"D",様式１!AJ22=8,"E")</f>
        <v>1</v>
      </c>
      <c r="AK7" s="399">
        <f>IF(加算等適用状況!G19="○",1,0)</f>
        <v>0</v>
      </c>
      <c r="AL7" s="399">
        <f>IF(加算等適用状況!H19="○",1,0)</f>
        <v>0</v>
      </c>
      <c r="AM7" s="399">
        <f>IF(加算等適用状況!I19="○",1,0)</f>
        <v>0</v>
      </c>
      <c r="AN7" s="399">
        <f>IF(加算等適用状況!J19="○",1,0)</f>
        <v>0</v>
      </c>
      <c r="AO7" s="399">
        <f>IF(加算等適用状況!K19="○",1,0)</f>
        <v>0</v>
      </c>
      <c r="AP7" s="438">
        <f t="shared" si="2"/>
        <v>0</v>
      </c>
      <c r="AQ7" s="403"/>
      <c r="AR7" s="403"/>
      <c r="AS7" s="403"/>
    </row>
    <row r="8" spans="1:45">
      <c r="A8" t="str">
        <f>様式１!$A$56</f>
        <v>Ｒ８．４</v>
      </c>
      <c r="B8" s="399">
        <f t="shared" si="1"/>
        <v>0</v>
      </c>
      <c r="C8" s="397">
        <v>10</v>
      </c>
      <c r="D8" s="398" t="str">
        <f t="shared" si="0"/>
        <v>10</v>
      </c>
      <c r="E8" s="399">
        <f>様式１!C25</f>
        <v>0</v>
      </c>
      <c r="F8" s="399">
        <f>様式１!C26</f>
        <v>0</v>
      </c>
      <c r="G8" s="399">
        <f>様式１!C27</f>
        <v>0</v>
      </c>
      <c r="H8" s="399">
        <f>様式１!D25</f>
        <v>0</v>
      </c>
      <c r="I8" s="399">
        <f>様式１!D26</f>
        <v>0</v>
      </c>
      <c r="J8" s="399">
        <f>様式１!D27</f>
        <v>0</v>
      </c>
      <c r="K8" s="399">
        <f>様式１!H25</f>
        <v>0</v>
      </c>
      <c r="L8" s="399">
        <f>様式１!I25</f>
        <v>0</v>
      </c>
      <c r="M8" s="399">
        <f>様式１!J25</f>
        <v>0</v>
      </c>
      <c r="N8" s="399">
        <f>様式１!K25</f>
        <v>0</v>
      </c>
      <c r="O8" s="399">
        <f>様式１!I26</f>
        <v>0</v>
      </c>
      <c r="P8" s="399">
        <f>様式１!J26</f>
        <v>0</v>
      </c>
      <c r="Q8" s="399">
        <f>様式１!K26</f>
        <v>0</v>
      </c>
      <c r="R8" s="399">
        <f>様式１!E27</f>
        <v>0</v>
      </c>
      <c r="S8" s="399">
        <f>様式１!F27</f>
        <v>0</v>
      </c>
      <c r="T8" s="399">
        <f>様式１!G27</f>
        <v>0</v>
      </c>
      <c r="U8" s="399">
        <f>様式１!P25</f>
        <v>0</v>
      </c>
      <c r="V8" s="399">
        <f>様式１!Q25</f>
        <v>0</v>
      </c>
      <c r="W8" s="399">
        <f>様式１!R25</f>
        <v>0</v>
      </c>
      <c r="X8" s="399">
        <f>様式１!S25</f>
        <v>0</v>
      </c>
      <c r="Y8" s="399">
        <f>様式１!Q26</f>
        <v>0</v>
      </c>
      <c r="Z8" s="399">
        <f>様式１!R26</f>
        <v>0</v>
      </c>
      <c r="AA8" s="399">
        <f>様式１!S26</f>
        <v>0</v>
      </c>
      <c r="AB8" s="399">
        <f>様式１!M27</f>
        <v>0</v>
      </c>
      <c r="AC8" s="399">
        <f>様式１!N27</f>
        <v>0</v>
      </c>
      <c r="AD8" s="399">
        <f>様式１!O27</f>
        <v>0</v>
      </c>
      <c r="AE8" s="400" t="e">
        <f>様式１!BI25</f>
        <v>#VALUE!</v>
      </c>
      <c r="AF8" s="400" t="e">
        <f>様式１!$AO25</f>
        <v>#VALUE!</v>
      </c>
      <c r="AG8" s="401" t="e">
        <f>様式１!$AO25-参考_歳児別配置基準!$H64+参考_歳児別配置基準!$Y64</f>
        <v>#VALUE!</v>
      </c>
      <c r="AH8" s="454" t="e">
        <f>参考_歳児別配置基準!AB64+様式１!Z25+様式１!AB25+様式１!AM25+様式１!AC25+様式１!AC26-様式１!AD25</f>
        <v>#VALUE!</v>
      </c>
      <c r="AI8" s="401" t="e">
        <f>様式１!$AO25-参考_歳児別配置基準!$H64+参考_歳児別配置基準!$AB64</f>
        <v>#VALUE!</v>
      </c>
      <c r="AJ8" s="399" cm="1">
        <f t="array" ref="AJ8">_xlfn.IFS(様式１!AJ25=0,1,様式１!AJ25=1,2,様式１!AJ25=2,3,様式１!AJ25=3,4,様式１!AJ25=3.5,5,様式１!AJ25=4,6,様式１!AJ25=4.5,7,様式１!AJ25=5,8,様式１!AJ25=5.5,9,様式１!AJ25=6,"A",様式１!AJ25=6.5,"B",様式１!AJ25=7,"C",様式１!AJ25=7.5,"D",様式１!AJ25=8,"E")</f>
        <v>1</v>
      </c>
      <c r="AK8" s="399">
        <f>IF(加算等適用状況!G20="○",1,0)</f>
        <v>0</v>
      </c>
      <c r="AL8" s="399">
        <f>IF(加算等適用状況!H20="○",1,0)</f>
        <v>0</v>
      </c>
      <c r="AM8" s="399">
        <f>IF(加算等適用状況!I20="○",1,0)</f>
        <v>0</v>
      </c>
      <c r="AN8" s="399">
        <f>IF(加算等適用状況!J20="○",1,0)</f>
        <v>0</v>
      </c>
      <c r="AO8" s="399">
        <f>IF(加算等適用状況!K20="○",1,0)</f>
        <v>0</v>
      </c>
      <c r="AP8" s="438">
        <f t="shared" si="2"/>
        <v>0</v>
      </c>
      <c r="AQ8" s="403"/>
      <c r="AR8" s="403"/>
      <c r="AS8" s="403"/>
    </row>
    <row r="9" spans="1:45">
      <c r="A9" t="str">
        <f>様式１!$A$56</f>
        <v>Ｒ８．４</v>
      </c>
      <c r="B9" s="399">
        <f t="shared" si="1"/>
        <v>0</v>
      </c>
      <c r="C9" s="397">
        <v>11</v>
      </c>
      <c r="D9" s="398" t="str">
        <f t="shared" si="0"/>
        <v>11</v>
      </c>
      <c r="E9" s="399">
        <f>様式１!C28</f>
        <v>0</v>
      </c>
      <c r="F9" s="399">
        <f>様式１!C29</f>
        <v>0</v>
      </c>
      <c r="G9" s="399">
        <f>様式１!C30</f>
        <v>0</v>
      </c>
      <c r="H9" s="399">
        <f>様式１!D28</f>
        <v>0</v>
      </c>
      <c r="I9" s="399">
        <f>様式１!D29</f>
        <v>0</v>
      </c>
      <c r="J9" s="399">
        <f>様式１!D30</f>
        <v>0</v>
      </c>
      <c r="K9" s="399">
        <f>様式１!H28</f>
        <v>0</v>
      </c>
      <c r="L9" s="399">
        <f>様式１!I28</f>
        <v>0</v>
      </c>
      <c r="M9" s="399">
        <f>様式１!J28</f>
        <v>0</v>
      </c>
      <c r="N9" s="399">
        <f>様式１!K28</f>
        <v>0</v>
      </c>
      <c r="O9" s="399">
        <f>様式１!I29</f>
        <v>0</v>
      </c>
      <c r="P9" s="399">
        <f>様式１!J29</f>
        <v>0</v>
      </c>
      <c r="Q9" s="399">
        <f>様式１!K29</f>
        <v>0</v>
      </c>
      <c r="R9" s="399">
        <f>様式１!E30</f>
        <v>0</v>
      </c>
      <c r="S9" s="399">
        <f>様式１!F30</f>
        <v>0</v>
      </c>
      <c r="T9" s="399">
        <f>様式１!G30</f>
        <v>0</v>
      </c>
      <c r="U9" s="399">
        <f>様式１!P28</f>
        <v>0</v>
      </c>
      <c r="V9" s="399">
        <f>様式１!Q28</f>
        <v>0</v>
      </c>
      <c r="W9" s="399">
        <f>様式１!R28</f>
        <v>0</v>
      </c>
      <c r="X9" s="399">
        <f>様式１!S28</f>
        <v>0</v>
      </c>
      <c r="Y9" s="399">
        <f>様式１!Q29</f>
        <v>0</v>
      </c>
      <c r="Z9" s="399">
        <f>様式１!R29</f>
        <v>0</v>
      </c>
      <c r="AA9" s="399">
        <f>様式１!S29</f>
        <v>0</v>
      </c>
      <c r="AB9" s="399">
        <f>様式１!M30</f>
        <v>0</v>
      </c>
      <c r="AC9" s="399">
        <f>様式１!N30</f>
        <v>0</v>
      </c>
      <c r="AD9" s="399">
        <f>様式１!O30</f>
        <v>0</v>
      </c>
      <c r="AE9" s="400" t="e">
        <f>様式１!BI28</f>
        <v>#VALUE!</v>
      </c>
      <c r="AF9" s="400" t="e">
        <f>様式１!$AO28</f>
        <v>#VALUE!</v>
      </c>
      <c r="AG9" s="401" t="e">
        <f>様式１!$AO28-参考_歳児別配置基準!$H74+参考_歳児別配置基準!$Y74</f>
        <v>#VALUE!</v>
      </c>
      <c r="AH9" s="454" t="e">
        <f>参考_歳児別配置基準!AB74+様式１!Z28+様式１!AB28+様式１!AM28+様式１!AC28+様式１!AC29-様式１!AD28</f>
        <v>#VALUE!</v>
      </c>
      <c r="AI9" s="401" t="e">
        <f>様式１!$AO28-参考_歳児別配置基準!$H74+参考_歳児別配置基準!$AB74</f>
        <v>#VALUE!</v>
      </c>
      <c r="AJ9" s="399" cm="1">
        <f t="array" ref="AJ9">_xlfn.IFS(様式１!AJ28=0,1,様式１!AJ28=1,2,様式１!AJ28=2,3,様式１!AJ28=3,4,様式１!AJ28=3.5,5,様式１!AJ28=4,6,様式１!AJ28=4.5,7,様式１!AJ28=5,8,様式１!AJ28=5.5,9,様式１!AJ28=6,"A",様式１!AJ28=6.5,"B",様式１!AJ28=7,"C",様式１!AJ28=7.5,"D",様式１!AJ28=8,"E")</f>
        <v>1</v>
      </c>
      <c r="AK9" s="399">
        <f>IF(加算等適用状況!G21="○",1,0)</f>
        <v>0</v>
      </c>
      <c r="AL9" s="399">
        <f>IF(加算等適用状況!H21="○",1,0)</f>
        <v>0</v>
      </c>
      <c r="AM9" s="399">
        <f>IF(加算等適用状況!I21="○",1,0)</f>
        <v>0</v>
      </c>
      <c r="AN9" s="399">
        <f>IF(加算等適用状況!J21="○",1,0)</f>
        <v>0</v>
      </c>
      <c r="AO9" s="399">
        <f>IF(加算等適用状況!K21="○",1,0)</f>
        <v>0</v>
      </c>
      <c r="AP9" s="438">
        <f t="shared" si="2"/>
        <v>0</v>
      </c>
      <c r="AQ9" s="403"/>
      <c r="AR9" s="403"/>
      <c r="AS9" s="403"/>
    </row>
    <row r="10" spans="1:45">
      <c r="A10" t="str">
        <f>様式１!$A$56</f>
        <v>Ｒ８．４</v>
      </c>
      <c r="B10" s="399">
        <f t="shared" si="1"/>
        <v>0</v>
      </c>
      <c r="C10" s="397">
        <v>12</v>
      </c>
      <c r="D10" s="398" t="str">
        <f t="shared" si="0"/>
        <v>12</v>
      </c>
      <c r="E10" s="399">
        <f>様式１!C31</f>
        <v>0</v>
      </c>
      <c r="F10" s="399">
        <f>様式１!C32</f>
        <v>0</v>
      </c>
      <c r="G10" s="399">
        <f>様式１!C33</f>
        <v>0</v>
      </c>
      <c r="H10" s="399">
        <f>様式１!D31</f>
        <v>0</v>
      </c>
      <c r="I10" s="399">
        <f>様式１!D32</f>
        <v>0</v>
      </c>
      <c r="J10" s="399">
        <f>様式１!D33</f>
        <v>0</v>
      </c>
      <c r="K10" s="399">
        <f>様式１!H31</f>
        <v>0</v>
      </c>
      <c r="L10" s="399">
        <f>様式１!I31</f>
        <v>0</v>
      </c>
      <c r="M10" s="399">
        <f>様式１!J31</f>
        <v>0</v>
      </c>
      <c r="N10" s="399">
        <f>様式１!K31</f>
        <v>0</v>
      </c>
      <c r="O10" s="399">
        <f>様式１!I32</f>
        <v>0</v>
      </c>
      <c r="P10" s="399">
        <f>様式１!J32</f>
        <v>0</v>
      </c>
      <c r="Q10" s="399">
        <f>様式１!K32</f>
        <v>0</v>
      </c>
      <c r="R10" s="399">
        <f>様式１!E33</f>
        <v>0</v>
      </c>
      <c r="S10" s="399">
        <f>様式１!F33</f>
        <v>0</v>
      </c>
      <c r="T10" s="399">
        <f>様式１!G33</f>
        <v>0</v>
      </c>
      <c r="U10" s="399">
        <f>様式１!P31</f>
        <v>0</v>
      </c>
      <c r="V10" s="399">
        <f>様式１!Q31</f>
        <v>0</v>
      </c>
      <c r="W10" s="399">
        <f>様式１!R31</f>
        <v>0</v>
      </c>
      <c r="X10" s="399">
        <f>様式１!S31</f>
        <v>0</v>
      </c>
      <c r="Y10" s="399">
        <f>様式１!Q32</f>
        <v>0</v>
      </c>
      <c r="Z10" s="399">
        <f>様式１!R32</f>
        <v>0</v>
      </c>
      <c r="AA10" s="399">
        <f>様式１!S32</f>
        <v>0</v>
      </c>
      <c r="AB10" s="399">
        <f>様式１!M33</f>
        <v>0</v>
      </c>
      <c r="AC10" s="399">
        <f>様式１!N33</f>
        <v>0</v>
      </c>
      <c r="AD10" s="399">
        <f>様式１!O33</f>
        <v>0</v>
      </c>
      <c r="AE10" s="400" t="e">
        <f>様式１!BI31</f>
        <v>#VALUE!</v>
      </c>
      <c r="AF10" s="400" t="e">
        <f>様式１!$AO31</f>
        <v>#VALUE!</v>
      </c>
      <c r="AG10" s="401" t="e">
        <f>様式１!$AO31-参考_歳児別配置基準!$H84+参考_歳児別配置基準!$Y84</f>
        <v>#VALUE!</v>
      </c>
      <c r="AH10" s="454" t="e">
        <f>参考_歳児別配置基準!AB84+様式１!Z31+様式１!AB31+様式１!AM31+様式１!AC31+様式１!AC32-様式１!AD31</f>
        <v>#VALUE!</v>
      </c>
      <c r="AI10" s="401" t="e">
        <f>様式１!$AO31-参考_歳児別配置基準!$H84+参考_歳児別配置基準!$AB84</f>
        <v>#VALUE!</v>
      </c>
      <c r="AJ10" s="399" cm="1">
        <f t="array" ref="AJ10">_xlfn.IFS(様式１!AJ31=0,1,様式１!AJ31=1,2,様式１!AJ31=2,3,様式１!AJ31=3,4,様式１!AJ31=3.5,5,様式１!AJ31=4,6,様式１!AJ31=4.5,7,様式１!AJ31=5,8,様式１!AJ31=5.5,9,様式１!AJ31=6,"A",様式１!AJ31=6.5,"B",様式１!AJ31=7,"C",様式１!AJ31=7.5,"D",様式１!AJ31=8,"E")</f>
        <v>1</v>
      </c>
      <c r="AK10" s="399">
        <f>IF(加算等適用状況!G22="○",1,0)</f>
        <v>0</v>
      </c>
      <c r="AL10" s="399">
        <f>IF(加算等適用状況!H22="○",1,0)</f>
        <v>0</v>
      </c>
      <c r="AM10" s="399">
        <f>IF(加算等適用状況!I22="○",1,0)</f>
        <v>0</v>
      </c>
      <c r="AN10" s="399">
        <f>IF(加算等適用状況!J22="○",1,0)</f>
        <v>0</v>
      </c>
      <c r="AO10" s="399">
        <f>IF(加算等適用状況!K22="○",1,0)</f>
        <v>0</v>
      </c>
      <c r="AP10" s="438">
        <f t="shared" si="2"/>
        <v>0</v>
      </c>
      <c r="AQ10" s="403"/>
      <c r="AR10" s="403"/>
      <c r="AS10" s="403"/>
    </row>
    <row r="11" spans="1:45">
      <c r="A11" t="str">
        <f>様式１!$A$56</f>
        <v>Ｒ８．４</v>
      </c>
      <c r="B11" s="399">
        <f t="shared" si="1"/>
        <v>0</v>
      </c>
      <c r="C11" s="397">
        <v>1</v>
      </c>
      <c r="D11" s="398" t="str">
        <f t="shared" si="0"/>
        <v>01</v>
      </c>
      <c r="E11" s="399">
        <f>様式１!C34</f>
        <v>0</v>
      </c>
      <c r="F11" s="399">
        <f>様式１!C35</f>
        <v>0</v>
      </c>
      <c r="G11" s="399">
        <f>様式１!C36</f>
        <v>0</v>
      </c>
      <c r="H11" s="399">
        <f>様式１!D34</f>
        <v>0</v>
      </c>
      <c r="I11" s="399">
        <f>様式１!D35</f>
        <v>0</v>
      </c>
      <c r="J11" s="399">
        <f>様式１!D36</f>
        <v>0</v>
      </c>
      <c r="K11" s="399">
        <f>様式１!H34</f>
        <v>0</v>
      </c>
      <c r="L11" s="399">
        <f>様式１!I34</f>
        <v>0</v>
      </c>
      <c r="M11" s="399">
        <f>様式１!J34</f>
        <v>0</v>
      </c>
      <c r="N11" s="399">
        <f>様式１!K34</f>
        <v>0</v>
      </c>
      <c r="O11" s="399">
        <f>様式１!I35</f>
        <v>0</v>
      </c>
      <c r="P11" s="399">
        <f>様式１!J35</f>
        <v>0</v>
      </c>
      <c r="Q11" s="399">
        <f>様式１!K35</f>
        <v>0</v>
      </c>
      <c r="R11" s="399">
        <f>様式１!E36</f>
        <v>0</v>
      </c>
      <c r="S11" s="399">
        <f>様式１!F36</f>
        <v>0</v>
      </c>
      <c r="T11" s="399">
        <f>様式１!G36</f>
        <v>0</v>
      </c>
      <c r="U11" s="399">
        <f>様式１!P34</f>
        <v>0</v>
      </c>
      <c r="V11" s="399">
        <f>様式１!Q34</f>
        <v>0</v>
      </c>
      <c r="W11" s="399">
        <f>様式１!R34</f>
        <v>0</v>
      </c>
      <c r="X11" s="399">
        <f>様式１!S34</f>
        <v>0</v>
      </c>
      <c r="Y11" s="399">
        <f>様式１!Q35</f>
        <v>0</v>
      </c>
      <c r="Z11" s="399">
        <f>様式１!R35</f>
        <v>0</v>
      </c>
      <c r="AA11" s="399">
        <f>様式１!S35</f>
        <v>0</v>
      </c>
      <c r="AB11" s="399">
        <f>様式１!M36</f>
        <v>0</v>
      </c>
      <c r="AC11" s="399">
        <f>様式１!N36</f>
        <v>0</v>
      </c>
      <c r="AD11" s="399">
        <f>様式１!O36</f>
        <v>0</v>
      </c>
      <c r="AE11" s="400" t="e">
        <f>様式１!BI34</f>
        <v>#VALUE!</v>
      </c>
      <c r="AF11" s="400" t="e">
        <f>様式１!$AO34</f>
        <v>#VALUE!</v>
      </c>
      <c r="AG11" s="401" t="e">
        <f>様式１!$AO34-参考_歳児別配置基準!$H94+参考_歳児別配置基準!$Y94</f>
        <v>#VALUE!</v>
      </c>
      <c r="AH11" s="454" t="e">
        <f>参考_歳児別配置基準!AB94+様式１!Z34+様式１!AB34+様式１!AM34+様式１!AC34+様式１!AC35-様式１!AD34</f>
        <v>#VALUE!</v>
      </c>
      <c r="AI11" s="401" t="e">
        <f>様式１!$AO34-参考_歳児別配置基準!$H94+参考_歳児別配置基準!$AB94</f>
        <v>#VALUE!</v>
      </c>
      <c r="AJ11" s="399" cm="1">
        <f t="array" ref="AJ11">_xlfn.IFS(様式１!AJ34=0,1,様式１!AJ34=1,2,様式１!AJ34=2,3,様式１!AJ34=3,4,様式１!AJ34=3.5,5,様式１!AJ34=4,6,様式１!AJ34=4.5,7,様式１!AJ34=5,8,様式１!AJ34=5.5,9,様式１!AJ34=6,"A",様式１!AJ34=6.5,"B",様式１!AJ34=7,"C",様式１!AJ34=7.5,"D",様式１!AJ34=8,"E")</f>
        <v>1</v>
      </c>
      <c r="AK11" s="399">
        <f>IF(加算等適用状況!G23="○",1,0)</f>
        <v>0</v>
      </c>
      <c r="AL11" s="399">
        <f>IF(加算等適用状況!H23="○",1,0)</f>
        <v>0</v>
      </c>
      <c r="AM11" s="399">
        <f>IF(加算等適用状況!I23="○",1,0)</f>
        <v>0</v>
      </c>
      <c r="AN11" s="399">
        <f>IF(加算等適用状況!J23="○",1,0)</f>
        <v>0</v>
      </c>
      <c r="AO11" s="399">
        <f>IF(加算等適用状況!K23="○",1,0)</f>
        <v>0</v>
      </c>
      <c r="AP11" s="438">
        <f t="shared" si="2"/>
        <v>0</v>
      </c>
      <c r="AQ11" s="403"/>
      <c r="AR11" s="403"/>
      <c r="AS11" s="403"/>
    </row>
    <row r="12" spans="1:45">
      <c r="A12" t="str">
        <f>様式１!$A$56</f>
        <v>Ｒ８．４</v>
      </c>
      <c r="B12" s="399">
        <f t="shared" si="1"/>
        <v>0</v>
      </c>
      <c r="C12" s="397">
        <v>2</v>
      </c>
      <c r="D12" s="398" t="str">
        <f t="shared" si="0"/>
        <v>02</v>
      </c>
      <c r="E12" s="399">
        <f>様式１!C37</f>
        <v>0</v>
      </c>
      <c r="F12" s="399">
        <f>様式１!C38</f>
        <v>0</v>
      </c>
      <c r="G12" s="399">
        <f>様式１!C39</f>
        <v>0</v>
      </c>
      <c r="H12" s="399">
        <f>様式１!D37</f>
        <v>0</v>
      </c>
      <c r="I12" s="399">
        <f>様式１!D38</f>
        <v>0</v>
      </c>
      <c r="J12" s="399">
        <f>様式１!D39</f>
        <v>0</v>
      </c>
      <c r="K12" s="399">
        <f>様式１!H37</f>
        <v>0</v>
      </c>
      <c r="L12" s="399">
        <f>様式１!I37</f>
        <v>0</v>
      </c>
      <c r="M12" s="399">
        <f>様式１!J37</f>
        <v>0</v>
      </c>
      <c r="N12" s="399">
        <f>様式１!K37</f>
        <v>0</v>
      </c>
      <c r="O12" s="399">
        <f>様式１!I38</f>
        <v>0</v>
      </c>
      <c r="P12" s="399">
        <f>様式１!J38</f>
        <v>0</v>
      </c>
      <c r="Q12" s="399">
        <f>様式１!K38</f>
        <v>0</v>
      </c>
      <c r="R12" s="399">
        <f>様式１!E39</f>
        <v>0</v>
      </c>
      <c r="S12" s="399">
        <f>様式１!F39</f>
        <v>0</v>
      </c>
      <c r="T12" s="399">
        <f>様式１!G39</f>
        <v>0</v>
      </c>
      <c r="U12" s="399">
        <f>様式１!P37</f>
        <v>0</v>
      </c>
      <c r="V12" s="399">
        <f>様式１!Q37</f>
        <v>0</v>
      </c>
      <c r="W12" s="399">
        <f>様式１!R37</f>
        <v>0</v>
      </c>
      <c r="X12" s="399">
        <f>様式１!S37</f>
        <v>0</v>
      </c>
      <c r="Y12" s="399">
        <f>様式１!Q38</f>
        <v>0</v>
      </c>
      <c r="Z12" s="399">
        <f>様式１!R38</f>
        <v>0</v>
      </c>
      <c r="AA12" s="399">
        <f>様式１!S38</f>
        <v>0</v>
      </c>
      <c r="AB12" s="399">
        <f>様式１!M39</f>
        <v>0</v>
      </c>
      <c r="AC12" s="399">
        <f>様式１!N39</f>
        <v>0</v>
      </c>
      <c r="AD12" s="399">
        <f>様式１!O39</f>
        <v>0</v>
      </c>
      <c r="AE12" s="400" t="e">
        <f>様式１!BI37</f>
        <v>#VALUE!</v>
      </c>
      <c r="AF12" s="400" t="e">
        <f>様式１!$AO37</f>
        <v>#VALUE!</v>
      </c>
      <c r="AG12" s="401" t="e">
        <f>様式１!$AO37-参考_歳児別配置基準!$H104+参考_歳児別配置基準!$Y104</f>
        <v>#VALUE!</v>
      </c>
      <c r="AH12" s="454" t="e">
        <f>参考_歳児別配置基準!AB104+様式１!Z37+様式１!AB37+様式１!AM37+様式１!AC37+様式１!AC38-様式１!AD37</f>
        <v>#VALUE!</v>
      </c>
      <c r="AI12" s="401" t="e">
        <f>様式１!$AO37-参考_歳児別配置基準!$H104+参考_歳児別配置基準!$AB104</f>
        <v>#VALUE!</v>
      </c>
      <c r="AJ12" s="399" cm="1">
        <f t="array" ref="AJ12">_xlfn.IFS(様式１!AJ37=0,1,様式１!AJ37=1,2,様式１!AJ37=2,3,様式１!AJ37=3,4,様式１!AJ37=3.5,5,様式１!AJ37=4,6,様式１!AJ37=4.5,7,様式１!AJ37=5,8,様式１!AJ37=5.5,9,様式１!AJ37=6,"A",様式１!AJ37=6.5,"B",様式１!AJ37=7,"C",様式１!AJ37=7.5,"D",様式１!AJ37=8,"E")</f>
        <v>1</v>
      </c>
      <c r="AK12" s="399">
        <f>IF(加算等適用状況!G24="○",1,0)</f>
        <v>0</v>
      </c>
      <c r="AL12" s="399">
        <f>IF(加算等適用状況!H24="○",1,0)</f>
        <v>0</v>
      </c>
      <c r="AM12" s="399">
        <f>IF(加算等適用状況!I24="○",1,0)</f>
        <v>0</v>
      </c>
      <c r="AN12" s="399">
        <f>IF(加算等適用状況!J24="○",1,0)</f>
        <v>0</v>
      </c>
      <c r="AO12" s="399">
        <f>IF(加算等適用状況!K24="○",1,0)</f>
        <v>0</v>
      </c>
      <c r="AP12" s="438">
        <f t="shared" si="2"/>
        <v>0</v>
      </c>
      <c r="AQ12" s="403"/>
      <c r="AR12" s="403"/>
      <c r="AS12" s="403"/>
    </row>
    <row r="13" spans="1:45">
      <c r="A13" t="str">
        <f>様式１!$A$56</f>
        <v>Ｒ８．４</v>
      </c>
      <c r="B13" s="399">
        <f t="shared" si="1"/>
        <v>0</v>
      </c>
      <c r="C13" s="397">
        <v>3</v>
      </c>
      <c r="D13" s="398" t="str">
        <f t="shared" si="0"/>
        <v>03</v>
      </c>
      <c r="E13" s="399">
        <f>様式１!C40</f>
        <v>0</v>
      </c>
      <c r="F13" s="399">
        <f>様式１!C41</f>
        <v>0</v>
      </c>
      <c r="G13" s="399">
        <f>様式１!C42</f>
        <v>0</v>
      </c>
      <c r="H13" s="399">
        <f>様式１!D40</f>
        <v>0</v>
      </c>
      <c r="I13" s="399">
        <f>様式１!D41</f>
        <v>0</v>
      </c>
      <c r="J13" s="399">
        <f>様式１!D42</f>
        <v>0</v>
      </c>
      <c r="K13" s="399">
        <f>様式１!H40</f>
        <v>0</v>
      </c>
      <c r="L13" s="399">
        <f>様式１!I40</f>
        <v>0</v>
      </c>
      <c r="M13" s="399">
        <f>様式１!J40</f>
        <v>0</v>
      </c>
      <c r="N13" s="399">
        <f>様式１!K40</f>
        <v>0</v>
      </c>
      <c r="O13" s="399">
        <f>様式１!I41</f>
        <v>0</v>
      </c>
      <c r="P13" s="399">
        <f>様式１!J41</f>
        <v>0</v>
      </c>
      <c r="Q13" s="399">
        <f>様式１!K41</f>
        <v>0</v>
      </c>
      <c r="R13" s="399">
        <f>様式１!E42</f>
        <v>0</v>
      </c>
      <c r="S13" s="399">
        <f>様式１!F42</f>
        <v>0</v>
      </c>
      <c r="T13" s="399">
        <f>様式１!G42</f>
        <v>0</v>
      </c>
      <c r="U13" s="399">
        <f>様式１!P40</f>
        <v>0</v>
      </c>
      <c r="V13" s="399">
        <f>様式１!Q40</f>
        <v>0</v>
      </c>
      <c r="W13" s="399">
        <f>様式１!R40</f>
        <v>0</v>
      </c>
      <c r="X13" s="399">
        <f>様式１!S40</f>
        <v>0</v>
      </c>
      <c r="Y13" s="399">
        <f>様式１!Q41</f>
        <v>0</v>
      </c>
      <c r="Z13" s="399">
        <f>様式１!R41</f>
        <v>0</v>
      </c>
      <c r="AA13" s="399">
        <f>様式１!S41</f>
        <v>0</v>
      </c>
      <c r="AB13" s="399">
        <f>様式１!M42</f>
        <v>0</v>
      </c>
      <c r="AC13" s="399">
        <f>様式１!N42</f>
        <v>0</v>
      </c>
      <c r="AD13" s="399">
        <f>様式１!O42</f>
        <v>0</v>
      </c>
      <c r="AE13" s="400" t="e">
        <f>様式１!BI40</f>
        <v>#VALUE!</v>
      </c>
      <c r="AF13" s="400" t="e">
        <f>様式１!$AO40</f>
        <v>#VALUE!</v>
      </c>
      <c r="AG13" s="401" t="e">
        <f>様式１!$AO40-参考_歳児別配置基準!$H114+参考_歳児別配置基準!$Y114</f>
        <v>#VALUE!</v>
      </c>
      <c r="AH13" s="454" t="e">
        <f>参考_歳児別配置基準!AB114+様式１!Z40+様式１!AB40+様式１!AM40+様式１!AC40+様式１!AC41-様式１!AD40</f>
        <v>#VALUE!</v>
      </c>
      <c r="AI13" s="401" t="e">
        <f>様式１!$AO40-参考_歳児別配置基準!$H114+参考_歳児別配置基準!$AB114</f>
        <v>#VALUE!</v>
      </c>
      <c r="AJ13" s="399" cm="1">
        <f t="array" ref="AJ13">_xlfn.IFS(様式１!AJ40=0,1,様式１!AJ40=1,2,様式１!AJ40=2,3,様式１!AJ40=3,4,様式１!AJ40=3.5,5,様式１!AJ40=4,6,様式１!AJ40=4.5,7,様式１!AJ40=5,8,様式１!AJ40=5.5,9,様式１!AJ40=6,"A",様式１!AJ40=6.5,"B",様式１!AJ40=7,"C",様式１!AJ40=7.5,"D",様式１!AJ40=8,"E")</f>
        <v>1</v>
      </c>
      <c r="AK13" s="399">
        <f>IF(加算等適用状況!G25="○",1,0)</f>
        <v>0</v>
      </c>
      <c r="AL13" s="399">
        <f>IF(加算等適用状況!H25="○",1,0)</f>
        <v>0</v>
      </c>
      <c r="AM13" s="399">
        <f>IF(加算等適用状況!I25="○",1,0)</f>
        <v>0</v>
      </c>
      <c r="AN13" s="399">
        <f>IF(加算等適用状況!J25="○",1,0)</f>
        <v>0</v>
      </c>
      <c r="AO13" s="399">
        <f>IF(加算等適用状況!K25="○",1,0)</f>
        <v>0</v>
      </c>
      <c r="AP13" s="438">
        <f t="shared" si="2"/>
        <v>0</v>
      </c>
      <c r="AQ13" s="403"/>
      <c r="AR13" s="403"/>
      <c r="AS13" s="403"/>
    </row>
  </sheetData>
  <sheetProtection algorithmName="SHA-512" hashValue="6lEJcNVpz8eBIgnW2mkJDAFw0sugjuSI/f1+bzbhpr6JTB68z8C/80ev6aFITQhhc254YJ/qvg7OzRtccIQuNA==" saltValue="qe/oYT/dPTwTdyVYDxRMdA==" spinCount="100000" sheet="1" objects="1" scenarios="1"/>
  <phoneticPr fontId="3"/>
  <pageMargins left="0.7" right="0.7" top="0.75" bottom="0.75" header="0.3" footer="0.3"/>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B6C74-95AC-4928-BCA3-1473F2A6DD23}">
  <sheetPr codeName="Sheet11"/>
  <dimension ref="A1:N96"/>
  <sheetViews>
    <sheetView workbookViewId="0">
      <selection activeCell="G23" sqref="G23"/>
    </sheetView>
  </sheetViews>
  <sheetFormatPr defaultRowHeight="13.5"/>
  <sheetData>
    <row r="1" spans="1:14" s="465" customFormat="1">
      <c r="A1" s="466" t="s">
        <v>410</v>
      </c>
      <c r="B1" s="466" t="s">
        <v>411</v>
      </c>
      <c r="C1" s="466" t="s">
        <v>412</v>
      </c>
      <c r="D1" s="466" t="s">
        <v>413</v>
      </c>
      <c r="E1" s="466" t="s">
        <v>414</v>
      </c>
      <c r="F1" s="466" t="s">
        <v>415</v>
      </c>
      <c r="G1" s="466" t="s">
        <v>260</v>
      </c>
      <c r="H1" s="466" t="s">
        <v>261</v>
      </c>
      <c r="I1" s="466" t="s">
        <v>262</v>
      </c>
      <c r="J1" s="466" t="s">
        <v>263</v>
      </c>
      <c r="K1" s="466" t="s">
        <v>264</v>
      </c>
      <c r="L1" s="466" t="s">
        <v>265</v>
      </c>
      <c r="M1" s="466" t="s">
        <v>266</v>
      </c>
      <c r="N1" s="466" t="s">
        <v>267</v>
      </c>
    </row>
    <row r="2" spans="1:14">
      <c r="A2" s="467" t="str">
        <f>IF('様式２（専従の常勤）'!B8="","",'様式２（専従の常勤）'!B8)</f>
        <v/>
      </c>
      <c r="B2" s="467" t="str">
        <f>IF($A2="","",'様式２（専従の常勤）'!$A$5)</f>
        <v/>
      </c>
      <c r="C2" s="467" t="str">
        <f>IF($A2="","",IF('様式２（専従の常勤）'!G8="","",1))</f>
        <v/>
      </c>
      <c r="D2" s="467" t="str">
        <f>IF($A2="","",IF('様式２（専従の常勤）'!H8="","",1))</f>
        <v/>
      </c>
      <c r="E2" s="467" t="str">
        <f>IF($A2="","",IF('様式２（専従の常勤）'!I8="","",1))</f>
        <v/>
      </c>
      <c r="F2" s="467" t="str">
        <f>IF($A2="","",IF('様式２（専従の常勤）'!J8="","",1))</f>
        <v/>
      </c>
      <c r="G2" s="467" t="str">
        <f>IF($A2="","",IF('様式２（専従の常勤）'!K8="","",1))</f>
        <v/>
      </c>
      <c r="H2" s="467" t="str">
        <f>IF($A2="","",IF('様式２（専従の常勤）'!L8="","",1))</f>
        <v/>
      </c>
      <c r="I2" s="467" t="str">
        <f>IF($A2="","",IF('様式２（専従の常勤）'!M8="","",1))</f>
        <v/>
      </c>
      <c r="J2" s="467" t="str">
        <f>IF($A2="","",IF('様式２（専従の常勤）'!N8="","",1))</f>
        <v/>
      </c>
      <c r="K2" s="467" t="str">
        <f>IF($A2="","",IF('様式２（専従の常勤）'!O8="","",1))</f>
        <v/>
      </c>
      <c r="L2" s="467" t="str">
        <f>IF($A2="","",IF('様式２（専従の常勤）'!P8="","",1))</f>
        <v/>
      </c>
      <c r="M2" s="467" t="str">
        <f>IF($A2="","",IF('様式２（専従の常勤）'!Q8="","",1))</f>
        <v/>
      </c>
      <c r="N2" s="467" t="str">
        <f>IF($A2="","",IF('様式２（専従の常勤）'!R8="","",1))</f>
        <v/>
      </c>
    </row>
    <row r="3" spans="1:14">
      <c r="A3" s="467" t="str">
        <f>IF('様式２（専従の常勤）'!B9="","",'様式２（専従の常勤）'!B9)</f>
        <v/>
      </c>
      <c r="B3" s="467" t="str">
        <f>IF($A3="","",'様式２（専従の常勤）'!$A$5)</f>
        <v/>
      </c>
      <c r="C3" s="467" t="str">
        <f>IF($A3="","",IF('様式２（専従の常勤）'!G9="","",1))</f>
        <v/>
      </c>
      <c r="D3" s="467" t="str">
        <f>IF($A3="","",IF('様式２（専従の常勤）'!H9="","",1))</f>
        <v/>
      </c>
      <c r="E3" s="467" t="str">
        <f>IF($A3="","",IF('様式２（専従の常勤）'!I9="","",1))</f>
        <v/>
      </c>
      <c r="F3" s="467" t="str">
        <f>IF($A3="","",IF('様式２（専従の常勤）'!J9="","",1))</f>
        <v/>
      </c>
      <c r="G3" s="467" t="str">
        <f>IF($A3="","",IF('様式２（専従の常勤）'!K9="","",1))</f>
        <v/>
      </c>
      <c r="H3" s="467" t="str">
        <f>IF($A3="","",IF('様式２（専従の常勤）'!L9="","",1))</f>
        <v/>
      </c>
      <c r="I3" s="467" t="str">
        <f>IF($A3="","",IF('様式２（専従の常勤）'!M9="","",1))</f>
        <v/>
      </c>
      <c r="J3" s="467" t="str">
        <f>IF($A3="","",IF('様式２（専従の常勤）'!N9="","",1))</f>
        <v/>
      </c>
      <c r="K3" s="467" t="str">
        <f>IF($A3="","",IF('様式２（専従の常勤）'!O9="","",1))</f>
        <v/>
      </c>
      <c r="L3" s="467" t="str">
        <f>IF($A3="","",IF('様式２（専従の常勤）'!P9="","",1))</f>
        <v/>
      </c>
      <c r="M3" s="467" t="str">
        <f>IF($A3="","",IF('様式２（専従の常勤）'!Q9="","",1))</f>
        <v/>
      </c>
      <c r="N3" s="467" t="str">
        <f>IF($A3="","",IF('様式２（専従の常勤）'!R9="","",1))</f>
        <v/>
      </c>
    </row>
    <row r="4" spans="1:14">
      <c r="A4" s="467" t="str">
        <f>IF('様式２（専従の常勤）'!B10="","",'様式２（専従の常勤）'!B10)</f>
        <v/>
      </c>
      <c r="B4" s="467" t="str">
        <f>IF($A4="","",'様式２（専従の常勤）'!$A$5)</f>
        <v/>
      </c>
      <c r="C4" s="467" t="str">
        <f>IF($A4="","",IF('様式２（専従の常勤）'!G10="","",1))</f>
        <v/>
      </c>
      <c r="D4" s="467" t="str">
        <f>IF($A4="","",IF('様式２（専従の常勤）'!H10="","",1))</f>
        <v/>
      </c>
      <c r="E4" s="467" t="str">
        <f>IF($A4="","",IF('様式２（専従の常勤）'!I10="","",1))</f>
        <v/>
      </c>
      <c r="F4" s="467" t="str">
        <f>IF($A4="","",IF('様式２（専従の常勤）'!J10="","",1))</f>
        <v/>
      </c>
      <c r="G4" s="467" t="str">
        <f>IF($A4="","",IF('様式２（専従の常勤）'!K10="","",1))</f>
        <v/>
      </c>
      <c r="H4" s="467" t="str">
        <f>IF($A4="","",IF('様式２（専従の常勤）'!L10="","",1))</f>
        <v/>
      </c>
      <c r="I4" s="467" t="str">
        <f>IF($A4="","",IF('様式２（専従の常勤）'!M10="","",1))</f>
        <v/>
      </c>
      <c r="J4" s="467" t="str">
        <f>IF($A4="","",IF('様式２（専従の常勤）'!N10="","",1))</f>
        <v/>
      </c>
      <c r="K4" s="467" t="str">
        <f>IF($A4="","",IF('様式２（専従の常勤）'!O10="","",1))</f>
        <v/>
      </c>
      <c r="L4" s="467" t="str">
        <f>IF($A4="","",IF('様式２（専従の常勤）'!P10="","",1))</f>
        <v/>
      </c>
      <c r="M4" s="467" t="str">
        <f>IF($A4="","",IF('様式２（専従の常勤）'!Q10="","",1))</f>
        <v/>
      </c>
      <c r="N4" s="467" t="str">
        <f>IF($A4="","",IF('様式２（専従の常勤）'!R10="","",1))</f>
        <v/>
      </c>
    </row>
    <row r="5" spans="1:14">
      <c r="A5" s="467" t="str">
        <f>IF('様式２（専従の常勤）'!B11="","",'様式２（専従の常勤）'!B11)</f>
        <v/>
      </c>
      <c r="B5" s="467" t="str">
        <f>IF($A5="","",'様式２（専従の常勤）'!$A$5)</f>
        <v/>
      </c>
      <c r="C5" s="467" t="str">
        <f>IF($A5="","",IF('様式２（専従の常勤）'!G11="","",1))</f>
        <v/>
      </c>
      <c r="D5" s="467" t="str">
        <f>IF($A5="","",IF('様式２（専従の常勤）'!H11="","",1))</f>
        <v/>
      </c>
      <c r="E5" s="467" t="str">
        <f>IF($A5="","",IF('様式２（専従の常勤）'!I11="","",1))</f>
        <v/>
      </c>
      <c r="F5" s="467" t="str">
        <f>IF($A5="","",IF('様式２（専従の常勤）'!J11="","",1))</f>
        <v/>
      </c>
      <c r="G5" s="467" t="str">
        <f>IF($A5="","",IF('様式２（専従の常勤）'!K11="","",1))</f>
        <v/>
      </c>
      <c r="H5" s="467" t="str">
        <f>IF($A5="","",IF('様式２（専従の常勤）'!L11="","",1))</f>
        <v/>
      </c>
      <c r="I5" s="467" t="str">
        <f>IF($A5="","",IF('様式２（専従の常勤）'!M11="","",1))</f>
        <v/>
      </c>
      <c r="J5" s="467" t="str">
        <f>IF($A5="","",IF('様式２（専従の常勤）'!N11="","",1))</f>
        <v/>
      </c>
      <c r="K5" s="467" t="str">
        <f>IF($A5="","",IF('様式２（専従の常勤）'!O11="","",1))</f>
        <v/>
      </c>
      <c r="L5" s="467" t="str">
        <f>IF($A5="","",IF('様式２（専従の常勤）'!P11="","",1))</f>
        <v/>
      </c>
      <c r="M5" s="467" t="str">
        <f>IF($A5="","",IF('様式２（専従の常勤）'!Q11="","",1))</f>
        <v/>
      </c>
      <c r="N5" s="467" t="str">
        <f>IF($A5="","",IF('様式２（専従の常勤）'!R11="","",1))</f>
        <v/>
      </c>
    </row>
    <row r="6" spans="1:14">
      <c r="A6" s="467" t="str">
        <f>IF('様式２（専従の常勤）'!B12="","",'様式２（専従の常勤）'!B12)</f>
        <v/>
      </c>
      <c r="B6" s="467" t="str">
        <f>IF($A6="","",'様式２（専従の常勤）'!$A$5)</f>
        <v/>
      </c>
      <c r="C6" s="467" t="str">
        <f>IF($A6="","",IF('様式２（専従の常勤）'!G12="","",1))</f>
        <v/>
      </c>
      <c r="D6" s="467" t="str">
        <f>IF($A6="","",IF('様式２（専従の常勤）'!H12="","",1))</f>
        <v/>
      </c>
      <c r="E6" s="467" t="str">
        <f>IF($A6="","",IF('様式２（専従の常勤）'!I12="","",1))</f>
        <v/>
      </c>
      <c r="F6" s="467" t="str">
        <f>IF($A6="","",IF('様式２（専従の常勤）'!J12="","",1))</f>
        <v/>
      </c>
      <c r="G6" s="467" t="str">
        <f>IF($A6="","",IF('様式２（専従の常勤）'!K12="","",1))</f>
        <v/>
      </c>
      <c r="H6" s="467" t="str">
        <f>IF($A6="","",IF('様式２（専従の常勤）'!L12="","",1))</f>
        <v/>
      </c>
      <c r="I6" s="467" t="str">
        <f>IF($A6="","",IF('様式２（専従の常勤）'!M12="","",1))</f>
        <v/>
      </c>
      <c r="J6" s="467" t="str">
        <f>IF($A6="","",IF('様式２（専従の常勤）'!N12="","",1))</f>
        <v/>
      </c>
      <c r="K6" s="467" t="str">
        <f>IF($A6="","",IF('様式２（専従の常勤）'!O12="","",1))</f>
        <v/>
      </c>
      <c r="L6" s="467" t="str">
        <f>IF($A6="","",IF('様式２（専従の常勤）'!P12="","",1))</f>
        <v/>
      </c>
      <c r="M6" s="467" t="str">
        <f>IF($A6="","",IF('様式２（専従の常勤）'!Q12="","",1))</f>
        <v/>
      </c>
      <c r="N6" s="467" t="str">
        <f>IF($A6="","",IF('様式２（専従の常勤）'!R12="","",1))</f>
        <v/>
      </c>
    </row>
    <row r="7" spans="1:14">
      <c r="A7" s="467" t="str">
        <f>IF('様式２（専従の常勤）'!B13="","",'様式２（専従の常勤）'!B13)</f>
        <v/>
      </c>
      <c r="B7" s="467" t="str">
        <f>IF($A7="","",'様式２（専従の常勤）'!$A$5)</f>
        <v/>
      </c>
      <c r="C7" s="467" t="str">
        <f>IF($A7="","",IF('様式２（専従の常勤）'!G13="","",1))</f>
        <v/>
      </c>
      <c r="D7" s="467" t="str">
        <f>IF($A7="","",IF('様式２（専従の常勤）'!H13="","",1))</f>
        <v/>
      </c>
      <c r="E7" s="467" t="str">
        <f>IF($A7="","",IF('様式２（専従の常勤）'!I13="","",1))</f>
        <v/>
      </c>
      <c r="F7" s="467" t="str">
        <f>IF($A7="","",IF('様式２（専従の常勤）'!J13="","",1))</f>
        <v/>
      </c>
      <c r="G7" s="467" t="str">
        <f>IF($A7="","",IF('様式２（専従の常勤）'!K13="","",1))</f>
        <v/>
      </c>
      <c r="H7" s="467" t="str">
        <f>IF($A7="","",IF('様式２（専従の常勤）'!L13="","",1))</f>
        <v/>
      </c>
      <c r="I7" s="467" t="str">
        <f>IF($A7="","",IF('様式２（専従の常勤）'!M13="","",1))</f>
        <v/>
      </c>
      <c r="J7" s="467" t="str">
        <f>IF($A7="","",IF('様式２（専従の常勤）'!N13="","",1))</f>
        <v/>
      </c>
      <c r="K7" s="467" t="str">
        <f>IF($A7="","",IF('様式２（専従の常勤）'!O13="","",1))</f>
        <v/>
      </c>
      <c r="L7" s="467" t="str">
        <f>IF($A7="","",IF('様式２（専従の常勤）'!P13="","",1))</f>
        <v/>
      </c>
      <c r="M7" s="467" t="str">
        <f>IF($A7="","",IF('様式２（専従の常勤）'!Q13="","",1))</f>
        <v/>
      </c>
      <c r="N7" s="467" t="str">
        <f>IF($A7="","",IF('様式２（専従の常勤）'!R13="","",1))</f>
        <v/>
      </c>
    </row>
    <row r="8" spans="1:14">
      <c r="A8" s="467" t="str">
        <f>IF('様式２（専従の常勤）'!B14="","",'様式２（専従の常勤）'!B14)</f>
        <v/>
      </c>
      <c r="B8" s="467" t="str">
        <f>IF($A8="","",'様式２（専従の常勤）'!$A$5)</f>
        <v/>
      </c>
      <c r="C8" s="467" t="str">
        <f>IF($A8="","",IF('様式２（専従の常勤）'!G14="","",1))</f>
        <v/>
      </c>
      <c r="D8" s="467" t="str">
        <f>IF($A8="","",IF('様式２（専従の常勤）'!H14="","",1))</f>
        <v/>
      </c>
      <c r="E8" s="467" t="str">
        <f>IF($A8="","",IF('様式２（専従の常勤）'!I14="","",1))</f>
        <v/>
      </c>
      <c r="F8" s="467" t="str">
        <f>IF($A8="","",IF('様式２（専従の常勤）'!J14="","",1))</f>
        <v/>
      </c>
      <c r="G8" s="467" t="str">
        <f>IF($A8="","",IF('様式２（専従の常勤）'!K14="","",1))</f>
        <v/>
      </c>
      <c r="H8" s="467" t="str">
        <f>IF($A8="","",IF('様式２（専従の常勤）'!L14="","",1))</f>
        <v/>
      </c>
      <c r="I8" s="467" t="str">
        <f>IF($A8="","",IF('様式２（専従の常勤）'!M14="","",1))</f>
        <v/>
      </c>
      <c r="J8" s="467" t="str">
        <f>IF($A8="","",IF('様式２（専従の常勤）'!N14="","",1))</f>
        <v/>
      </c>
      <c r="K8" s="467" t="str">
        <f>IF($A8="","",IF('様式２（専従の常勤）'!O14="","",1))</f>
        <v/>
      </c>
      <c r="L8" s="467" t="str">
        <f>IF($A8="","",IF('様式２（専従の常勤）'!P14="","",1))</f>
        <v/>
      </c>
      <c r="M8" s="467" t="str">
        <f>IF($A8="","",IF('様式２（専従の常勤）'!Q14="","",1))</f>
        <v/>
      </c>
      <c r="N8" s="467" t="str">
        <f>IF($A8="","",IF('様式２（専従の常勤）'!R14="","",1))</f>
        <v/>
      </c>
    </row>
    <row r="9" spans="1:14">
      <c r="A9" s="467" t="str">
        <f>IF('様式２（専従の常勤）'!B15="","",'様式２（専従の常勤）'!B15)</f>
        <v/>
      </c>
      <c r="B9" s="467" t="str">
        <f>IF($A9="","",'様式２（専従の常勤）'!$A$5)</f>
        <v/>
      </c>
      <c r="C9" s="467" t="str">
        <f>IF($A9="","",IF('様式２（専従の常勤）'!G15="","",1))</f>
        <v/>
      </c>
      <c r="D9" s="467" t="str">
        <f>IF($A9="","",IF('様式２（専従の常勤）'!H15="","",1))</f>
        <v/>
      </c>
      <c r="E9" s="467" t="str">
        <f>IF($A9="","",IF('様式２（専従の常勤）'!I15="","",1))</f>
        <v/>
      </c>
      <c r="F9" s="467" t="str">
        <f>IF($A9="","",IF('様式２（専従の常勤）'!J15="","",1))</f>
        <v/>
      </c>
      <c r="G9" s="467" t="str">
        <f>IF($A9="","",IF('様式２（専従の常勤）'!K15="","",1))</f>
        <v/>
      </c>
      <c r="H9" s="467" t="str">
        <f>IF($A9="","",IF('様式２（専従の常勤）'!L15="","",1))</f>
        <v/>
      </c>
      <c r="I9" s="467" t="str">
        <f>IF($A9="","",IF('様式２（専従の常勤）'!M15="","",1))</f>
        <v/>
      </c>
      <c r="J9" s="467" t="str">
        <f>IF($A9="","",IF('様式２（専従の常勤）'!N15="","",1))</f>
        <v/>
      </c>
      <c r="K9" s="467" t="str">
        <f>IF($A9="","",IF('様式２（専従の常勤）'!O15="","",1))</f>
        <v/>
      </c>
      <c r="L9" s="467" t="str">
        <f>IF($A9="","",IF('様式２（専従の常勤）'!P15="","",1))</f>
        <v/>
      </c>
      <c r="M9" s="467" t="str">
        <f>IF($A9="","",IF('様式２（専従の常勤）'!Q15="","",1))</f>
        <v/>
      </c>
      <c r="N9" s="467" t="str">
        <f>IF($A9="","",IF('様式２（専従の常勤）'!R15="","",1))</f>
        <v/>
      </c>
    </row>
    <row r="10" spans="1:14">
      <c r="A10" s="467" t="str">
        <f>IF('様式２（専従の常勤）'!B16="","",'様式２（専従の常勤）'!B16)</f>
        <v/>
      </c>
      <c r="B10" s="467" t="str">
        <f>IF($A10="","",'様式２（専従の常勤）'!$A$5)</f>
        <v/>
      </c>
      <c r="C10" s="467" t="str">
        <f>IF($A10="","",IF('様式２（専従の常勤）'!G16="","",1))</f>
        <v/>
      </c>
      <c r="D10" s="467" t="str">
        <f>IF($A10="","",IF('様式２（専従の常勤）'!H16="","",1))</f>
        <v/>
      </c>
      <c r="E10" s="467" t="str">
        <f>IF($A10="","",IF('様式２（専従の常勤）'!I16="","",1))</f>
        <v/>
      </c>
      <c r="F10" s="467" t="str">
        <f>IF($A10="","",IF('様式２（専従の常勤）'!J16="","",1))</f>
        <v/>
      </c>
      <c r="G10" s="467" t="str">
        <f>IF($A10="","",IF('様式２（専従の常勤）'!K16="","",1))</f>
        <v/>
      </c>
      <c r="H10" s="467" t="str">
        <f>IF($A10="","",IF('様式２（専従の常勤）'!L16="","",1))</f>
        <v/>
      </c>
      <c r="I10" s="467" t="str">
        <f>IF($A10="","",IF('様式２（専従の常勤）'!M16="","",1))</f>
        <v/>
      </c>
      <c r="J10" s="467" t="str">
        <f>IF($A10="","",IF('様式２（専従の常勤）'!N16="","",1))</f>
        <v/>
      </c>
      <c r="K10" s="467" t="str">
        <f>IF($A10="","",IF('様式２（専従の常勤）'!O16="","",1))</f>
        <v/>
      </c>
      <c r="L10" s="467" t="str">
        <f>IF($A10="","",IF('様式２（専従の常勤）'!P16="","",1))</f>
        <v/>
      </c>
      <c r="M10" s="467" t="str">
        <f>IF($A10="","",IF('様式２（専従の常勤）'!Q16="","",1))</f>
        <v/>
      </c>
      <c r="N10" s="467" t="str">
        <f>IF($A10="","",IF('様式２（専従の常勤）'!R16="","",1))</f>
        <v/>
      </c>
    </row>
    <row r="11" spans="1:14">
      <c r="A11" s="467" t="str">
        <f>IF('様式２（専従の常勤）'!B17="","",'様式２（専従の常勤）'!B17)</f>
        <v/>
      </c>
      <c r="B11" s="467" t="str">
        <f>IF($A11="","",'様式２（専従の常勤）'!$A$5)</f>
        <v/>
      </c>
      <c r="C11" s="467" t="str">
        <f>IF($A11="","",IF('様式２（専従の常勤）'!G17="","",1))</f>
        <v/>
      </c>
      <c r="D11" s="467" t="str">
        <f>IF($A11="","",IF('様式２（専従の常勤）'!H17="","",1))</f>
        <v/>
      </c>
      <c r="E11" s="467" t="str">
        <f>IF($A11="","",IF('様式２（専従の常勤）'!I17="","",1))</f>
        <v/>
      </c>
      <c r="F11" s="467" t="str">
        <f>IF($A11="","",IF('様式２（専従の常勤）'!J17="","",1))</f>
        <v/>
      </c>
      <c r="G11" s="467" t="str">
        <f>IF($A11="","",IF('様式２（専従の常勤）'!K17="","",1))</f>
        <v/>
      </c>
      <c r="H11" s="467" t="str">
        <f>IF($A11="","",IF('様式２（専従の常勤）'!L17="","",1))</f>
        <v/>
      </c>
      <c r="I11" s="467" t="str">
        <f>IF($A11="","",IF('様式２（専従の常勤）'!M17="","",1))</f>
        <v/>
      </c>
      <c r="J11" s="467" t="str">
        <f>IF($A11="","",IF('様式２（専従の常勤）'!N17="","",1))</f>
        <v/>
      </c>
      <c r="K11" s="467" t="str">
        <f>IF($A11="","",IF('様式２（専従の常勤）'!O17="","",1))</f>
        <v/>
      </c>
      <c r="L11" s="467" t="str">
        <f>IF($A11="","",IF('様式２（専従の常勤）'!P17="","",1))</f>
        <v/>
      </c>
      <c r="M11" s="467" t="str">
        <f>IF($A11="","",IF('様式２（専従の常勤）'!Q17="","",1))</f>
        <v/>
      </c>
      <c r="N11" s="467" t="str">
        <f>IF($A11="","",IF('様式２（専従の常勤）'!R17="","",1))</f>
        <v/>
      </c>
    </row>
    <row r="12" spans="1:14">
      <c r="A12" s="467" t="str">
        <f>IF('様式２（専従の常勤）'!B18="","",'様式２（専従の常勤）'!B18)</f>
        <v/>
      </c>
      <c r="B12" s="467" t="str">
        <f>IF($A12="","",'様式２（専従の常勤）'!$A$5)</f>
        <v/>
      </c>
      <c r="C12" s="467" t="str">
        <f>IF($A12="","",IF('様式２（専従の常勤）'!G18="","",1))</f>
        <v/>
      </c>
      <c r="D12" s="467" t="str">
        <f>IF($A12="","",IF('様式２（専従の常勤）'!H18="","",1))</f>
        <v/>
      </c>
      <c r="E12" s="467" t="str">
        <f>IF($A12="","",IF('様式２（専従の常勤）'!I18="","",1))</f>
        <v/>
      </c>
      <c r="F12" s="467" t="str">
        <f>IF($A12="","",IF('様式２（専従の常勤）'!J18="","",1))</f>
        <v/>
      </c>
      <c r="G12" s="467" t="str">
        <f>IF($A12="","",IF('様式２（専従の常勤）'!K18="","",1))</f>
        <v/>
      </c>
      <c r="H12" s="467" t="str">
        <f>IF($A12="","",IF('様式２（専従の常勤）'!L18="","",1))</f>
        <v/>
      </c>
      <c r="I12" s="467" t="str">
        <f>IF($A12="","",IF('様式２（専従の常勤）'!M18="","",1))</f>
        <v/>
      </c>
      <c r="J12" s="467" t="str">
        <f>IF($A12="","",IF('様式２（専従の常勤）'!N18="","",1))</f>
        <v/>
      </c>
      <c r="K12" s="467" t="str">
        <f>IF($A12="","",IF('様式２（専従の常勤）'!O18="","",1))</f>
        <v/>
      </c>
      <c r="L12" s="467" t="str">
        <f>IF($A12="","",IF('様式２（専従の常勤）'!P18="","",1))</f>
        <v/>
      </c>
      <c r="M12" s="467" t="str">
        <f>IF($A12="","",IF('様式２（専従の常勤）'!Q18="","",1))</f>
        <v/>
      </c>
      <c r="N12" s="467" t="str">
        <f>IF($A12="","",IF('様式２（専従の常勤）'!R18="","",1))</f>
        <v/>
      </c>
    </row>
    <row r="13" spans="1:14">
      <c r="A13" s="467" t="str">
        <f>IF('様式２（専従の常勤）'!B19="","",'様式２（専従の常勤）'!B19)</f>
        <v/>
      </c>
      <c r="B13" s="467" t="str">
        <f>IF($A13="","",'様式２（専従の常勤）'!$A$5)</f>
        <v/>
      </c>
      <c r="C13" s="467" t="str">
        <f>IF($A13="","",IF('様式２（専従の常勤）'!G19="","",1))</f>
        <v/>
      </c>
      <c r="D13" s="467" t="str">
        <f>IF($A13="","",IF('様式２（専従の常勤）'!H19="","",1))</f>
        <v/>
      </c>
      <c r="E13" s="467" t="str">
        <f>IF($A13="","",IF('様式２（専従の常勤）'!I19="","",1))</f>
        <v/>
      </c>
      <c r="F13" s="467" t="str">
        <f>IF($A13="","",IF('様式２（専従の常勤）'!J19="","",1))</f>
        <v/>
      </c>
      <c r="G13" s="467" t="str">
        <f>IF($A13="","",IF('様式２（専従の常勤）'!K19="","",1))</f>
        <v/>
      </c>
      <c r="H13" s="467" t="str">
        <f>IF($A13="","",IF('様式２（専従の常勤）'!L19="","",1))</f>
        <v/>
      </c>
      <c r="I13" s="467" t="str">
        <f>IF($A13="","",IF('様式２（専従の常勤）'!M19="","",1))</f>
        <v/>
      </c>
      <c r="J13" s="467" t="str">
        <f>IF($A13="","",IF('様式２（専従の常勤）'!N19="","",1))</f>
        <v/>
      </c>
      <c r="K13" s="467" t="str">
        <f>IF($A13="","",IF('様式２（専従の常勤）'!O19="","",1))</f>
        <v/>
      </c>
      <c r="L13" s="467" t="str">
        <f>IF($A13="","",IF('様式２（専従の常勤）'!P19="","",1))</f>
        <v/>
      </c>
      <c r="M13" s="467" t="str">
        <f>IF($A13="","",IF('様式２（専従の常勤）'!Q19="","",1))</f>
        <v/>
      </c>
      <c r="N13" s="467" t="str">
        <f>IF($A13="","",IF('様式２（専従の常勤）'!R19="","",1))</f>
        <v/>
      </c>
    </row>
    <row r="14" spans="1:14">
      <c r="A14" s="467" t="str">
        <f>IF('様式２（専従の常勤）'!B20="","",'様式２（専従の常勤）'!B20)</f>
        <v/>
      </c>
      <c r="B14" s="467" t="str">
        <f>IF($A14="","",'様式２（専従の常勤）'!$A$5)</f>
        <v/>
      </c>
      <c r="C14" s="467" t="str">
        <f>IF($A14="","",IF('様式２（専従の常勤）'!G20="","",1))</f>
        <v/>
      </c>
      <c r="D14" s="467" t="str">
        <f>IF($A14="","",IF('様式２（専従の常勤）'!H20="","",1))</f>
        <v/>
      </c>
      <c r="E14" s="467" t="str">
        <f>IF($A14="","",IF('様式２（専従の常勤）'!I20="","",1))</f>
        <v/>
      </c>
      <c r="F14" s="467" t="str">
        <f>IF($A14="","",IF('様式２（専従の常勤）'!J20="","",1))</f>
        <v/>
      </c>
      <c r="G14" s="467" t="str">
        <f>IF($A14="","",IF('様式２（専従の常勤）'!K20="","",1))</f>
        <v/>
      </c>
      <c r="H14" s="467" t="str">
        <f>IF($A14="","",IF('様式２（専従の常勤）'!L20="","",1))</f>
        <v/>
      </c>
      <c r="I14" s="467" t="str">
        <f>IF($A14="","",IF('様式２（専従の常勤）'!M20="","",1))</f>
        <v/>
      </c>
      <c r="J14" s="467" t="str">
        <f>IF($A14="","",IF('様式２（専従の常勤）'!N20="","",1))</f>
        <v/>
      </c>
      <c r="K14" s="467" t="str">
        <f>IF($A14="","",IF('様式２（専従の常勤）'!O20="","",1))</f>
        <v/>
      </c>
      <c r="L14" s="467" t="str">
        <f>IF($A14="","",IF('様式２（専従の常勤）'!P20="","",1))</f>
        <v/>
      </c>
      <c r="M14" s="467" t="str">
        <f>IF($A14="","",IF('様式２（専従の常勤）'!Q20="","",1))</f>
        <v/>
      </c>
      <c r="N14" s="467" t="str">
        <f>IF($A14="","",IF('様式２（専従の常勤）'!R20="","",1))</f>
        <v/>
      </c>
    </row>
    <row r="15" spans="1:14">
      <c r="A15" s="467" t="str">
        <f>IF('様式２（専従の常勤）'!B21="","",'様式２（専従の常勤）'!B21)</f>
        <v/>
      </c>
      <c r="B15" s="467" t="str">
        <f>IF($A15="","",'様式２（専従の常勤）'!$A$5)</f>
        <v/>
      </c>
      <c r="C15" s="467" t="str">
        <f>IF($A15="","",IF('様式２（専従の常勤）'!G21="","",1))</f>
        <v/>
      </c>
      <c r="D15" s="467" t="str">
        <f>IF($A15="","",IF('様式２（専従の常勤）'!H21="","",1))</f>
        <v/>
      </c>
      <c r="E15" s="467" t="str">
        <f>IF($A15="","",IF('様式２（専従の常勤）'!I21="","",1))</f>
        <v/>
      </c>
      <c r="F15" s="467" t="str">
        <f>IF($A15="","",IF('様式２（専従の常勤）'!J21="","",1))</f>
        <v/>
      </c>
      <c r="G15" s="467" t="str">
        <f>IF($A15="","",IF('様式２（専従の常勤）'!K21="","",1))</f>
        <v/>
      </c>
      <c r="H15" s="467" t="str">
        <f>IF($A15="","",IF('様式２（専従の常勤）'!L21="","",1))</f>
        <v/>
      </c>
      <c r="I15" s="467" t="str">
        <f>IF($A15="","",IF('様式２（専従の常勤）'!M21="","",1))</f>
        <v/>
      </c>
      <c r="J15" s="467" t="str">
        <f>IF($A15="","",IF('様式２（専従の常勤）'!N21="","",1))</f>
        <v/>
      </c>
      <c r="K15" s="467" t="str">
        <f>IF($A15="","",IF('様式２（専従の常勤）'!O21="","",1))</f>
        <v/>
      </c>
      <c r="L15" s="467" t="str">
        <f>IF($A15="","",IF('様式２（専従の常勤）'!P21="","",1))</f>
        <v/>
      </c>
      <c r="M15" s="467" t="str">
        <f>IF($A15="","",IF('様式２（専従の常勤）'!Q21="","",1))</f>
        <v/>
      </c>
      <c r="N15" s="467" t="str">
        <f>IF($A15="","",IF('様式２（専従の常勤）'!R21="","",1))</f>
        <v/>
      </c>
    </row>
    <row r="16" spans="1:14">
      <c r="A16" s="467" t="str">
        <f>IF('様式２（専従の常勤）'!B22="","",'様式２（専従の常勤）'!B22)</f>
        <v/>
      </c>
      <c r="B16" s="467" t="str">
        <f>IF($A16="","",'様式２（専従の常勤）'!$A$5)</f>
        <v/>
      </c>
      <c r="C16" s="467" t="str">
        <f>IF($A16="","",IF('様式２（専従の常勤）'!G22="","",1))</f>
        <v/>
      </c>
      <c r="D16" s="467" t="str">
        <f>IF($A16="","",IF('様式２（専従の常勤）'!H22="","",1))</f>
        <v/>
      </c>
      <c r="E16" s="467" t="str">
        <f>IF($A16="","",IF('様式２（専従の常勤）'!I22="","",1))</f>
        <v/>
      </c>
      <c r="F16" s="467" t="str">
        <f>IF($A16="","",IF('様式２（専従の常勤）'!J22="","",1))</f>
        <v/>
      </c>
      <c r="G16" s="467" t="str">
        <f>IF($A16="","",IF('様式２（専従の常勤）'!K22="","",1))</f>
        <v/>
      </c>
      <c r="H16" s="467" t="str">
        <f>IF($A16="","",IF('様式２（専従の常勤）'!L22="","",1))</f>
        <v/>
      </c>
      <c r="I16" s="467" t="str">
        <f>IF($A16="","",IF('様式２（専従の常勤）'!M22="","",1))</f>
        <v/>
      </c>
      <c r="J16" s="467" t="str">
        <f>IF($A16="","",IF('様式２（専従の常勤）'!N22="","",1))</f>
        <v/>
      </c>
      <c r="K16" s="467" t="str">
        <f>IF($A16="","",IF('様式２（専従の常勤）'!O22="","",1))</f>
        <v/>
      </c>
      <c r="L16" s="467" t="str">
        <f>IF($A16="","",IF('様式２（専従の常勤）'!P22="","",1))</f>
        <v/>
      </c>
      <c r="M16" s="467" t="str">
        <f>IF($A16="","",IF('様式２（専従の常勤）'!Q22="","",1))</f>
        <v/>
      </c>
      <c r="N16" s="467" t="str">
        <f>IF($A16="","",IF('様式２（専従の常勤）'!R22="","",1))</f>
        <v/>
      </c>
    </row>
    <row r="17" spans="1:14">
      <c r="A17" s="467" t="str">
        <f>IF('様式２（専従の常勤）'!B23="","",'様式２（専従の常勤）'!B23)</f>
        <v/>
      </c>
      <c r="B17" s="467" t="str">
        <f>IF($A17="","",'様式２（専従の常勤）'!$A$5)</f>
        <v/>
      </c>
      <c r="C17" s="467" t="str">
        <f>IF($A17="","",IF('様式２（専従の常勤）'!G23="","",1))</f>
        <v/>
      </c>
      <c r="D17" s="467" t="str">
        <f>IF($A17="","",IF('様式２（専従の常勤）'!H23="","",1))</f>
        <v/>
      </c>
      <c r="E17" s="467" t="str">
        <f>IF($A17="","",IF('様式２（専従の常勤）'!I23="","",1))</f>
        <v/>
      </c>
      <c r="F17" s="467" t="str">
        <f>IF($A17="","",IF('様式２（専従の常勤）'!J23="","",1))</f>
        <v/>
      </c>
      <c r="G17" s="467" t="str">
        <f>IF($A17="","",IF('様式２（専従の常勤）'!K23="","",1))</f>
        <v/>
      </c>
      <c r="H17" s="467" t="str">
        <f>IF($A17="","",IF('様式２（専従の常勤）'!L23="","",1))</f>
        <v/>
      </c>
      <c r="I17" s="467" t="str">
        <f>IF($A17="","",IF('様式２（専従の常勤）'!M23="","",1))</f>
        <v/>
      </c>
      <c r="J17" s="467" t="str">
        <f>IF($A17="","",IF('様式２（専従の常勤）'!N23="","",1))</f>
        <v/>
      </c>
      <c r="K17" s="467" t="str">
        <f>IF($A17="","",IF('様式２（専従の常勤）'!O23="","",1))</f>
        <v/>
      </c>
      <c r="L17" s="467" t="str">
        <f>IF($A17="","",IF('様式２（専従の常勤）'!P23="","",1))</f>
        <v/>
      </c>
      <c r="M17" s="467" t="str">
        <f>IF($A17="","",IF('様式２（専従の常勤）'!Q23="","",1))</f>
        <v/>
      </c>
      <c r="N17" s="467" t="str">
        <f>IF($A17="","",IF('様式２（専従の常勤）'!R23="","",1))</f>
        <v/>
      </c>
    </row>
    <row r="18" spans="1:14">
      <c r="A18" s="467" t="str">
        <f>IF('様式２（専従の常勤）'!B24="","",'様式２（専従の常勤）'!B24)</f>
        <v/>
      </c>
      <c r="B18" s="467" t="str">
        <f>IF($A18="","",'様式２（専従の常勤）'!$A$5)</f>
        <v/>
      </c>
      <c r="C18" s="467" t="str">
        <f>IF($A18="","",IF('様式２（専従の常勤）'!G24="","",1))</f>
        <v/>
      </c>
      <c r="D18" s="467" t="str">
        <f>IF($A18="","",IF('様式２（専従の常勤）'!H24="","",1))</f>
        <v/>
      </c>
      <c r="E18" s="467" t="str">
        <f>IF($A18="","",IF('様式２（専従の常勤）'!I24="","",1))</f>
        <v/>
      </c>
      <c r="F18" s="467" t="str">
        <f>IF($A18="","",IF('様式２（専従の常勤）'!J24="","",1))</f>
        <v/>
      </c>
      <c r="G18" s="467" t="str">
        <f>IF($A18="","",IF('様式２（専従の常勤）'!K24="","",1))</f>
        <v/>
      </c>
      <c r="H18" s="467" t="str">
        <f>IF($A18="","",IF('様式２（専従の常勤）'!L24="","",1))</f>
        <v/>
      </c>
      <c r="I18" s="467" t="str">
        <f>IF($A18="","",IF('様式２（専従の常勤）'!M24="","",1))</f>
        <v/>
      </c>
      <c r="J18" s="467" t="str">
        <f>IF($A18="","",IF('様式２（専従の常勤）'!N24="","",1))</f>
        <v/>
      </c>
      <c r="K18" s="467" t="str">
        <f>IF($A18="","",IF('様式２（専従の常勤）'!O24="","",1))</f>
        <v/>
      </c>
      <c r="L18" s="467" t="str">
        <f>IF($A18="","",IF('様式２（専従の常勤）'!P24="","",1))</f>
        <v/>
      </c>
      <c r="M18" s="467" t="str">
        <f>IF($A18="","",IF('様式２（専従の常勤）'!Q24="","",1))</f>
        <v/>
      </c>
      <c r="N18" s="467" t="str">
        <f>IF($A18="","",IF('様式２（専従の常勤）'!R24="","",1))</f>
        <v/>
      </c>
    </row>
    <row r="19" spans="1:14">
      <c r="A19" s="467" t="str">
        <f>IF('様式２（専従の常勤）'!B25="","",'様式２（専従の常勤）'!B25)</f>
        <v/>
      </c>
      <c r="B19" s="467" t="str">
        <f>IF($A19="","",'様式２（専従の常勤）'!$A$5)</f>
        <v/>
      </c>
      <c r="C19" s="467" t="str">
        <f>IF($A19="","",IF('様式２（専従の常勤）'!G25="","",1))</f>
        <v/>
      </c>
      <c r="D19" s="467" t="str">
        <f>IF($A19="","",IF('様式２（専従の常勤）'!H25="","",1))</f>
        <v/>
      </c>
      <c r="E19" s="467" t="str">
        <f>IF($A19="","",IF('様式２（専従の常勤）'!I25="","",1))</f>
        <v/>
      </c>
      <c r="F19" s="467" t="str">
        <f>IF($A19="","",IF('様式２（専従の常勤）'!J25="","",1))</f>
        <v/>
      </c>
      <c r="G19" s="467" t="str">
        <f>IF($A19="","",IF('様式２（専従の常勤）'!K25="","",1))</f>
        <v/>
      </c>
      <c r="H19" s="467" t="str">
        <f>IF($A19="","",IF('様式２（専従の常勤）'!L25="","",1))</f>
        <v/>
      </c>
      <c r="I19" s="467" t="str">
        <f>IF($A19="","",IF('様式２（専従の常勤）'!M25="","",1))</f>
        <v/>
      </c>
      <c r="J19" s="467" t="str">
        <f>IF($A19="","",IF('様式２（専従の常勤）'!N25="","",1))</f>
        <v/>
      </c>
      <c r="K19" s="467" t="str">
        <f>IF($A19="","",IF('様式２（専従の常勤）'!O25="","",1))</f>
        <v/>
      </c>
      <c r="L19" s="467" t="str">
        <f>IF($A19="","",IF('様式２（専従の常勤）'!P25="","",1))</f>
        <v/>
      </c>
      <c r="M19" s="467" t="str">
        <f>IF($A19="","",IF('様式２（専従の常勤）'!Q25="","",1))</f>
        <v/>
      </c>
      <c r="N19" s="467" t="str">
        <f>IF($A19="","",IF('様式２（専従の常勤）'!R25="","",1))</f>
        <v/>
      </c>
    </row>
    <row r="20" spans="1:14">
      <c r="A20" s="467" t="str">
        <f>IF('様式２（専従の常勤）'!B26="","",'様式２（専従の常勤）'!B26)</f>
        <v/>
      </c>
      <c r="B20" s="467" t="str">
        <f>IF($A20="","",'様式２（専従の常勤）'!$A$5)</f>
        <v/>
      </c>
      <c r="C20" s="467" t="str">
        <f>IF($A20="","",IF('様式２（専従の常勤）'!G26="","",1))</f>
        <v/>
      </c>
      <c r="D20" s="467" t="str">
        <f>IF($A20="","",IF('様式２（専従の常勤）'!H26="","",1))</f>
        <v/>
      </c>
      <c r="E20" s="467" t="str">
        <f>IF($A20="","",IF('様式２（専従の常勤）'!I26="","",1))</f>
        <v/>
      </c>
      <c r="F20" s="467" t="str">
        <f>IF($A20="","",IF('様式２（専従の常勤）'!J26="","",1))</f>
        <v/>
      </c>
      <c r="G20" s="467" t="str">
        <f>IF($A20="","",IF('様式２（専従の常勤）'!K26="","",1))</f>
        <v/>
      </c>
      <c r="H20" s="467" t="str">
        <f>IF($A20="","",IF('様式２（専従の常勤）'!L26="","",1))</f>
        <v/>
      </c>
      <c r="I20" s="467" t="str">
        <f>IF($A20="","",IF('様式２（専従の常勤）'!M26="","",1))</f>
        <v/>
      </c>
      <c r="J20" s="467" t="str">
        <f>IF($A20="","",IF('様式２（専従の常勤）'!N26="","",1))</f>
        <v/>
      </c>
      <c r="K20" s="467" t="str">
        <f>IF($A20="","",IF('様式２（専従の常勤）'!O26="","",1))</f>
        <v/>
      </c>
      <c r="L20" s="467" t="str">
        <f>IF($A20="","",IF('様式２（専従の常勤）'!P26="","",1))</f>
        <v/>
      </c>
      <c r="M20" s="467" t="str">
        <f>IF($A20="","",IF('様式２（専従の常勤）'!Q26="","",1))</f>
        <v/>
      </c>
      <c r="N20" s="467" t="str">
        <f>IF($A20="","",IF('様式２（専従の常勤）'!R26="","",1))</f>
        <v/>
      </c>
    </row>
    <row r="21" spans="1:14">
      <c r="A21" s="467" t="str">
        <f>IF('様式２（専従の常勤）'!B27="","",'様式２（専従の常勤）'!B27)</f>
        <v/>
      </c>
      <c r="B21" s="467" t="str">
        <f>IF($A21="","",'様式２（専従の常勤）'!$A$5)</f>
        <v/>
      </c>
      <c r="C21" s="467" t="str">
        <f>IF($A21="","",IF('様式２（専従の常勤）'!G27="","",1))</f>
        <v/>
      </c>
      <c r="D21" s="467" t="str">
        <f>IF($A21="","",IF('様式２（専従の常勤）'!H27="","",1))</f>
        <v/>
      </c>
      <c r="E21" s="467" t="str">
        <f>IF($A21="","",IF('様式２（専従の常勤）'!I27="","",1))</f>
        <v/>
      </c>
      <c r="F21" s="467" t="str">
        <f>IF($A21="","",IF('様式２（専従の常勤）'!J27="","",1))</f>
        <v/>
      </c>
      <c r="G21" s="467" t="str">
        <f>IF($A21="","",IF('様式２（専従の常勤）'!K27="","",1))</f>
        <v/>
      </c>
      <c r="H21" s="467" t="str">
        <f>IF($A21="","",IF('様式２（専従の常勤）'!L27="","",1))</f>
        <v/>
      </c>
      <c r="I21" s="467" t="str">
        <f>IF($A21="","",IF('様式２（専従の常勤）'!M27="","",1))</f>
        <v/>
      </c>
      <c r="J21" s="467" t="str">
        <f>IF($A21="","",IF('様式２（専従の常勤）'!N27="","",1))</f>
        <v/>
      </c>
      <c r="K21" s="467" t="str">
        <f>IF($A21="","",IF('様式２（専従の常勤）'!O27="","",1))</f>
        <v/>
      </c>
      <c r="L21" s="467" t="str">
        <f>IF($A21="","",IF('様式２（専従の常勤）'!P27="","",1))</f>
        <v/>
      </c>
      <c r="M21" s="467" t="str">
        <f>IF($A21="","",IF('様式２（専従の常勤）'!Q27="","",1))</f>
        <v/>
      </c>
      <c r="N21" s="467" t="str">
        <f>IF($A21="","",IF('様式２（専従の常勤）'!R27="","",1))</f>
        <v/>
      </c>
    </row>
    <row r="22" spans="1:14">
      <c r="A22" s="467" t="str">
        <f>IF('様式２（専従の常勤）'!B28="","",'様式２（専従の常勤）'!B28)</f>
        <v/>
      </c>
      <c r="B22" s="467" t="str">
        <f>IF($A22="","",'様式２（専従の常勤）'!$A$5)</f>
        <v/>
      </c>
      <c r="C22" s="467" t="str">
        <f>IF($A22="","",IF('様式２（専従の常勤）'!G28="","",1))</f>
        <v/>
      </c>
      <c r="D22" s="467" t="str">
        <f>IF($A22="","",IF('様式２（専従の常勤）'!H28="","",1))</f>
        <v/>
      </c>
      <c r="E22" s="467" t="str">
        <f>IF($A22="","",IF('様式２（専従の常勤）'!I28="","",1))</f>
        <v/>
      </c>
      <c r="F22" s="467" t="str">
        <f>IF($A22="","",IF('様式２（専従の常勤）'!J28="","",1))</f>
        <v/>
      </c>
      <c r="G22" s="467" t="str">
        <f>IF($A22="","",IF('様式２（専従の常勤）'!K28="","",1))</f>
        <v/>
      </c>
      <c r="H22" s="467" t="str">
        <f>IF($A22="","",IF('様式２（専従の常勤）'!L28="","",1))</f>
        <v/>
      </c>
      <c r="I22" s="467" t="str">
        <f>IF($A22="","",IF('様式２（専従の常勤）'!M28="","",1))</f>
        <v/>
      </c>
      <c r="J22" s="467" t="str">
        <f>IF($A22="","",IF('様式２（専従の常勤）'!N28="","",1))</f>
        <v/>
      </c>
      <c r="K22" s="467" t="str">
        <f>IF($A22="","",IF('様式２（専従の常勤）'!O28="","",1))</f>
        <v/>
      </c>
      <c r="L22" s="467" t="str">
        <f>IF($A22="","",IF('様式２（専従の常勤）'!P28="","",1))</f>
        <v/>
      </c>
      <c r="M22" s="467" t="str">
        <f>IF($A22="","",IF('様式２（専従の常勤）'!Q28="","",1))</f>
        <v/>
      </c>
      <c r="N22" s="467" t="str">
        <f>IF($A22="","",IF('様式２（専従の常勤）'!R28="","",1))</f>
        <v/>
      </c>
    </row>
    <row r="23" spans="1:14">
      <c r="A23" s="467" t="str">
        <f>IF('様式２（専従の常勤）'!B29="","",'様式２（専従の常勤）'!B29)</f>
        <v/>
      </c>
      <c r="B23" s="467" t="str">
        <f>IF($A23="","",'様式２（専従の常勤）'!$A$5)</f>
        <v/>
      </c>
      <c r="C23" s="467" t="str">
        <f>IF($A23="","",IF('様式２（専従の常勤）'!G29="","",1))</f>
        <v/>
      </c>
      <c r="D23" s="467" t="str">
        <f>IF($A23="","",IF('様式２（専従の常勤）'!H29="","",1))</f>
        <v/>
      </c>
      <c r="E23" s="467" t="str">
        <f>IF($A23="","",IF('様式２（専従の常勤）'!I29="","",1))</f>
        <v/>
      </c>
      <c r="F23" s="467" t="str">
        <f>IF($A23="","",IF('様式２（専従の常勤）'!J29="","",1))</f>
        <v/>
      </c>
      <c r="G23" s="467" t="str">
        <f>IF($A23="","",IF('様式２（専従の常勤）'!K29="","",1))</f>
        <v/>
      </c>
      <c r="H23" s="467" t="str">
        <f>IF($A23="","",IF('様式２（専従の常勤）'!L29="","",1))</f>
        <v/>
      </c>
      <c r="I23" s="467" t="str">
        <f>IF($A23="","",IF('様式２（専従の常勤）'!M29="","",1))</f>
        <v/>
      </c>
      <c r="J23" s="467" t="str">
        <f>IF($A23="","",IF('様式２（専従の常勤）'!N29="","",1))</f>
        <v/>
      </c>
      <c r="K23" s="467" t="str">
        <f>IF($A23="","",IF('様式２（専従の常勤）'!O29="","",1))</f>
        <v/>
      </c>
      <c r="L23" s="467" t="str">
        <f>IF($A23="","",IF('様式２（専従の常勤）'!P29="","",1))</f>
        <v/>
      </c>
      <c r="M23" s="467" t="str">
        <f>IF($A23="","",IF('様式２（専従の常勤）'!Q29="","",1))</f>
        <v/>
      </c>
      <c r="N23" s="467" t="str">
        <f>IF($A23="","",IF('様式２（専従の常勤）'!R29="","",1))</f>
        <v/>
      </c>
    </row>
    <row r="24" spans="1:14">
      <c r="A24" s="467" t="str">
        <f>IF('様式２（専従の常勤）'!B30="","",'様式２（専従の常勤）'!B30)</f>
        <v/>
      </c>
      <c r="B24" s="467" t="str">
        <f>IF($A24="","",'様式２（専従の常勤）'!$A$5)</f>
        <v/>
      </c>
      <c r="C24" s="467" t="str">
        <f>IF($A24="","",IF('様式２（専従の常勤）'!G30="","",1))</f>
        <v/>
      </c>
      <c r="D24" s="467" t="str">
        <f>IF($A24="","",IF('様式２（専従の常勤）'!H30="","",1))</f>
        <v/>
      </c>
      <c r="E24" s="467" t="str">
        <f>IF($A24="","",IF('様式２（専従の常勤）'!I30="","",1))</f>
        <v/>
      </c>
      <c r="F24" s="467" t="str">
        <f>IF($A24="","",IF('様式２（専従の常勤）'!J30="","",1))</f>
        <v/>
      </c>
      <c r="G24" s="467" t="str">
        <f>IF($A24="","",IF('様式２（専従の常勤）'!K30="","",1))</f>
        <v/>
      </c>
      <c r="H24" s="467" t="str">
        <f>IF($A24="","",IF('様式２（専従の常勤）'!L30="","",1))</f>
        <v/>
      </c>
      <c r="I24" s="467" t="str">
        <f>IF($A24="","",IF('様式２（専従の常勤）'!M30="","",1))</f>
        <v/>
      </c>
      <c r="J24" s="467" t="str">
        <f>IF($A24="","",IF('様式２（専従の常勤）'!N30="","",1))</f>
        <v/>
      </c>
      <c r="K24" s="467" t="str">
        <f>IF($A24="","",IF('様式２（専従の常勤）'!O30="","",1))</f>
        <v/>
      </c>
      <c r="L24" s="467" t="str">
        <f>IF($A24="","",IF('様式２（専従の常勤）'!P30="","",1))</f>
        <v/>
      </c>
      <c r="M24" s="467" t="str">
        <f>IF($A24="","",IF('様式２（専従の常勤）'!Q30="","",1))</f>
        <v/>
      </c>
      <c r="N24" s="467" t="str">
        <f>IF($A24="","",IF('様式２（専従の常勤）'!R30="","",1))</f>
        <v/>
      </c>
    </row>
    <row r="25" spans="1:14">
      <c r="A25" s="467" t="str">
        <f>IF('様式２（専従の常勤）'!B31="","",'様式２（専従の常勤）'!B31)</f>
        <v/>
      </c>
      <c r="B25" s="467" t="str">
        <f>IF($A25="","",'様式２（専従の常勤）'!$A$5)</f>
        <v/>
      </c>
      <c r="C25" s="467" t="str">
        <f>IF($A25="","",IF('様式２（専従の常勤）'!G31="","",1))</f>
        <v/>
      </c>
      <c r="D25" s="467" t="str">
        <f>IF($A25="","",IF('様式２（専従の常勤）'!H31="","",1))</f>
        <v/>
      </c>
      <c r="E25" s="467" t="str">
        <f>IF($A25="","",IF('様式２（専従の常勤）'!I31="","",1))</f>
        <v/>
      </c>
      <c r="F25" s="467" t="str">
        <f>IF($A25="","",IF('様式２（専従の常勤）'!J31="","",1))</f>
        <v/>
      </c>
      <c r="G25" s="467" t="str">
        <f>IF($A25="","",IF('様式２（専従の常勤）'!K31="","",1))</f>
        <v/>
      </c>
      <c r="H25" s="467" t="str">
        <f>IF($A25="","",IF('様式２（専従の常勤）'!L31="","",1))</f>
        <v/>
      </c>
      <c r="I25" s="467" t="str">
        <f>IF($A25="","",IF('様式２（専従の常勤）'!M31="","",1))</f>
        <v/>
      </c>
      <c r="J25" s="467" t="str">
        <f>IF($A25="","",IF('様式２（専従の常勤）'!N31="","",1))</f>
        <v/>
      </c>
      <c r="K25" s="467" t="str">
        <f>IF($A25="","",IF('様式２（専従の常勤）'!O31="","",1))</f>
        <v/>
      </c>
      <c r="L25" s="467" t="str">
        <f>IF($A25="","",IF('様式２（専従の常勤）'!P31="","",1))</f>
        <v/>
      </c>
      <c r="M25" s="467" t="str">
        <f>IF($A25="","",IF('様式２（専従の常勤）'!Q31="","",1))</f>
        <v/>
      </c>
      <c r="N25" s="467" t="str">
        <f>IF($A25="","",IF('様式２（専従の常勤）'!R31="","",1))</f>
        <v/>
      </c>
    </row>
    <row r="26" spans="1:14">
      <c r="A26" s="467" t="str">
        <f>IF('様式２（専従の常勤）'!B32="","",'様式２（専従の常勤）'!B32)</f>
        <v/>
      </c>
      <c r="B26" s="467" t="str">
        <f>IF($A26="","",'様式２（専従の常勤）'!$A$5)</f>
        <v/>
      </c>
      <c r="C26" s="467" t="str">
        <f>IF($A26="","",IF('様式２（専従の常勤）'!G32="","",1))</f>
        <v/>
      </c>
      <c r="D26" s="467" t="str">
        <f>IF($A26="","",IF('様式２（専従の常勤）'!H32="","",1))</f>
        <v/>
      </c>
      <c r="E26" s="467" t="str">
        <f>IF($A26="","",IF('様式２（専従の常勤）'!I32="","",1))</f>
        <v/>
      </c>
      <c r="F26" s="467" t="str">
        <f>IF($A26="","",IF('様式２（専従の常勤）'!J32="","",1))</f>
        <v/>
      </c>
      <c r="G26" s="467" t="str">
        <f>IF($A26="","",IF('様式２（専従の常勤）'!K32="","",1))</f>
        <v/>
      </c>
      <c r="H26" s="467" t="str">
        <f>IF($A26="","",IF('様式２（専従の常勤）'!L32="","",1))</f>
        <v/>
      </c>
      <c r="I26" s="467" t="str">
        <f>IF($A26="","",IF('様式２（専従の常勤）'!M32="","",1))</f>
        <v/>
      </c>
      <c r="J26" s="467" t="str">
        <f>IF($A26="","",IF('様式２（専従の常勤）'!N32="","",1))</f>
        <v/>
      </c>
      <c r="K26" s="467" t="str">
        <f>IF($A26="","",IF('様式２（専従の常勤）'!O32="","",1))</f>
        <v/>
      </c>
      <c r="L26" s="467" t="str">
        <f>IF($A26="","",IF('様式２（専従の常勤）'!P32="","",1))</f>
        <v/>
      </c>
      <c r="M26" s="467" t="str">
        <f>IF($A26="","",IF('様式２（専従の常勤）'!Q32="","",1))</f>
        <v/>
      </c>
      <c r="N26" s="467" t="str">
        <f>IF($A26="","",IF('様式２（専従の常勤）'!R32="","",1))</f>
        <v/>
      </c>
    </row>
    <row r="27" spans="1:14">
      <c r="A27" s="467" t="str">
        <f>IF('様式２（専従の常勤）'!B33="","",'様式２（専従の常勤）'!B33)</f>
        <v/>
      </c>
      <c r="B27" s="467" t="str">
        <f>IF($A27="","",'様式２（専従の常勤）'!$A$5)</f>
        <v/>
      </c>
      <c r="C27" s="467" t="str">
        <f>IF($A27="","",IF('様式２（専従の常勤）'!G33="","",1))</f>
        <v/>
      </c>
      <c r="D27" s="467" t="str">
        <f>IF($A27="","",IF('様式２（専従の常勤）'!H33="","",1))</f>
        <v/>
      </c>
      <c r="E27" s="467" t="str">
        <f>IF($A27="","",IF('様式２（専従の常勤）'!I33="","",1))</f>
        <v/>
      </c>
      <c r="F27" s="467" t="str">
        <f>IF($A27="","",IF('様式２（専従の常勤）'!J33="","",1))</f>
        <v/>
      </c>
      <c r="G27" s="467" t="str">
        <f>IF($A27="","",IF('様式２（専従の常勤）'!K33="","",1))</f>
        <v/>
      </c>
      <c r="H27" s="467" t="str">
        <f>IF($A27="","",IF('様式２（専従の常勤）'!L33="","",1))</f>
        <v/>
      </c>
      <c r="I27" s="467" t="str">
        <f>IF($A27="","",IF('様式２（専従の常勤）'!M33="","",1))</f>
        <v/>
      </c>
      <c r="J27" s="467" t="str">
        <f>IF($A27="","",IF('様式２（専従の常勤）'!N33="","",1))</f>
        <v/>
      </c>
      <c r="K27" s="467" t="str">
        <f>IF($A27="","",IF('様式２（専従の常勤）'!O33="","",1))</f>
        <v/>
      </c>
      <c r="L27" s="467" t="str">
        <f>IF($A27="","",IF('様式２（専従の常勤）'!P33="","",1))</f>
        <v/>
      </c>
      <c r="M27" s="467" t="str">
        <f>IF($A27="","",IF('様式２（専従の常勤）'!Q33="","",1))</f>
        <v/>
      </c>
      <c r="N27" s="467" t="str">
        <f>IF($A27="","",IF('様式２（専従の常勤）'!R33="","",1))</f>
        <v/>
      </c>
    </row>
    <row r="28" spans="1:14">
      <c r="A28" s="467" t="str">
        <f>IF('様式２（専従の常勤）'!B34="","",'様式２（専従の常勤）'!B34)</f>
        <v/>
      </c>
      <c r="B28" s="467" t="str">
        <f>IF($A28="","",'様式２（専従の常勤）'!$A$5)</f>
        <v/>
      </c>
      <c r="C28" s="467" t="str">
        <f>IF($A28="","",IF('様式２（専従の常勤）'!G34="","",1))</f>
        <v/>
      </c>
      <c r="D28" s="467" t="str">
        <f>IF($A28="","",IF('様式２（専従の常勤）'!H34="","",1))</f>
        <v/>
      </c>
      <c r="E28" s="467" t="str">
        <f>IF($A28="","",IF('様式２（専従の常勤）'!I34="","",1))</f>
        <v/>
      </c>
      <c r="F28" s="467" t="str">
        <f>IF($A28="","",IF('様式２（専従の常勤）'!J34="","",1))</f>
        <v/>
      </c>
      <c r="G28" s="467" t="str">
        <f>IF($A28="","",IF('様式２（専従の常勤）'!K34="","",1))</f>
        <v/>
      </c>
      <c r="H28" s="467" t="str">
        <f>IF($A28="","",IF('様式２（専従の常勤）'!L34="","",1))</f>
        <v/>
      </c>
      <c r="I28" s="467" t="str">
        <f>IF($A28="","",IF('様式２（専従の常勤）'!M34="","",1))</f>
        <v/>
      </c>
      <c r="J28" s="467" t="str">
        <f>IF($A28="","",IF('様式２（専従の常勤）'!N34="","",1))</f>
        <v/>
      </c>
      <c r="K28" s="467" t="str">
        <f>IF($A28="","",IF('様式２（専従の常勤）'!O34="","",1))</f>
        <v/>
      </c>
      <c r="L28" s="467" t="str">
        <f>IF($A28="","",IF('様式２（専従の常勤）'!P34="","",1))</f>
        <v/>
      </c>
      <c r="M28" s="467" t="str">
        <f>IF($A28="","",IF('様式２（専従の常勤）'!Q34="","",1))</f>
        <v/>
      </c>
      <c r="N28" s="467" t="str">
        <f>IF($A28="","",IF('様式２（専従の常勤）'!R34="","",1))</f>
        <v/>
      </c>
    </row>
    <row r="29" spans="1:14">
      <c r="A29" s="467" t="str">
        <f>IF('様式２（専従の常勤）'!B35="","",'様式２（専従の常勤）'!B35)</f>
        <v/>
      </c>
      <c r="B29" s="467" t="str">
        <f>IF($A29="","",'様式２（専従の常勤）'!$A$5)</f>
        <v/>
      </c>
      <c r="C29" s="467" t="str">
        <f>IF($A29="","",IF('様式２（専従の常勤）'!G35="","",1))</f>
        <v/>
      </c>
      <c r="D29" s="467" t="str">
        <f>IF($A29="","",IF('様式２（専従の常勤）'!H35="","",1))</f>
        <v/>
      </c>
      <c r="E29" s="467" t="str">
        <f>IF($A29="","",IF('様式２（専従の常勤）'!I35="","",1))</f>
        <v/>
      </c>
      <c r="F29" s="467" t="str">
        <f>IF($A29="","",IF('様式２（専従の常勤）'!J35="","",1))</f>
        <v/>
      </c>
      <c r="G29" s="467" t="str">
        <f>IF($A29="","",IF('様式２（専従の常勤）'!K35="","",1))</f>
        <v/>
      </c>
      <c r="H29" s="467" t="str">
        <f>IF($A29="","",IF('様式２（専従の常勤）'!L35="","",1))</f>
        <v/>
      </c>
      <c r="I29" s="467" t="str">
        <f>IF($A29="","",IF('様式２（専従の常勤）'!M35="","",1))</f>
        <v/>
      </c>
      <c r="J29" s="467" t="str">
        <f>IF($A29="","",IF('様式２（専従の常勤）'!N35="","",1))</f>
        <v/>
      </c>
      <c r="K29" s="467" t="str">
        <f>IF($A29="","",IF('様式２（専従の常勤）'!O35="","",1))</f>
        <v/>
      </c>
      <c r="L29" s="467" t="str">
        <f>IF($A29="","",IF('様式２（専従の常勤）'!P35="","",1))</f>
        <v/>
      </c>
      <c r="M29" s="467" t="str">
        <f>IF($A29="","",IF('様式２（専従の常勤）'!Q35="","",1))</f>
        <v/>
      </c>
      <c r="N29" s="467" t="str">
        <f>IF($A29="","",IF('様式２（専従の常勤）'!R35="","",1))</f>
        <v/>
      </c>
    </row>
    <row r="30" spans="1:14">
      <c r="A30" s="467" t="str">
        <f>IF('様式２（専従の常勤）'!B36="","",'様式２（専従の常勤）'!B36)</f>
        <v/>
      </c>
      <c r="B30" s="467" t="str">
        <f>IF($A30="","",'様式２（専従の常勤）'!$A$5)</f>
        <v/>
      </c>
      <c r="C30" s="467" t="str">
        <f>IF($A30="","",IF('様式２（専従の常勤）'!G36="","",1))</f>
        <v/>
      </c>
      <c r="D30" s="467" t="str">
        <f>IF($A30="","",IF('様式２（専従の常勤）'!H36="","",1))</f>
        <v/>
      </c>
      <c r="E30" s="467" t="str">
        <f>IF($A30="","",IF('様式２（専従の常勤）'!I36="","",1))</f>
        <v/>
      </c>
      <c r="F30" s="467" t="str">
        <f>IF($A30="","",IF('様式２（専従の常勤）'!J36="","",1))</f>
        <v/>
      </c>
      <c r="G30" s="467" t="str">
        <f>IF($A30="","",IF('様式２（専従の常勤）'!K36="","",1))</f>
        <v/>
      </c>
      <c r="H30" s="467" t="str">
        <f>IF($A30="","",IF('様式２（専従の常勤）'!L36="","",1))</f>
        <v/>
      </c>
      <c r="I30" s="467" t="str">
        <f>IF($A30="","",IF('様式２（専従の常勤）'!M36="","",1))</f>
        <v/>
      </c>
      <c r="J30" s="467" t="str">
        <f>IF($A30="","",IF('様式２（専従の常勤）'!N36="","",1))</f>
        <v/>
      </c>
      <c r="K30" s="467" t="str">
        <f>IF($A30="","",IF('様式２（専従の常勤）'!O36="","",1))</f>
        <v/>
      </c>
      <c r="L30" s="467" t="str">
        <f>IF($A30="","",IF('様式２（専従の常勤）'!P36="","",1))</f>
        <v/>
      </c>
      <c r="M30" s="467" t="str">
        <f>IF($A30="","",IF('様式２（専従の常勤）'!Q36="","",1))</f>
        <v/>
      </c>
      <c r="N30" s="467" t="str">
        <f>IF($A30="","",IF('様式２（専従の常勤）'!R36="","",1))</f>
        <v/>
      </c>
    </row>
    <row r="31" spans="1:14">
      <c r="A31" s="467" t="str">
        <f>IF('様式２（専従の常勤）'!B37="","",'様式２（専従の常勤）'!B37)</f>
        <v/>
      </c>
      <c r="B31" s="467" t="str">
        <f>IF($A31="","",'様式２（専従の常勤）'!$A$5)</f>
        <v/>
      </c>
      <c r="C31" s="467" t="str">
        <f>IF($A31="","",IF('様式２（専従の常勤）'!G37="","",1))</f>
        <v/>
      </c>
      <c r="D31" s="467" t="str">
        <f>IF($A31="","",IF('様式２（専従の常勤）'!H37="","",1))</f>
        <v/>
      </c>
      <c r="E31" s="467" t="str">
        <f>IF($A31="","",IF('様式２（専従の常勤）'!I37="","",1))</f>
        <v/>
      </c>
      <c r="F31" s="467" t="str">
        <f>IF($A31="","",IF('様式２（専従の常勤）'!J37="","",1))</f>
        <v/>
      </c>
      <c r="G31" s="467" t="str">
        <f>IF($A31="","",IF('様式２（専従の常勤）'!K37="","",1))</f>
        <v/>
      </c>
      <c r="H31" s="467" t="str">
        <f>IF($A31="","",IF('様式２（専従の常勤）'!L37="","",1))</f>
        <v/>
      </c>
      <c r="I31" s="467" t="str">
        <f>IF($A31="","",IF('様式２（専従の常勤）'!M37="","",1))</f>
        <v/>
      </c>
      <c r="J31" s="467" t="str">
        <f>IF($A31="","",IF('様式２（専従の常勤）'!N37="","",1))</f>
        <v/>
      </c>
      <c r="K31" s="467" t="str">
        <f>IF($A31="","",IF('様式２（専従の常勤）'!O37="","",1))</f>
        <v/>
      </c>
      <c r="L31" s="467" t="str">
        <f>IF($A31="","",IF('様式２（専従の常勤）'!P37="","",1))</f>
        <v/>
      </c>
      <c r="M31" s="467" t="str">
        <f>IF($A31="","",IF('様式２（専従の常勤）'!Q37="","",1))</f>
        <v/>
      </c>
      <c r="N31" s="467" t="str">
        <f>IF($A31="","",IF('様式２（専従の常勤）'!R37="","",1))</f>
        <v/>
      </c>
    </row>
    <row r="32" spans="1:14">
      <c r="A32" s="467" t="str">
        <f>IF('様式２（専従の常勤）'!B38="","",'様式２（専従の常勤）'!B38)</f>
        <v/>
      </c>
      <c r="B32" s="467" t="str">
        <f>IF($A32="","",'様式２（専従の常勤）'!$A$5)</f>
        <v/>
      </c>
      <c r="C32" s="467" t="str">
        <f>IF($A32="","",IF('様式２（専従の常勤）'!G38="","",1))</f>
        <v/>
      </c>
      <c r="D32" s="467" t="str">
        <f>IF($A32="","",IF('様式２（専従の常勤）'!H38="","",1))</f>
        <v/>
      </c>
      <c r="E32" s="467" t="str">
        <f>IF($A32="","",IF('様式２（専従の常勤）'!I38="","",1))</f>
        <v/>
      </c>
      <c r="F32" s="467" t="str">
        <f>IF($A32="","",IF('様式２（専従の常勤）'!J38="","",1))</f>
        <v/>
      </c>
      <c r="G32" s="467" t="str">
        <f>IF($A32="","",IF('様式２（専従の常勤）'!K38="","",1))</f>
        <v/>
      </c>
      <c r="H32" s="467" t="str">
        <f>IF($A32="","",IF('様式２（専従の常勤）'!L38="","",1))</f>
        <v/>
      </c>
      <c r="I32" s="467" t="str">
        <f>IF($A32="","",IF('様式２（専従の常勤）'!M38="","",1))</f>
        <v/>
      </c>
      <c r="J32" s="467" t="str">
        <f>IF($A32="","",IF('様式２（専従の常勤）'!N38="","",1))</f>
        <v/>
      </c>
      <c r="K32" s="467" t="str">
        <f>IF($A32="","",IF('様式２（専従の常勤）'!O38="","",1))</f>
        <v/>
      </c>
      <c r="L32" s="467" t="str">
        <f>IF($A32="","",IF('様式２（専従の常勤）'!P38="","",1))</f>
        <v/>
      </c>
      <c r="M32" s="467" t="str">
        <f>IF($A32="","",IF('様式２（専従の常勤）'!Q38="","",1))</f>
        <v/>
      </c>
      <c r="N32" s="467" t="str">
        <f>IF($A32="","",IF('様式２（専従の常勤）'!R38="","",1))</f>
        <v/>
      </c>
    </row>
    <row r="33" spans="1:14">
      <c r="A33" s="467" t="str">
        <f>IF('様式２（専従の常勤）'!B39="","",'様式２（専従の常勤）'!B39)</f>
        <v/>
      </c>
      <c r="B33" s="467" t="str">
        <f>IF($A33="","",'様式２（専従の常勤）'!$A$5)</f>
        <v/>
      </c>
      <c r="C33" s="467" t="str">
        <f>IF($A33="","",IF('様式２（専従の常勤）'!G39="","",1))</f>
        <v/>
      </c>
      <c r="D33" s="467" t="str">
        <f>IF($A33="","",IF('様式２（専従の常勤）'!H39="","",1))</f>
        <v/>
      </c>
      <c r="E33" s="467" t="str">
        <f>IF($A33="","",IF('様式２（専従の常勤）'!I39="","",1))</f>
        <v/>
      </c>
      <c r="F33" s="467" t="str">
        <f>IF($A33="","",IF('様式２（専従の常勤）'!J39="","",1))</f>
        <v/>
      </c>
      <c r="G33" s="467" t="str">
        <f>IF($A33="","",IF('様式２（専従の常勤）'!K39="","",1))</f>
        <v/>
      </c>
      <c r="H33" s="467" t="str">
        <f>IF($A33="","",IF('様式２（専従の常勤）'!L39="","",1))</f>
        <v/>
      </c>
      <c r="I33" s="467" t="str">
        <f>IF($A33="","",IF('様式２（専従の常勤）'!M39="","",1))</f>
        <v/>
      </c>
      <c r="J33" s="467" t="str">
        <f>IF($A33="","",IF('様式２（専従の常勤）'!N39="","",1))</f>
        <v/>
      </c>
      <c r="K33" s="467" t="str">
        <f>IF($A33="","",IF('様式２（専従の常勤）'!O39="","",1))</f>
        <v/>
      </c>
      <c r="L33" s="467" t="str">
        <f>IF($A33="","",IF('様式２（専従の常勤）'!P39="","",1))</f>
        <v/>
      </c>
      <c r="M33" s="467" t="str">
        <f>IF($A33="","",IF('様式２（専従の常勤）'!Q39="","",1))</f>
        <v/>
      </c>
      <c r="N33" s="467" t="str">
        <f>IF($A33="","",IF('様式２（専従の常勤）'!R39="","",1))</f>
        <v/>
      </c>
    </row>
    <row r="34" spans="1:14">
      <c r="A34" s="467" t="str">
        <f>IF('様式２（専従の常勤）'!B40="","",'様式２（専従の常勤）'!B40)</f>
        <v/>
      </c>
      <c r="B34" s="467" t="str">
        <f>IF($A34="","",'様式２（専従の常勤）'!$A$5)</f>
        <v/>
      </c>
      <c r="C34" s="467" t="str">
        <f>IF($A34="","",IF('様式２（専従の常勤）'!G40="","",1))</f>
        <v/>
      </c>
      <c r="D34" s="467" t="str">
        <f>IF($A34="","",IF('様式２（専従の常勤）'!H40="","",1))</f>
        <v/>
      </c>
      <c r="E34" s="467" t="str">
        <f>IF($A34="","",IF('様式２（専従の常勤）'!I40="","",1))</f>
        <v/>
      </c>
      <c r="F34" s="467" t="str">
        <f>IF($A34="","",IF('様式２（専従の常勤）'!J40="","",1))</f>
        <v/>
      </c>
      <c r="G34" s="467" t="str">
        <f>IF($A34="","",IF('様式２（専従の常勤）'!K40="","",1))</f>
        <v/>
      </c>
      <c r="H34" s="467" t="str">
        <f>IF($A34="","",IF('様式２（専従の常勤）'!L40="","",1))</f>
        <v/>
      </c>
      <c r="I34" s="467" t="str">
        <f>IF($A34="","",IF('様式２（専従の常勤）'!M40="","",1))</f>
        <v/>
      </c>
      <c r="J34" s="467" t="str">
        <f>IF($A34="","",IF('様式２（専従の常勤）'!N40="","",1))</f>
        <v/>
      </c>
      <c r="K34" s="467" t="str">
        <f>IF($A34="","",IF('様式２（専従の常勤）'!O40="","",1))</f>
        <v/>
      </c>
      <c r="L34" s="467" t="str">
        <f>IF($A34="","",IF('様式２（専従の常勤）'!P40="","",1))</f>
        <v/>
      </c>
      <c r="M34" s="467" t="str">
        <f>IF($A34="","",IF('様式２（専従の常勤）'!Q40="","",1))</f>
        <v/>
      </c>
      <c r="N34" s="467" t="str">
        <f>IF($A34="","",IF('様式２（専従の常勤）'!R40="","",1))</f>
        <v/>
      </c>
    </row>
    <row r="35" spans="1:14">
      <c r="A35" s="467" t="str">
        <f>IF('様式２（専従の常勤）'!B41="","",'様式２（専従の常勤）'!B41)</f>
        <v/>
      </c>
      <c r="B35" s="467" t="str">
        <f>IF($A35="","",'様式２（専従の常勤）'!$A$5)</f>
        <v/>
      </c>
      <c r="C35" s="467" t="str">
        <f>IF($A35="","",IF('様式２（専従の常勤）'!G41="","",1))</f>
        <v/>
      </c>
      <c r="D35" s="467" t="str">
        <f>IF($A35="","",IF('様式２（専従の常勤）'!H41="","",1))</f>
        <v/>
      </c>
      <c r="E35" s="467" t="str">
        <f>IF($A35="","",IF('様式２（専従の常勤）'!I41="","",1))</f>
        <v/>
      </c>
      <c r="F35" s="467" t="str">
        <f>IF($A35="","",IF('様式２（専従の常勤）'!J41="","",1))</f>
        <v/>
      </c>
      <c r="G35" s="467" t="str">
        <f>IF($A35="","",IF('様式２（専従の常勤）'!K41="","",1))</f>
        <v/>
      </c>
      <c r="H35" s="467" t="str">
        <f>IF($A35="","",IF('様式２（専従の常勤）'!L41="","",1))</f>
        <v/>
      </c>
      <c r="I35" s="467" t="str">
        <f>IF($A35="","",IF('様式２（専従の常勤）'!M41="","",1))</f>
        <v/>
      </c>
      <c r="J35" s="467" t="str">
        <f>IF($A35="","",IF('様式２（専従の常勤）'!N41="","",1))</f>
        <v/>
      </c>
      <c r="K35" s="467" t="str">
        <f>IF($A35="","",IF('様式２（専従の常勤）'!O41="","",1))</f>
        <v/>
      </c>
      <c r="L35" s="467" t="str">
        <f>IF($A35="","",IF('様式２（専従の常勤）'!P41="","",1))</f>
        <v/>
      </c>
      <c r="M35" s="467" t="str">
        <f>IF($A35="","",IF('様式２（専従の常勤）'!Q41="","",1))</f>
        <v/>
      </c>
      <c r="N35" s="467" t="str">
        <f>IF($A35="","",IF('様式２（専従の常勤）'!R41="","",1))</f>
        <v/>
      </c>
    </row>
    <row r="36" spans="1:14">
      <c r="A36" s="467" t="str">
        <f>IF('様式２（専従の常勤）'!B42="","",'様式２（専従の常勤）'!B42)</f>
        <v/>
      </c>
      <c r="B36" s="467" t="str">
        <f>IF($A36="","",'様式２（専従の常勤）'!$A$5)</f>
        <v/>
      </c>
      <c r="C36" s="467" t="str">
        <f>IF($A36="","",IF('様式２（専従の常勤）'!G42="","",1))</f>
        <v/>
      </c>
      <c r="D36" s="467" t="str">
        <f>IF($A36="","",IF('様式２（専従の常勤）'!H42="","",1))</f>
        <v/>
      </c>
      <c r="E36" s="467" t="str">
        <f>IF($A36="","",IF('様式２（専従の常勤）'!I42="","",1))</f>
        <v/>
      </c>
      <c r="F36" s="467" t="str">
        <f>IF($A36="","",IF('様式２（専従の常勤）'!J42="","",1))</f>
        <v/>
      </c>
      <c r="G36" s="467" t="str">
        <f>IF($A36="","",IF('様式２（専従の常勤）'!K42="","",1))</f>
        <v/>
      </c>
      <c r="H36" s="467" t="str">
        <f>IF($A36="","",IF('様式２（専従の常勤）'!L42="","",1))</f>
        <v/>
      </c>
      <c r="I36" s="467" t="str">
        <f>IF($A36="","",IF('様式２（専従の常勤）'!M42="","",1))</f>
        <v/>
      </c>
      <c r="J36" s="467" t="str">
        <f>IF($A36="","",IF('様式２（専従の常勤）'!N42="","",1))</f>
        <v/>
      </c>
      <c r="K36" s="467" t="str">
        <f>IF($A36="","",IF('様式２（専従の常勤）'!O42="","",1))</f>
        <v/>
      </c>
      <c r="L36" s="467" t="str">
        <f>IF($A36="","",IF('様式２（専従の常勤）'!P42="","",1))</f>
        <v/>
      </c>
      <c r="M36" s="467" t="str">
        <f>IF($A36="","",IF('様式２（専従の常勤）'!Q42="","",1))</f>
        <v/>
      </c>
      <c r="N36" s="467" t="str">
        <f>IF($A36="","",IF('様式２（専従の常勤）'!R42="","",1))</f>
        <v/>
      </c>
    </row>
    <row r="37" spans="1:14">
      <c r="A37" s="467" t="str">
        <f>IF('様式２（専従の常勤）'!B43="","",'様式２（専従の常勤）'!B43)</f>
        <v/>
      </c>
      <c r="B37" s="467" t="str">
        <f>IF($A37="","",'様式２（専従の常勤）'!$A$5)</f>
        <v/>
      </c>
      <c r="C37" s="467" t="str">
        <f>IF($A37="","",IF('様式２（専従の常勤）'!G43="","",1))</f>
        <v/>
      </c>
      <c r="D37" s="467" t="str">
        <f>IF($A37="","",IF('様式２（専従の常勤）'!H43="","",1))</f>
        <v/>
      </c>
      <c r="E37" s="467" t="str">
        <f>IF($A37="","",IF('様式２（専従の常勤）'!I43="","",1))</f>
        <v/>
      </c>
      <c r="F37" s="467" t="str">
        <f>IF($A37="","",IF('様式２（専従の常勤）'!J43="","",1))</f>
        <v/>
      </c>
      <c r="G37" s="467" t="str">
        <f>IF($A37="","",IF('様式２（専従の常勤）'!K43="","",1))</f>
        <v/>
      </c>
      <c r="H37" s="467" t="str">
        <f>IF($A37="","",IF('様式２（専従の常勤）'!L43="","",1))</f>
        <v/>
      </c>
      <c r="I37" s="467" t="str">
        <f>IF($A37="","",IF('様式２（専従の常勤）'!M43="","",1))</f>
        <v/>
      </c>
      <c r="J37" s="467" t="str">
        <f>IF($A37="","",IF('様式２（専従の常勤）'!N43="","",1))</f>
        <v/>
      </c>
      <c r="K37" s="467" t="str">
        <f>IF($A37="","",IF('様式２（専従の常勤）'!O43="","",1))</f>
        <v/>
      </c>
      <c r="L37" s="467" t="str">
        <f>IF($A37="","",IF('様式２（専従の常勤）'!P43="","",1))</f>
        <v/>
      </c>
      <c r="M37" s="467" t="str">
        <f>IF($A37="","",IF('様式２（専従の常勤）'!Q43="","",1))</f>
        <v/>
      </c>
      <c r="N37" s="467" t="str">
        <f>IF($A37="","",IF('様式２（専従の常勤）'!R43="","",1))</f>
        <v/>
      </c>
    </row>
    <row r="38" spans="1:14">
      <c r="A38" s="467" t="str">
        <f>IF('様式２（専従の常勤）'!B44="","",'様式２（専従の常勤）'!B44)</f>
        <v/>
      </c>
      <c r="B38" s="467" t="str">
        <f>IF($A38="","",'様式２（専従の常勤）'!$A$5)</f>
        <v/>
      </c>
      <c r="C38" s="467" t="str">
        <f>IF($A38="","",IF('様式２（専従の常勤）'!G44="","",1))</f>
        <v/>
      </c>
      <c r="D38" s="467" t="str">
        <f>IF($A38="","",IF('様式２（専従の常勤）'!H44="","",1))</f>
        <v/>
      </c>
      <c r="E38" s="467" t="str">
        <f>IF($A38="","",IF('様式２（専従の常勤）'!I44="","",1))</f>
        <v/>
      </c>
      <c r="F38" s="467" t="str">
        <f>IF($A38="","",IF('様式２（専従の常勤）'!J44="","",1))</f>
        <v/>
      </c>
      <c r="G38" s="467" t="str">
        <f>IF($A38="","",IF('様式２（専従の常勤）'!K44="","",1))</f>
        <v/>
      </c>
      <c r="H38" s="467" t="str">
        <f>IF($A38="","",IF('様式２（専従の常勤）'!L44="","",1))</f>
        <v/>
      </c>
      <c r="I38" s="467" t="str">
        <f>IF($A38="","",IF('様式２（専従の常勤）'!M44="","",1))</f>
        <v/>
      </c>
      <c r="J38" s="467" t="str">
        <f>IF($A38="","",IF('様式２（専従の常勤）'!N44="","",1))</f>
        <v/>
      </c>
      <c r="K38" s="467" t="str">
        <f>IF($A38="","",IF('様式２（専従の常勤）'!O44="","",1))</f>
        <v/>
      </c>
      <c r="L38" s="467" t="str">
        <f>IF($A38="","",IF('様式２（専従の常勤）'!P44="","",1))</f>
        <v/>
      </c>
      <c r="M38" s="467" t="str">
        <f>IF($A38="","",IF('様式２（専従の常勤）'!Q44="","",1))</f>
        <v/>
      </c>
      <c r="N38" s="467" t="str">
        <f>IF($A38="","",IF('様式２（専従の常勤）'!R44="","",1))</f>
        <v/>
      </c>
    </row>
    <row r="39" spans="1:14">
      <c r="A39" s="467" t="str">
        <f>IF('様式２（専従の常勤）'!B45="","",'様式２（専従の常勤）'!B45)</f>
        <v/>
      </c>
      <c r="B39" s="467" t="str">
        <f>IF($A39="","",'様式２（専従の常勤）'!$A$5)</f>
        <v/>
      </c>
      <c r="C39" s="467" t="str">
        <f>IF($A39="","",IF('様式２（専従の常勤）'!G45="","",1))</f>
        <v/>
      </c>
      <c r="D39" s="467" t="str">
        <f>IF($A39="","",IF('様式２（専従の常勤）'!H45="","",1))</f>
        <v/>
      </c>
      <c r="E39" s="467" t="str">
        <f>IF($A39="","",IF('様式２（専従の常勤）'!I45="","",1))</f>
        <v/>
      </c>
      <c r="F39" s="467" t="str">
        <f>IF($A39="","",IF('様式２（専従の常勤）'!J45="","",1))</f>
        <v/>
      </c>
      <c r="G39" s="467" t="str">
        <f>IF($A39="","",IF('様式２（専従の常勤）'!K45="","",1))</f>
        <v/>
      </c>
      <c r="H39" s="467" t="str">
        <f>IF($A39="","",IF('様式２（専従の常勤）'!L45="","",1))</f>
        <v/>
      </c>
      <c r="I39" s="467" t="str">
        <f>IF($A39="","",IF('様式２（専従の常勤）'!M45="","",1))</f>
        <v/>
      </c>
      <c r="J39" s="467" t="str">
        <f>IF($A39="","",IF('様式２（専従の常勤）'!N45="","",1))</f>
        <v/>
      </c>
      <c r="K39" s="467" t="str">
        <f>IF($A39="","",IF('様式２（専従の常勤）'!O45="","",1))</f>
        <v/>
      </c>
      <c r="L39" s="467" t="str">
        <f>IF($A39="","",IF('様式２（専従の常勤）'!P45="","",1))</f>
        <v/>
      </c>
      <c r="M39" s="467" t="str">
        <f>IF($A39="","",IF('様式２（専従の常勤）'!Q45="","",1))</f>
        <v/>
      </c>
      <c r="N39" s="467" t="str">
        <f>IF($A39="","",IF('様式２（専従の常勤）'!R45="","",1))</f>
        <v/>
      </c>
    </row>
    <row r="40" spans="1:14">
      <c r="A40" s="467" t="str">
        <f>IF('様式２（専従の常勤）'!B46="","",'様式２（専従の常勤）'!B46)</f>
        <v/>
      </c>
      <c r="B40" s="467" t="str">
        <f>IF($A40="","",'様式２（専従の常勤）'!$A$5)</f>
        <v/>
      </c>
      <c r="C40" s="467" t="str">
        <f>IF($A40="","",IF('様式２（専従の常勤）'!G46="","",1))</f>
        <v/>
      </c>
      <c r="D40" s="467" t="str">
        <f>IF($A40="","",IF('様式２（専従の常勤）'!H46="","",1))</f>
        <v/>
      </c>
      <c r="E40" s="467" t="str">
        <f>IF($A40="","",IF('様式２（専従の常勤）'!I46="","",1))</f>
        <v/>
      </c>
      <c r="F40" s="467" t="str">
        <f>IF($A40="","",IF('様式２（専従の常勤）'!J46="","",1))</f>
        <v/>
      </c>
      <c r="G40" s="467" t="str">
        <f>IF($A40="","",IF('様式２（専従の常勤）'!K46="","",1))</f>
        <v/>
      </c>
      <c r="H40" s="467" t="str">
        <f>IF($A40="","",IF('様式２（専従の常勤）'!L46="","",1))</f>
        <v/>
      </c>
      <c r="I40" s="467" t="str">
        <f>IF($A40="","",IF('様式２（専従の常勤）'!M46="","",1))</f>
        <v/>
      </c>
      <c r="J40" s="467" t="str">
        <f>IF($A40="","",IF('様式２（専従の常勤）'!N46="","",1))</f>
        <v/>
      </c>
      <c r="K40" s="467" t="str">
        <f>IF($A40="","",IF('様式２（専従の常勤）'!O46="","",1))</f>
        <v/>
      </c>
      <c r="L40" s="467" t="str">
        <f>IF($A40="","",IF('様式２（専従の常勤）'!P46="","",1))</f>
        <v/>
      </c>
      <c r="M40" s="467" t="str">
        <f>IF($A40="","",IF('様式２（専従の常勤）'!Q46="","",1))</f>
        <v/>
      </c>
      <c r="N40" s="467" t="str">
        <f>IF($A40="","",IF('様式２（専従の常勤）'!R46="","",1))</f>
        <v/>
      </c>
    </row>
    <row r="41" spans="1:14">
      <c r="A41" s="467" t="str">
        <f>IF('様式２（専従の常勤）'!B47="","",'様式２（専従の常勤）'!B47)</f>
        <v/>
      </c>
      <c r="B41" s="467" t="str">
        <f>IF($A41="","",'様式２（専従の常勤）'!$A$5)</f>
        <v/>
      </c>
      <c r="C41" s="467" t="str">
        <f>IF($A41="","",IF('様式２（専従の常勤）'!G47="","",1))</f>
        <v/>
      </c>
      <c r="D41" s="467" t="str">
        <f>IF($A41="","",IF('様式２（専従の常勤）'!H47="","",1))</f>
        <v/>
      </c>
      <c r="E41" s="467" t="str">
        <f>IF($A41="","",IF('様式２（専従の常勤）'!I47="","",1))</f>
        <v/>
      </c>
      <c r="F41" s="467" t="str">
        <f>IF($A41="","",IF('様式２（専従の常勤）'!J47="","",1))</f>
        <v/>
      </c>
      <c r="G41" s="467" t="str">
        <f>IF($A41="","",IF('様式２（専従の常勤）'!K47="","",1))</f>
        <v/>
      </c>
      <c r="H41" s="467" t="str">
        <f>IF($A41="","",IF('様式２（専従の常勤）'!L47="","",1))</f>
        <v/>
      </c>
      <c r="I41" s="467" t="str">
        <f>IF($A41="","",IF('様式２（専従の常勤）'!M47="","",1))</f>
        <v/>
      </c>
      <c r="J41" s="467" t="str">
        <f>IF($A41="","",IF('様式２（専従の常勤）'!N47="","",1))</f>
        <v/>
      </c>
      <c r="K41" s="467" t="str">
        <f>IF($A41="","",IF('様式２（専従の常勤）'!O47="","",1))</f>
        <v/>
      </c>
      <c r="L41" s="467" t="str">
        <f>IF($A41="","",IF('様式２（専従の常勤）'!P47="","",1))</f>
        <v/>
      </c>
      <c r="M41" s="467" t="str">
        <f>IF($A41="","",IF('様式２（専従の常勤）'!Q47="","",1))</f>
        <v/>
      </c>
      <c r="N41" s="467" t="str">
        <f>IF($A41="","",IF('様式２（専従の常勤）'!R47="","",1))</f>
        <v/>
      </c>
    </row>
    <row r="42" spans="1:14">
      <c r="A42" s="467" t="str">
        <f>IF('様式２（専従の常勤）'!B48="","",'様式２（専従の常勤）'!B48)</f>
        <v/>
      </c>
      <c r="B42" s="467" t="str">
        <f>IF($A42="","",'様式２（専従の常勤）'!$A$5)</f>
        <v/>
      </c>
      <c r="C42" s="467" t="str">
        <f>IF($A42="","",IF('様式２（専従の常勤）'!G48="","",1))</f>
        <v/>
      </c>
      <c r="D42" s="467" t="str">
        <f>IF($A42="","",IF('様式２（専従の常勤）'!H48="","",1))</f>
        <v/>
      </c>
      <c r="E42" s="467" t="str">
        <f>IF($A42="","",IF('様式２（専従の常勤）'!I48="","",1))</f>
        <v/>
      </c>
      <c r="F42" s="467" t="str">
        <f>IF($A42="","",IF('様式２（専従の常勤）'!J48="","",1))</f>
        <v/>
      </c>
      <c r="G42" s="467" t="str">
        <f>IF($A42="","",IF('様式２（専従の常勤）'!K48="","",1))</f>
        <v/>
      </c>
      <c r="H42" s="467" t="str">
        <f>IF($A42="","",IF('様式２（専従の常勤）'!L48="","",1))</f>
        <v/>
      </c>
      <c r="I42" s="467" t="str">
        <f>IF($A42="","",IF('様式２（専従の常勤）'!M48="","",1))</f>
        <v/>
      </c>
      <c r="J42" s="467" t="str">
        <f>IF($A42="","",IF('様式２（専従の常勤）'!N48="","",1))</f>
        <v/>
      </c>
      <c r="K42" s="467" t="str">
        <f>IF($A42="","",IF('様式２（専従の常勤）'!O48="","",1))</f>
        <v/>
      </c>
      <c r="L42" s="467" t="str">
        <f>IF($A42="","",IF('様式２（専従の常勤）'!P48="","",1))</f>
        <v/>
      </c>
      <c r="M42" s="467" t="str">
        <f>IF($A42="","",IF('様式２（専従の常勤）'!Q48="","",1))</f>
        <v/>
      </c>
      <c r="N42" s="467" t="str">
        <f>IF($A42="","",IF('様式２（専従の常勤）'!R48="","",1))</f>
        <v/>
      </c>
    </row>
    <row r="43" spans="1:14">
      <c r="A43" s="467" t="str">
        <f>IF('様式２（専従の常勤）'!B49="","",'様式２（専従の常勤）'!B49)</f>
        <v/>
      </c>
      <c r="B43" s="467" t="str">
        <f>IF($A43="","",'様式２（専従の常勤）'!$A$5)</f>
        <v/>
      </c>
      <c r="C43" s="467" t="str">
        <f>IF($A43="","",IF('様式２（専従の常勤）'!G49="","",1))</f>
        <v/>
      </c>
      <c r="D43" s="467" t="str">
        <f>IF($A43="","",IF('様式２（専従の常勤）'!H49="","",1))</f>
        <v/>
      </c>
      <c r="E43" s="467" t="str">
        <f>IF($A43="","",IF('様式２（専従の常勤）'!I49="","",1))</f>
        <v/>
      </c>
      <c r="F43" s="467" t="str">
        <f>IF($A43="","",IF('様式２（専従の常勤）'!J49="","",1))</f>
        <v/>
      </c>
      <c r="G43" s="467" t="str">
        <f>IF($A43="","",IF('様式２（専従の常勤）'!K49="","",1))</f>
        <v/>
      </c>
      <c r="H43" s="467" t="str">
        <f>IF($A43="","",IF('様式２（専従の常勤）'!L49="","",1))</f>
        <v/>
      </c>
      <c r="I43" s="467" t="str">
        <f>IF($A43="","",IF('様式２（専従の常勤）'!M49="","",1))</f>
        <v/>
      </c>
      <c r="J43" s="467" t="str">
        <f>IF($A43="","",IF('様式２（専従の常勤）'!N49="","",1))</f>
        <v/>
      </c>
      <c r="K43" s="467" t="str">
        <f>IF($A43="","",IF('様式２（専従の常勤）'!O49="","",1))</f>
        <v/>
      </c>
      <c r="L43" s="467" t="str">
        <f>IF($A43="","",IF('様式２（専従の常勤）'!P49="","",1))</f>
        <v/>
      </c>
      <c r="M43" s="467" t="str">
        <f>IF($A43="","",IF('様式２（専従の常勤）'!Q49="","",1))</f>
        <v/>
      </c>
      <c r="N43" s="467" t="str">
        <f>IF($A43="","",IF('様式２（専従の常勤）'!R49="","",1))</f>
        <v/>
      </c>
    </row>
    <row r="44" spans="1:14">
      <c r="A44" s="467" t="str">
        <f>IF('様式２（専従の常勤）'!B50="","",'様式２（専従の常勤）'!B50)</f>
        <v/>
      </c>
      <c r="B44" s="467" t="str">
        <f>IF($A44="","",'様式２（専従の常勤）'!$A$5)</f>
        <v/>
      </c>
      <c r="C44" s="467" t="str">
        <f>IF($A44="","",IF('様式２（専従の常勤）'!G50="","",1))</f>
        <v/>
      </c>
      <c r="D44" s="467" t="str">
        <f>IF($A44="","",IF('様式２（専従の常勤）'!H50="","",1))</f>
        <v/>
      </c>
      <c r="E44" s="467" t="str">
        <f>IF($A44="","",IF('様式２（専従の常勤）'!I50="","",1))</f>
        <v/>
      </c>
      <c r="F44" s="467" t="str">
        <f>IF($A44="","",IF('様式２（専従の常勤）'!J50="","",1))</f>
        <v/>
      </c>
      <c r="G44" s="467" t="str">
        <f>IF($A44="","",IF('様式２（専従の常勤）'!K50="","",1))</f>
        <v/>
      </c>
      <c r="H44" s="467" t="str">
        <f>IF($A44="","",IF('様式２（専従の常勤）'!L50="","",1))</f>
        <v/>
      </c>
      <c r="I44" s="467" t="str">
        <f>IF($A44="","",IF('様式２（専従の常勤）'!M50="","",1))</f>
        <v/>
      </c>
      <c r="J44" s="467" t="str">
        <f>IF($A44="","",IF('様式２（専従の常勤）'!N50="","",1))</f>
        <v/>
      </c>
      <c r="K44" s="467" t="str">
        <f>IF($A44="","",IF('様式２（専従の常勤）'!O50="","",1))</f>
        <v/>
      </c>
      <c r="L44" s="467" t="str">
        <f>IF($A44="","",IF('様式２（専従の常勤）'!P50="","",1))</f>
        <v/>
      </c>
      <c r="M44" s="467" t="str">
        <f>IF($A44="","",IF('様式２（専従の常勤）'!Q50="","",1))</f>
        <v/>
      </c>
      <c r="N44" s="467" t="str">
        <f>IF($A44="","",IF('様式２（専従の常勤）'!R50="","",1))</f>
        <v/>
      </c>
    </row>
    <row r="45" spans="1:14">
      <c r="A45" s="467" t="str">
        <f>IF('様式２（専従の常勤）'!B51="","",'様式２（専従の常勤）'!B51)</f>
        <v/>
      </c>
      <c r="B45" s="467" t="str">
        <f>IF($A45="","",'様式２（専従の常勤）'!$A$5)</f>
        <v/>
      </c>
      <c r="C45" s="467" t="str">
        <f>IF($A45="","",IF('様式２（専従の常勤）'!G51="","",1))</f>
        <v/>
      </c>
      <c r="D45" s="467" t="str">
        <f>IF($A45="","",IF('様式２（専従の常勤）'!H51="","",1))</f>
        <v/>
      </c>
      <c r="E45" s="467" t="str">
        <f>IF($A45="","",IF('様式２（専従の常勤）'!I51="","",1))</f>
        <v/>
      </c>
      <c r="F45" s="467" t="str">
        <f>IF($A45="","",IF('様式２（専従の常勤）'!J51="","",1))</f>
        <v/>
      </c>
      <c r="G45" s="467" t="str">
        <f>IF($A45="","",IF('様式２（専従の常勤）'!K51="","",1))</f>
        <v/>
      </c>
      <c r="H45" s="467" t="str">
        <f>IF($A45="","",IF('様式２（専従の常勤）'!L51="","",1))</f>
        <v/>
      </c>
      <c r="I45" s="467" t="str">
        <f>IF($A45="","",IF('様式２（専従の常勤）'!M51="","",1))</f>
        <v/>
      </c>
      <c r="J45" s="467" t="str">
        <f>IF($A45="","",IF('様式２（専従の常勤）'!N51="","",1))</f>
        <v/>
      </c>
      <c r="K45" s="467" t="str">
        <f>IF($A45="","",IF('様式２（専従の常勤）'!O51="","",1))</f>
        <v/>
      </c>
      <c r="L45" s="467" t="str">
        <f>IF($A45="","",IF('様式２（専従の常勤）'!P51="","",1))</f>
        <v/>
      </c>
      <c r="M45" s="467" t="str">
        <f>IF($A45="","",IF('様式２（専従の常勤）'!Q51="","",1))</f>
        <v/>
      </c>
      <c r="N45" s="467" t="str">
        <f>IF($A45="","",IF('様式２（専従の常勤）'!R51="","",1))</f>
        <v/>
      </c>
    </row>
    <row r="46" spans="1:14">
      <c r="A46" s="467" t="str">
        <f>IF('様式２（専従の常勤）'!B52="","",'様式２（専従の常勤）'!B52)</f>
        <v/>
      </c>
      <c r="B46" s="467" t="str">
        <f>IF($A46="","",'様式２（専従の常勤）'!$A$5)</f>
        <v/>
      </c>
      <c r="C46" s="467" t="str">
        <f>IF($A46="","",IF('様式２（専従の常勤）'!G52="","",1))</f>
        <v/>
      </c>
      <c r="D46" s="467" t="str">
        <f>IF($A46="","",IF('様式２（専従の常勤）'!H52="","",1))</f>
        <v/>
      </c>
      <c r="E46" s="467" t="str">
        <f>IF($A46="","",IF('様式２（専従の常勤）'!I52="","",1))</f>
        <v/>
      </c>
      <c r="F46" s="467" t="str">
        <f>IF($A46="","",IF('様式２（専従の常勤）'!J52="","",1))</f>
        <v/>
      </c>
      <c r="G46" s="467" t="str">
        <f>IF($A46="","",IF('様式２（専従の常勤）'!K52="","",1))</f>
        <v/>
      </c>
      <c r="H46" s="467" t="str">
        <f>IF($A46="","",IF('様式２（専従の常勤）'!L52="","",1))</f>
        <v/>
      </c>
      <c r="I46" s="467" t="str">
        <f>IF($A46="","",IF('様式２（専従の常勤）'!M52="","",1))</f>
        <v/>
      </c>
      <c r="J46" s="467" t="str">
        <f>IF($A46="","",IF('様式２（専従の常勤）'!N52="","",1))</f>
        <v/>
      </c>
      <c r="K46" s="467" t="str">
        <f>IF($A46="","",IF('様式２（専従の常勤）'!O52="","",1))</f>
        <v/>
      </c>
      <c r="L46" s="467" t="str">
        <f>IF($A46="","",IF('様式２（専従の常勤）'!P52="","",1))</f>
        <v/>
      </c>
      <c r="M46" s="467" t="str">
        <f>IF($A46="","",IF('様式２（専従の常勤）'!Q52="","",1))</f>
        <v/>
      </c>
      <c r="N46" s="467" t="str">
        <f>IF($A46="","",IF('様式２（専従の常勤）'!R52="","",1))</f>
        <v/>
      </c>
    </row>
    <row r="47" spans="1:14">
      <c r="A47" s="467" t="str">
        <f>IF('様式２（専従の常勤）'!B53="","",'様式２（専従の常勤）'!B53)</f>
        <v/>
      </c>
      <c r="B47" s="467" t="str">
        <f>IF($A47="","",'様式２（専従の常勤）'!$A$5)</f>
        <v/>
      </c>
      <c r="C47" s="467" t="str">
        <f>IF($A47="","",IF('様式２（専従の常勤）'!G53="","",1))</f>
        <v/>
      </c>
      <c r="D47" s="467" t="str">
        <f>IF($A47="","",IF('様式２（専従の常勤）'!H53="","",1))</f>
        <v/>
      </c>
      <c r="E47" s="467" t="str">
        <f>IF($A47="","",IF('様式２（専従の常勤）'!I53="","",1))</f>
        <v/>
      </c>
      <c r="F47" s="467" t="str">
        <f>IF($A47="","",IF('様式２（専従の常勤）'!J53="","",1))</f>
        <v/>
      </c>
      <c r="G47" s="467" t="str">
        <f>IF($A47="","",IF('様式２（専従の常勤）'!K53="","",1))</f>
        <v/>
      </c>
      <c r="H47" s="467" t="str">
        <f>IF($A47="","",IF('様式２（専従の常勤）'!L53="","",1))</f>
        <v/>
      </c>
      <c r="I47" s="467" t="str">
        <f>IF($A47="","",IF('様式２（専従の常勤）'!M53="","",1))</f>
        <v/>
      </c>
      <c r="J47" s="467" t="str">
        <f>IF($A47="","",IF('様式２（専従の常勤）'!N53="","",1))</f>
        <v/>
      </c>
      <c r="K47" s="467" t="str">
        <f>IF($A47="","",IF('様式２（専従の常勤）'!O53="","",1))</f>
        <v/>
      </c>
      <c r="L47" s="467" t="str">
        <f>IF($A47="","",IF('様式２（専従の常勤）'!P53="","",1))</f>
        <v/>
      </c>
      <c r="M47" s="467" t="str">
        <f>IF($A47="","",IF('様式２（専従の常勤）'!Q53="","",1))</f>
        <v/>
      </c>
      <c r="N47" s="467" t="str">
        <f>IF($A47="","",IF('様式２（専従の常勤）'!R53="","",1))</f>
        <v/>
      </c>
    </row>
    <row r="48" spans="1:14">
      <c r="A48" s="467" t="str">
        <f>IF('様式２（専従の常勤）'!B54="","",'様式２（専従の常勤）'!B54)</f>
        <v/>
      </c>
      <c r="B48" s="467" t="str">
        <f>IF($A48="","",'様式２（専従の常勤）'!$A$5)</f>
        <v/>
      </c>
      <c r="C48" s="467" t="str">
        <f>IF($A48="","",IF('様式２（専従の常勤）'!G54="","",1))</f>
        <v/>
      </c>
      <c r="D48" s="467" t="str">
        <f>IF($A48="","",IF('様式２（専従の常勤）'!H54="","",1))</f>
        <v/>
      </c>
      <c r="E48" s="467" t="str">
        <f>IF($A48="","",IF('様式２（専従の常勤）'!I54="","",1))</f>
        <v/>
      </c>
      <c r="F48" s="467" t="str">
        <f>IF($A48="","",IF('様式２（専従の常勤）'!J54="","",1))</f>
        <v/>
      </c>
      <c r="G48" s="467" t="str">
        <f>IF($A48="","",IF('様式２（専従の常勤）'!K54="","",1))</f>
        <v/>
      </c>
      <c r="H48" s="467" t="str">
        <f>IF($A48="","",IF('様式２（専従の常勤）'!L54="","",1))</f>
        <v/>
      </c>
      <c r="I48" s="467" t="str">
        <f>IF($A48="","",IF('様式２（専従の常勤）'!M54="","",1))</f>
        <v/>
      </c>
      <c r="J48" s="467" t="str">
        <f>IF($A48="","",IF('様式２（専従の常勤）'!N54="","",1))</f>
        <v/>
      </c>
      <c r="K48" s="467" t="str">
        <f>IF($A48="","",IF('様式２（専従の常勤）'!O54="","",1))</f>
        <v/>
      </c>
      <c r="L48" s="467" t="str">
        <f>IF($A48="","",IF('様式２（専従の常勤）'!P54="","",1))</f>
        <v/>
      </c>
      <c r="M48" s="467" t="str">
        <f>IF($A48="","",IF('様式２（専従の常勤）'!Q54="","",1))</f>
        <v/>
      </c>
      <c r="N48" s="467" t="str">
        <f>IF($A48="","",IF('様式２（専従の常勤）'!R54="","",1))</f>
        <v/>
      </c>
    </row>
    <row r="49" spans="1:14">
      <c r="A49" s="467" t="str">
        <f>IF('様式２（専従の常勤）'!B55="","",'様式２（専従の常勤）'!B55)</f>
        <v/>
      </c>
      <c r="B49" s="467" t="str">
        <f>IF($A49="","",'様式２（専従の常勤）'!$A$5)</f>
        <v/>
      </c>
      <c r="C49" s="467" t="str">
        <f>IF($A49="","",IF('様式２（専従の常勤）'!G55="","",1))</f>
        <v/>
      </c>
      <c r="D49" s="467" t="str">
        <f>IF($A49="","",IF('様式２（専従の常勤）'!H55="","",1))</f>
        <v/>
      </c>
      <c r="E49" s="467" t="str">
        <f>IF($A49="","",IF('様式２（専従の常勤）'!I55="","",1))</f>
        <v/>
      </c>
      <c r="F49" s="467" t="str">
        <f>IF($A49="","",IF('様式２（専従の常勤）'!J55="","",1))</f>
        <v/>
      </c>
      <c r="G49" s="467" t="str">
        <f>IF($A49="","",IF('様式２（専従の常勤）'!K55="","",1))</f>
        <v/>
      </c>
      <c r="H49" s="467" t="str">
        <f>IF($A49="","",IF('様式２（専従の常勤）'!L55="","",1))</f>
        <v/>
      </c>
      <c r="I49" s="467" t="str">
        <f>IF($A49="","",IF('様式２（専従の常勤）'!M55="","",1))</f>
        <v/>
      </c>
      <c r="J49" s="467" t="str">
        <f>IF($A49="","",IF('様式２（専従の常勤）'!N55="","",1))</f>
        <v/>
      </c>
      <c r="K49" s="467" t="str">
        <f>IF($A49="","",IF('様式２（専従の常勤）'!O55="","",1))</f>
        <v/>
      </c>
      <c r="L49" s="467" t="str">
        <f>IF($A49="","",IF('様式２（専従の常勤）'!P55="","",1))</f>
        <v/>
      </c>
      <c r="M49" s="467" t="str">
        <f>IF($A49="","",IF('様式２（専従の常勤）'!Q55="","",1))</f>
        <v/>
      </c>
      <c r="N49" s="467" t="str">
        <f>IF($A49="","",IF('様式２（専従の常勤）'!R55="","",1))</f>
        <v/>
      </c>
    </row>
    <row r="50" spans="1:14">
      <c r="A50" s="467" t="str">
        <f>IF('様式２（専従の常勤）'!B56="","",'様式２（専従の常勤）'!B56)</f>
        <v/>
      </c>
      <c r="B50" s="467" t="str">
        <f>IF($A50="","",'様式２（専従の常勤）'!$A$5)</f>
        <v/>
      </c>
      <c r="C50" s="467" t="str">
        <f>IF($A50="","",IF('様式２（専従の常勤）'!G56="","",1))</f>
        <v/>
      </c>
      <c r="D50" s="467" t="str">
        <f>IF($A50="","",IF('様式２（専従の常勤）'!H56="","",1))</f>
        <v/>
      </c>
      <c r="E50" s="467" t="str">
        <f>IF($A50="","",IF('様式２（専従の常勤）'!I56="","",1))</f>
        <v/>
      </c>
      <c r="F50" s="467" t="str">
        <f>IF($A50="","",IF('様式２（専従の常勤）'!J56="","",1))</f>
        <v/>
      </c>
      <c r="G50" s="467" t="str">
        <f>IF($A50="","",IF('様式２（専従の常勤）'!K56="","",1))</f>
        <v/>
      </c>
      <c r="H50" s="467" t="str">
        <f>IF($A50="","",IF('様式２（専従の常勤）'!L56="","",1))</f>
        <v/>
      </c>
      <c r="I50" s="467" t="str">
        <f>IF($A50="","",IF('様式２（専従の常勤）'!M56="","",1))</f>
        <v/>
      </c>
      <c r="J50" s="467" t="str">
        <f>IF($A50="","",IF('様式２（専従の常勤）'!N56="","",1))</f>
        <v/>
      </c>
      <c r="K50" s="467" t="str">
        <f>IF($A50="","",IF('様式２（専従の常勤）'!O56="","",1))</f>
        <v/>
      </c>
      <c r="L50" s="467" t="str">
        <f>IF($A50="","",IF('様式２（専従の常勤）'!P56="","",1))</f>
        <v/>
      </c>
      <c r="M50" s="467" t="str">
        <f>IF($A50="","",IF('様式２（専従の常勤）'!Q56="","",1))</f>
        <v/>
      </c>
      <c r="N50" s="467" t="str">
        <f>IF($A50="","",IF('様式２（専従の常勤）'!R56="","",1))</f>
        <v/>
      </c>
    </row>
    <row r="51" spans="1:14">
      <c r="A51" s="467" t="str">
        <f>IF('様式２（専従の常勤）'!B57="","",'様式２（専従の常勤）'!B57)</f>
        <v/>
      </c>
      <c r="B51" s="467" t="str">
        <f>IF($A51="","",'様式２（専従の常勤）'!$A$5)</f>
        <v/>
      </c>
      <c r="C51" s="467" t="str">
        <f>IF($A51="","",IF('様式２（専従の常勤）'!G57="","",1))</f>
        <v/>
      </c>
      <c r="D51" s="467" t="str">
        <f>IF($A51="","",IF('様式２（専従の常勤）'!H57="","",1))</f>
        <v/>
      </c>
      <c r="E51" s="467" t="str">
        <f>IF($A51="","",IF('様式２（専従の常勤）'!I57="","",1))</f>
        <v/>
      </c>
      <c r="F51" s="467" t="str">
        <f>IF($A51="","",IF('様式２（専従の常勤）'!J57="","",1))</f>
        <v/>
      </c>
      <c r="G51" s="467" t="str">
        <f>IF($A51="","",IF('様式２（専従の常勤）'!K57="","",1))</f>
        <v/>
      </c>
      <c r="H51" s="467" t="str">
        <f>IF($A51="","",IF('様式２（専従の常勤）'!L57="","",1))</f>
        <v/>
      </c>
      <c r="I51" s="467" t="str">
        <f>IF($A51="","",IF('様式２（専従の常勤）'!M57="","",1))</f>
        <v/>
      </c>
      <c r="J51" s="467" t="str">
        <f>IF($A51="","",IF('様式２（専従の常勤）'!N57="","",1))</f>
        <v/>
      </c>
      <c r="K51" s="467" t="str">
        <f>IF($A51="","",IF('様式２（専従の常勤）'!O57="","",1))</f>
        <v/>
      </c>
      <c r="L51" s="467" t="str">
        <f>IF($A51="","",IF('様式２（専従の常勤）'!P57="","",1))</f>
        <v/>
      </c>
      <c r="M51" s="467" t="str">
        <f>IF($A51="","",IF('様式２（専従の常勤）'!Q57="","",1))</f>
        <v/>
      </c>
      <c r="N51" s="467" t="str">
        <f>IF($A51="","",IF('様式２（専従の常勤）'!R57="","",1))</f>
        <v/>
      </c>
    </row>
    <row r="52" spans="1:14">
      <c r="A52" s="468" t="str">
        <f>IF('様式３（非専従の常勤＋非常勤）'!B9="","",'様式３（非専従の常勤＋非常勤）'!B9)</f>
        <v/>
      </c>
      <c r="B52" s="468" t="str">
        <f>IF($A52="","",'様式３（非専従の常勤＋非常勤）'!$A$4)</f>
        <v/>
      </c>
      <c r="C52" s="468" t="str">
        <f>IF($A52="","",IF(SUM('様式３（非専従の常勤＋非常勤）'!$N9:$O9)&gt;0,1,""))</f>
        <v/>
      </c>
      <c r="D52" s="468" t="str">
        <f>IF($A52="","",IF(SUM('様式３（非専従の常勤＋非常勤）'!$P9:$Q9)&gt;0,1,""))</f>
        <v/>
      </c>
      <c r="E52" s="468" t="str">
        <f>IF($A52="","",IF(SUM('様式３（非専従の常勤＋非常勤）'!$R9:$S9)&gt;0,1,""))</f>
        <v/>
      </c>
      <c r="F52" s="468" t="str">
        <f>IF($A52="","",IF(SUM('様式３（非専従の常勤＋非常勤）'!$T9:$U9)&gt;0,1,""))</f>
        <v/>
      </c>
      <c r="G52" s="468" t="str">
        <f>IF($A52="","",IF(SUM('様式３（非専従の常勤＋非常勤）'!$V9:$W9)&gt;0,1,""))</f>
        <v/>
      </c>
      <c r="H52" s="468" t="str">
        <f>IF($A52="","",IF(SUM('様式３（非専従の常勤＋非常勤）'!$X9:$Y9)&gt;0,1,""))</f>
        <v/>
      </c>
      <c r="I52" s="468" t="str">
        <f>IF($A52="","",IF(SUM('様式３（非専従の常勤＋非常勤）'!$Z9:$AA9)&gt;0,1,""))</f>
        <v/>
      </c>
      <c r="J52" s="468" t="str">
        <f>IF($A52="","",IF(SUM('様式３（非専従の常勤＋非常勤）'!$AB9:$AC9)&gt;0,1,""))</f>
        <v/>
      </c>
      <c r="K52" s="468" t="str">
        <f>IF($A52="","",IF(SUM('様式３（非専従の常勤＋非常勤）'!$AD9:$AE9)&gt;0,1,""))</f>
        <v/>
      </c>
      <c r="L52" s="468" t="str">
        <f>IF($A52="","",IF(SUM('様式３（非専従の常勤＋非常勤）'!$AF9:$AG9)&gt;0,1,""))</f>
        <v/>
      </c>
      <c r="M52" s="468" t="str">
        <f>IF($A52="","",IF(SUM('様式３（非専従の常勤＋非常勤）'!$AH9:$AI9)&gt;0,1,""))</f>
        <v/>
      </c>
      <c r="N52" s="468" t="str">
        <f>IF($A52="","",IF(SUM('様式３（非専従の常勤＋非常勤）'!$AJ9:$AK9)&gt;0,1,""))</f>
        <v/>
      </c>
    </row>
    <row r="53" spans="1:14">
      <c r="A53" s="468" t="str">
        <f>IF('様式３（非専従の常勤＋非常勤）'!B10="","",'様式３（非専従の常勤＋非常勤）'!B10)</f>
        <v/>
      </c>
      <c r="B53" s="468" t="str">
        <f>IF($A53="","",'様式３（非専従の常勤＋非常勤）'!$A$4)</f>
        <v/>
      </c>
      <c r="C53" s="468" t="str">
        <f>IF($A53="","",IF(SUM('様式３（非専従の常勤＋非常勤）'!$N10:$O10)&gt;0,1,""))</f>
        <v/>
      </c>
      <c r="D53" s="468" t="str">
        <f>IF($A53="","",IF(SUM('様式３（非専従の常勤＋非常勤）'!$P10:$Q10)&gt;0,1,""))</f>
        <v/>
      </c>
      <c r="E53" s="468" t="str">
        <f>IF($A53="","",IF(SUM('様式３（非専従の常勤＋非常勤）'!$R10:$S10)&gt;0,1,""))</f>
        <v/>
      </c>
      <c r="F53" s="468" t="str">
        <f>IF($A53="","",IF(SUM('様式３（非専従の常勤＋非常勤）'!$T10:$U10)&gt;0,1,""))</f>
        <v/>
      </c>
      <c r="G53" s="468" t="str">
        <f>IF($A53="","",IF(SUM('様式３（非専従の常勤＋非常勤）'!$V10:$W10)&gt;0,1,""))</f>
        <v/>
      </c>
      <c r="H53" s="468" t="str">
        <f>IF($A53="","",IF(SUM('様式３（非専従の常勤＋非常勤）'!$X10:$Y10)&gt;0,1,""))</f>
        <v/>
      </c>
      <c r="I53" s="468" t="str">
        <f>IF($A53="","",IF(SUM('様式３（非専従の常勤＋非常勤）'!$Z10:$AA10)&gt;0,1,""))</f>
        <v/>
      </c>
      <c r="J53" s="468" t="str">
        <f>IF($A53="","",IF(SUM('様式３（非専従の常勤＋非常勤）'!$AB10:$AC10)&gt;0,1,""))</f>
        <v/>
      </c>
      <c r="K53" s="468" t="str">
        <f>IF($A53="","",IF(SUM('様式３（非専従の常勤＋非常勤）'!$AD10:$AE10)&gt;0,1,""))</f>
        <v/>
      </c>
      <c r="L53" s="468" t="str">
        <f>IF($A53="","",IF(SUM('様式３（非専従の常勤＋非常勤）'!$AF10:$AG10)&gt;0,1,""))</f>
        <v/>
      </c>
      <c r="M53" s="468" t="str">
        <f>IF($A53="","",IF(SUM('様式３（非専従の常勤＋非常勤）'!$AH10:$AI10)&gt;0,1,""))</f>
        <v/>
      </c>
      <c r="N53" s="468" t="str">
        <f>IF($A53="","",IF(SUM('様式３（非専従の常勤＋非常勤）'!$AJ10:$AK10)&gt;0,1,""))</f>
        <v/>
      </c>
    </row>
    <row r="54" spans="1:14">
      <c r="A54" s="468" t="str">
        <f>IF('様式３（非専従の常勤＋非常勤）'!B11="","",'様式３（非専従の常勤＋非常勤）'!B11)</f>
        <v/>
      </c>
      <c r="B54" s="468" t="str">
        <f>IF($A54="","",'様式３（非専従の常勤＋非常勤）'!$A$4)</f>
        <v/>
      </c>
      <c r="C54" s="468" t="str">
        <f>IF($A54="","",IF(SUM('様式３（非専従の常勤＋非常勤）'!$N11:$O11)&gt;0,1,""))</f>
        <v/>
      </c>
      <c r="D54" s="468" t="str">
        <f>IF($A54="","",IF(SUM('様式３（非専従の常勤＋非常勤）'!$P11:$Q11)&gt;0,1,""))</f>
        <v/>
      </c>
      <c r="E54" s="468" t="str">
        <f>IF($A54="","",IF(SUM('様式３（非専従の常勤＋非常勤）'!$R11:$S11)&gt;0,1,""))</f>
        <v/>
      </c>
      <c r="F54" s="468" t="str">
        <f>IF($A54="","",IF(SUM('様式３（非専従の常勤＋非常勤）'!$T11:$U11)&gt;0,1,""))</f>
        <v/>
      </c>
      <c r="G54" s="468" t="str">
        <f>IF($A54="","",IF(SUM('様式３（非専従の常勤＋非常勤）'!$V11:$W11)&gt;0,1,""))</f>
        <v/>
      </c>
      <c r="H54" s="468" t="str">
        <f>IF($A54="","",IF(SUM('様式３（非専従の常勤＋非常勤）'!$X11:$Y11)&gt;0,1,""))</f>
        <v/>
      </c>
      <c r="I54" s="468" t="str">
        <f>IF($A54="","",IF(SUM('様式３（非専従の常勤＋非常勤）'!$Z11:$AA11)&gt;0,1,""))</f>
        <v/>
      </c>
      <c r="J54" s="468" t="str">
        <f>IF($A54="","",IF(SUM('様式３（非専従の常勤＋非常勤）'!$AB11:$AC11)&gt;0,1,""))</f>
        <v/>
      </c>
      <c r="K54" s="468" t="str">
        <f>IF($A54="","",IF(SUM('様式３（非専従の常勤＋非常勤）'!$AD11:$AE11)&gt;0,1,""))</f>
        <v/>
      </c>
      <c r="L54" s="468" t="str">
        <f>IF($A54="","",IF(SUM('様式３（非専従の常勤＋非常勤）'!$AF11:$AG11)&gt;0,1,""))</f>
        <v/>
      </c>
      <c r="M54" s="468" t="str">
        <f>IF($A54="","",IF(SUM('様式３（非専従の常勤＋非常勤）'!$AH11:$AI11)&gt;0,1,""))</f>
        <v/>
      </c>
      <c r="N54" s="468" t="str">
        <f>IF($A54="","",IF(SUM('様式３（非専従の常勤＋非常勤）'!$AJ11:$AK11)&gt;0,1,""))</f>
        <v/>
      </c>
    </row>
    <row r="55" spans="1:14">
      <c r="A55" s="468" t="str">
        <f>IF('様式３（非専従の常勤＋非常勤）'!B12="","",'様式３（非専従の常勤＋非常勤）'!B12)</f>
        <v/>
      </c>
      <c r="B55" s="468" t="str">
        <f>IF($A55="","",'様式３（非専従の常勤＋非常勤）'!$A$4)</f>
        <v/>
      </c>
      <c r="C55" s="468" t="str">
        <f>IF($A55="","",IF(SUM('様式３（非専従の常勤＋非常勤）'!$N12:$O12)&gt;0,1,""))</f>
        <v/>
      </c>
      <c r="D55" s="468" t="str">
        <f>IF($A55="","",IF(SUM('様式３（非専従の常勤＋非常勤）'!$P12:$Q12)&gt;0,1,""))</f>
        <v/>
      </c>
      <c r="E55" s="468" t="str">
        <f>IF($A55="","",IF(SUM('様式３（非専従の常勤＋非常勤）'!$R12:$S12)&gt;0,1,""))</f>
        <v/>
      </c>
      <c r="F55" s="468" t="str">
        <f>IF($A55="","",IF(SUM('様式３（非専従の常勤＋非常勤）'!$T12:$U12)&gt;0,1,""))</f>
        <v/>
      </c>
      <c r="G55" s="468" t="str">
        <f>IF($A55="","",IF(SUM('様式３（非専従の常勤＋非常勤）'!$V12:$W12)&gt;0,1,""))</f>
        <v/>
      </c>
      <c r="H55" s="468" t="str">
        <f>IF($A55="","",IF(SUM('様式３（非専従の常勤＋非常勤）'!$X12:$Y12)&gt;0,1,""))</f>
        <v/>
      </c>
      <c r="I55" s="468" t="str">
        <f>IF($A55="","",IF(SUM('様式３（非専従の常勤＋非常勤）'!$Z12:$AA12)&gt;0,1,""))</f>
        <v/>
      </c>
      <c r="J55" s="468" t="str">
        <f>IF($A55="","",IF(SUM('様式３（非専従の常勤＋非常勤）'!$AB12:$AC12)&gt;0,1,""))</f>
        <v/>
      </c>
      <c r="K55" s="468" t="str">
        <f>IF($A55="","",IF(SUM('様式３（非専従の常勤＋非常勤）'!$AD12:$AE12)&gt;0,1,""))</f>
        <v/>
      </c>
      <c r="L55" s="468" t="str">
        <f>IF($A55="","",IF(SUM('様式３（非専従の常勤＋非常勤）'!$AF12:$AG12)&gt;0,1,""))</f>
        <v/>
      </c>
      <c r="M55" s="468" t="str">
        <f>IF($A55="","",IF(SUM('様式３（非専従の常勤＋非常勤）'!$AH12:$AI12)&gt;0,1,""))</f>
        <v/>
      </c>
      <c r="N55" s="468" t="str">
        <f>IF($A55="","",IF(SUM('様式３（非専従の常勤＋非常勤）'!$AJ12:$AK12)&gt;0,1,""))</f>
        <v/>
      </c>
    </row>
    <row r="56" spans="1:14">
      <c r="A56" s="468" t="str">
        <f>IF('様式３（非専従の常勤＋非常勤）'!B13="","",'様式３（非専従の常勤＋非常勤）'!B13)</f>
        <v/>
      </c>
      <c r="B56" s="468" t="str">
        <f>IF($A56="","",'様式３（非専従の常勤＋非常勤）'!$A$4)</f>
        <v/>
      </c>
      <c r="C56" s="468" t="str">
        <f>IF($A56="","",IF(SUM('様式３（非専従の常勤＋非常勤）'!$N13:$O13)&gt;0,1,""))</f>
        <v/>
      </c>
      <c r="D56" s="468" t="str">
        <f>IF($A56="","",IF(SUM('様式３（非専従の常勤＋非常勤）'!$P13:$Q13)&gt;0,1,""))</f>
        <v/>
      </c>
      <c r="E56" s="468" t="str">
        <f>IF($A56="","",IF(SUM('様式３（非専従の常勤＋非常勤）'!$R13:$S13)&gt;0,1,""))</f>
        <v/>
      </c>
      <c r="F56" s="468" t="str">
        <f>IF($A56="","",IF(SUM('様式３（非専従の常勤＋非常勤）'!$T13:$U13)&gt;0,1,""))</f>
        <v/>
      </c>
      <c r="G56" s="468" t="str">
        <f>IF($A56="","",IF(SUM('様式３（非専従の常勤＋非常勤）'!$V13:$W13)&gt;0,1,""))</f>
        <v/>
      </c>
      <c r="H56" s="468" t="str">
        <f>IF($A56="","",IF(SUM('様式３（非専従の常勤＋非常勤）'!$X13:$Y13)&gt;0,1,""))</f>
        <v/>
      </c>
      <c r="I56" s="468" t="str">
        <f>IF($A56="","",IF(SUM('様式３（非専従の常勤＋非常勤）'!$Z13:$AA13)&gt;0,1,""))</f>
        <v/>
      </c>
      <c r="J56" s="468" t="str">
        <f>IF($A56="","",IF(SUM('様式３（非専従の常勤＋非常勤）'!$AB13:$AC13)&gt;0,1,""))</f>
        <v/>
      </c>
      <c r="K56" s="468" t="str">
        <f>IF($A56="","",IF(SUM('様式３（非専従の常勤＋非常勤）'!$AD13:$AE13)&gt;0,1,""))</f>
        <v/>
      </c>
      <c r="L56" s="468" t="str">
        <f>IF($A56="","",IF(SUM('様式３（非専従の常勤＋非常勤）'!$AF13:$AG13)&gt;0,1,""))</f>
        <v/>
      </c>
      <c r="M56" s="468" t="str">
        <f>IF($A56="","",IF(SUM('様式３（非専従の常勤＋非常勤）'!$AH13:$AI13)&gt;0,1,""))</f>
        <v/>
      </c>
      <c r="N56" s="468" t="str">
        <f>IF($A56="","",IF(SUM('様式３（非専従の常勤＋非常勤）'!$AJ13:$AK13)&gt;0,1,""))</f>
        <v/>
      </c>
    </row>
    <row r="57" spans="1:14">
      <c r="A57" s="468" t="str">
        <f>IF('様式３（非専従の常勤＋非常勤）'!B14="","",'様式３（非専従の常勤＋非常勤）'!B14)</f>
        <v/>
      </c>
      <c r="B57" s="468" t="str">
        <f>IF($A57="","",'様式３（非専従の常勤＋非常勤）'!$A$4)</f>
        <v/>
      </c>
      <c r="C57" s="468" t="str">
        <f>IF($A57="","",IF(SUM('様式３（非専従の常勤＋非常勤）'!$N14:$O14)&gt;0,1,""))</f>
        <v/>
      </c>
      <c r="D57" s="468" t="str">
        <f>IF($A57="","",IF(SUM('様式３（非専従の常勤＋非常勤）'!$P14:$Q14)&gt;0,1,""))</f>
        <v/>
      </c>
      <c r="E57" s="468" t="str">
        <f>IF($A57="","",IF(SUM('様式３（非専従の常勤＋非常勤）'!$R14:$S14)&gt;0,1,""))</f>
        <v/>
      </c>
      <c r="F57" s="468" t="str">
        <f>IF($A57="","",IF(SUM('様式３（非専従の常勤＋非常勤）'!$T14:$U14)&gt;0,1,""))</f>
        <v/>
      </c>
      <c r="G57" s="468" t="str">
        <f>IF($A57="","",IF(SUM('様式３（非専従の常勤＋非常勤）'!$V14:$W14)&gt;0,1,""))</f>
        <v/>
      </c>
      <c r="H57" s="468" t="str">
        <f>IF($A57="","",IF(SUM('様式３（非専従の常勤＋非常勤）'!$X14:$Y14)&gt;0,1,""))</f>
        <v/>
      </c>
      <c r="I57" s="468" t="str">
        <f>IF($A57="","",IF(SUM('様式３（非専従の常勤＋非常勤）'!$Z14:$AA14)&gt;0,1,""))</f>
        <v/>
      </c>
      <c r="J57" s="468" t="str">
        <f>IF($A57="","",IF(SUM('様式３（非専従の常勤＋非常勤）'!$AB14:$AC14)&gt;0,1,""))</f>
        <v/>
      </c>
      <c r="K57" s="468" t="str">
        <f>IF($A57="","",IF(SUM('様式３（非専従の常勤＋非常勤）'!$AD14:$AE14)&gt;0,1,""))</f>
        <v/>
      </c>
      <c r="L57" s="468" t="str">
        <f>IF($A57="","",IF(SUM('様式３（非専従の常勤＋非常勤）'!$AF14:$AG14)&gt;0,1,""))</f>
        <v/>
      </c>
      <c r="M57" s="468" t="str">
        <f>IF($A57="","",IF(SUM('様式３（非専従の常勤＋非常勤）'!$AH14:$AI14)&gt;0,1,""))</f>
        <v/>
      </c>
      <c r="N57" s="468" t="str">
        <f>IF($A57="","",IF(SUM('様式３（非専従の常勤＋非常勤）'!$AJ14:$AK14)&gt;0,1,""))</f>
        <v/>
      </c>
    </row>
    <row r="58" spans="1:14">
      <c r="A58" s="468" t="str">
        <f>IF('様式３（非専従の常勤＋非常勤）'!B15="","",'様式３（非専従の常勤＋非常勤）'!B15)</f>
        <v/>
      </c>
      <c r="B58" s="468" t="str">
        <f>IF($A58="","",'様式３（非専従の常勤＋非常勤）'!$A$4)</f>
        <v/>
      </c>
      <c r="C58" s="468" t="str">
        <f>IF($A58="","",IF(SUM('様式３（非専従の常勤＋非常勤）'!$N15:$O15)&gt;0,1,""))</f>
        <v/>
      </c>
      <c r="D58" s="468" t="str">
        <f>IF($A58="","",IF(SUM('様式３（非専従の常勤＋非常勤）'!$P15:$Q15)&gt;0,1,""))</f>
        <v/>
      </c>
      <c r="E58" s="468" t="str">
        <f>IF($A58="","",IF(SUM('様式３（非専従の常勤＋非常勤）'!$R15:$S15)&gt;0,1,""))</f>
        <v/>
      </c>
      <c r="F58" s="468" t="str">
        <f>IF($A58="","",IF(SUM('様式３（非専従の常勤＋非常勤）'!$T15:$U15)&gt;0,1,""))</f>
        <v/>
      </c>
      <c r="G58" s="468" t="str">
        <f>IF($A58="","",IF(SUM('様式３（非専従の常勤＋非常勤）'!$V15:$W15)&gt;0,1,""))</f>
        <v/>
      </c>
      <c r="H58" s="468" t="str">
        <f>IF($A58="","",IF(SUM('様式３（非専従の常勤＋非常勤）'!$X15:$Y15)&gt;0,1,""))</f>
        <v/>
      </c>
      <c r="I58" s="468" t="str">
        <f>IF($A58="","",IF(SUM('様式３（非専従の常勤＋非常勤）'!$Z15:$AA15)&gt;0,1,""))</f>
        <v/>
      </c>
      <c r="J58" s="468" t="str">
        <f>IF($A58="","",IF(SUM('様式３（非専従の常勤＋非常勤）'!$AB15:$AC15)&gt;0,1,""))</f>
        <v/>
      </c>
      <c r="K58" s="468" t="str">
        <f>IF($A58="","",IF(SUM('様式３（非専従の常勤＋非常勤）'!$AD15:$AE15)&gt;0,1,""))</f>
        <v/>
      </c>
      <c r="L58" s="468" t="str">
        <f>IF($A58="","",IF(SUM('様式３（非専従の常勤＋非常勤）'!$AF15:$AG15)&gt;0,1,""))</f>
        <v/>
      </c>
      <c r="M58" s="468" t="str">
        <f>IF($A58="","",IF(SUM('様式３（非専従の常勤＋非常勤）'!$AH15:$AI15)&gt;0,1,""))</f>
        <v/>
      </c>
      <c r="N58" s="468" t="str">
        <f>IF($A58="","",IF(SUM('様式３（非専従の常勤＋非常勤）'!$AJ15:$AK15)&gt;0,1,""))</f>
        <v/>
      </c>
    </row>
    <row r="59" spans="1:14">
      <c r="A59" s="468" t="str">
        <f>IF('様式３（非専従の常勤＋非常勤）'!B16="","",'様式３（非専従の常勤＋非常勤）'!B16)</f>
        <v/>
      </c>
      <c r="B59" s="468" t="str">
        <f>IF($A59="","",'様式３（非専従の常勤＋非常勤）'!$A$4)</f>
        <v/>
      </c>
      <c r="C59" s="468" t="str">
        <f>IF($A59="","",IF(SUM('様式３（非専従の常勤＋非常勤）'!$N16:$O16)&gt;0,1,""))</f>
        <v/>
      </c>
      <c r="D59" s="468" t="str">
        <f>IF($A59="","",IF(SUM('様式３（非専従の常勤＋非常勤）'!$P16:$Q16)&gt;0,1,""))</f>
        <v/>
      </c>
      <c r="E59" s="468" t="str">
        <f>IF($A59="","",IF(SUM('様式３（非専従の常勤＋非常勤）'!$R16:$S16)&gt;0,1,""))</f>
        <v/>
      </c>
      <c r="F59" s="468" t="str">
        <f>IF($A59="","",IF(SUM('様式３（非専従の常勤＋非常勤）'!$T16:$U16)&gt;0,1,""))</f>
        <v/>
      </c>
      <c r="G59" s="468" t="str">
        <f>IF($A59="","",IF(SUM('様式３（非専従の常勤＋非常勤）'!$V16:$W16)&gt;0,1,""))</f>
        <v/>
      </c>
      <c r="H59" s="468" t="str">
        <f>IF($A59="","",IF(SUM('様式３（非専従の常勤＋非常勤）'!$X16:$Y16)&gt;0,1,""))</f>
        <v/>
      </c>
      <c r="I59" s="468" t="str">
        <f>IF($A59="","",IF(SUM('様式３（非専従の常勤＋非常勤）'!$Z16:$AA16)&gt;0,1,""))</f>
        <v/>
      </c>
      <c r="J59" s="468" t="str">
        <f>IF($A59="","",IF(SUM('様式３（非専従の常勤＋非常勤）'!$AB16:$AC16)&gt;0,1,""))</f>
        <v/>
      </c>
      <c r="K59" s="468" t="str">
        <f>IF($A59="","",IF(SUM('様式３（非専従の常勤＋非常勤）'!$AD16:$AE16)&gt;0,1,""))</f>
        <v/>
      </c>
      <c r="L59" s="468" t="str">
        <f>IF($A59="","",IF(SUM('様式３（非専従の常勤＋非常勤）'!$AF16:$AG16)&gt;0,1,""))</f>
        <v/>
      </c>
      <c r="M59" s="468" t="str">
        <f>IF($A59="","",IF(SUM('様式３（非専従の常勤＋非常勤）'!$AH16:$AI16)&gt;0,1,""))</f>
        <v/>
      </c>
      <c r="N59" s="468" t="str">
        <f>IF($A59="","",IF(SUM('様式３（非専従の常勤＋非常勤）'!$AJ16:$AK16)&gt;0,1,""))</f>
        <v/>
      </c>
    </row>
    <row r="60" spans="1:14">
      <c r="A60" s="468" t="str">
        <f>IF('様式３（非専従の常勤＋非常勤）'!B17="","",'様式３（非専従の常勤＋非常勤）'!B17)</f>
        <v/>
      </c>
      <c r="B60" s="468" t="str">
        <f>IF($A60="","",'様式３（非専従の常勤＋非常勤）'!$A$4)</f>
        <v/>
      </c>
      <c r="C60" s="468" t="str">
        <f>IF($A60="","",IF(SUM('様式３（非専従の常勤＋非常勤）'!$N17:$O17)&gt;0,1,""))</f>
        <v/>
      </c>
      <c r="D60" s="468" t="str">
        <f>IF($A60="","",IF(SUM('様式３（非専従の常勤＋非常勤）'!$P17:$Q17)&gt;0,1,""))</f>
        <v/>
      </c>
      <c r="E60" s="468" t="str">
        <f>IF($A60="","",IF(SUM('様式３（非専従の常勤＋非常勤）'!$R17:$S17)&gt;0,1,""))</f>
        <v/>
      </c>
      <c r="F60" s="468" t="str">
        <f>IF($A60="","",IF(SUM('様式３（非専従の常勤＋非常勤）'!$T17:$U17)&gt;0,1,""))</f>
        <v/>
      </c>
      <c r="G60" s="468" t="str">
        <f>IF($A60="","",IF(SUM('様式３（非専従の常勤＋非常勤）'!$V17:$W17)&gt;0,1,""))</f>
        <v/>
      </c>
      <c r="H60" s="468" t="str">
        <f>IF($A60="","",IF(SUM('様式３（非専従の常勤＋非常勤）'!$X17:$Y17)&gt;0,1,""))</f>
        <v/>
      </c>
      <c r="I60" s="468" t="str">
        <f>IF($A60="","",IF(SUM('様式３（非専従の常勤＋非常勤）'!$Z17:$AA17)&gt;0,1,""))</f>
        <v/>
      </c>
      <c r="J60" s="468" t="str">
        <f>IF($A60="","",IF(SUM('様式３（非専従の常勤＋非常勤）'!$AB17:$AC17)&gt;0,1,""))</f>
        <v/>
      </c>
      <c r="K60" s="468" t="str">
        <f>IF($A60="","",IF(SUM('様式３（非専従の常勤＋非常勤）'!$AD17:$AE17)&gt;0,1,""))</f>
        <v/>
      </c>
      <c r="L60" s="468" t="str">
        <f>IF($A60="","",IF(SUM('様式３（非専従の常勤＋非常勤）'!$AF17:$AG17)&gt;0,1,""))</f>
        <v/>
      </c>
      <c r="M60" s="468" t="str">
        <f>IF($A60="","",IF(SUM('様式３（非専従の常勤＋非常勤）'!$AH17:$AI17)&gt;0,1,""))</f>
        <v/>
      </c>
      <c r="N60" s="468" t="str">
        <f>IF($A60="","",IF(SUM('様式３（非専従の常勤＋非常勤）'!$AJ17:$AK17)&gt;0,1,""))</f>
        <v/>
      </c>
    </row>
    <row r="61" spans="1:14">
      <c r="A61" s="468" t="str">
        <f>IF('様式３（非専従の常勤＋非常勤）'!B18="","",'様式３（非専従の常勤＋非常勤）'!B18)</f>
        <v/>
      </c>
      <c r="B61" s="468" t="str">
        <f>IF($A61="","",'様式３（非専従の常勤＋非常勤）'!$A$4)</f>
        <v/>
      </c>
      <c r="C61" s="468" t="str">
        <f>IF($A61="","",IF(SUM('様式３（非専従の常勤＋非常勤）'!$N18:$O18)&gt;0,1,""))</f>
        <v/>
      </c>
      <c r="D61" s="468" t="str">
        <f>IF($A61="","",IF(SUM('様式３（非専従の常勤＋非常勤）'!$P18:$Q18)&gt;0,1,""))</f>
        <v/>
      </c>
      <c r="E61" s="468" t="str">
        <f>IF($A61="","",IF(SUM('様式３（非専従の常勤＋非常勤）'!$R18:$S18)&gt;0,1,""))</f>
        <v/>
      </c>
      <c r="F61" s="468" t="str">
        <f>IF($A61="","",IF(SUM('様式３（非専従の常勤＋非常勤）'!$T18:$U18)&gt;0,1,""))</f>
        <v/>
      </c>
      <c r="G61" s="468" t="str">
        <f>IF($A61="","",IF(SUM('様式３（非専従の常勤＋非常勤）'!$V18:$W18)&gt;0,1,""))</f>
        <v/>
      </c>
      <c r="H61" s="468" t="str">
        <f>IF($A61="","",IF(SUM('様式３（非専従の常勤＋非常勤）'!$X18:$Y18)&gt;0,1,""))</f>
        <v/>
      </c>
      <c r="I61" s="468" t="str">
        <f>IF($A61="","",IF(SUM('様式３（非専従の常勤＋非常勤）'!$Z18:$AA18)&gt;0,1,""))</f>
        <v/>
      </c>
      <c r="J61" s="468" t="str">
        <f>IF($A61="","",IF(SUM('様式３（非専従の常勤＋非常勤）'!$AB18:$AC18)&gt;0,1,""))</f>
        <v/>
      </c>
      <c r="K61" s="468" t="str">
        <f>IF($A61="","",IF(SUM('様式３（非専従の常勤＋非常勤）'!$AD18:$AE18)&gt;0,1,""))</f>
        <v/>
      </c>
      <c r="L61" s="468" t="str">
        <f>IF($A61="","",IF(SUM('様式３（非専従の常勤＋非常勤）'!$AF18:$AG18)&gt;0,1,""))</f>
        <v/>
      </c>
      <c r="M61" s="468" t="str">
        <f>IF($A61="","",IF(SUM('様式３（非専従の常勤＋非常勤）'!$AH18:$AI18)&gt;0,1,""))</f>
        <v/>
      </c>
      <c r="N61" s="468" t="str">
        <f>IF($A61="","",IF(SUM('様式３（非専従の常勤＋非常勤）'!$AJ18:$AK18)&gt;0,1,""))</f>
        <v/>
      </c>
    </row>
    <row r="62" spans="1:14">
      <c r="A62" s="468" t="str">
        <f>IF('様式３（非専従の常勤＋非常勤）'!B19="","",'様式３（非専従の常勤＋非常勤）'!B19)</f>
        <v/>
      </c>
      <c r="B62" s="468" t="str">
        <f>IF($A62="","",'様式３（非専従の常勤＋非常勤）'!$A$4)</f>
        <v/>
      </c>
      <c r="C62" s="468" t="str">
        <f>IF($A62="","",IF(SUM('様式３（非専従の常勤＋非常勤）'!$N19:$O19)&gt;0,1,""))</f>
        <v/>
      </c>
      <c r="D62" s="468" t="str">
        <f>IF($A62="","",IF(SUM('様式３（非専従の常勤＋非常勤）'!$P19:$Q19)&gt;0,1,""))</f>
        <v/>
      </c>
      <c r="E62" s="468" t="str">
        <f>IF($A62="","",IF(SUM('様式３（非専従の常勤＋非常勤）'!$R19:$S19)&gt;0,1,""))</f>
        <v/>
      </c>
      <c r="F62" s="468" t="str">
        <f>IF($A62="","",IF(SUM('様式３（非専従の常勤＋非常勤）'!$T19:$U19)&gt;0,1,""))</f>
        <v/>
      </c>
      <c r="G62" s="468" t="str">
        <f>IF($A62="","",IF(SUM('様式３（非専従の常勤＋非常勤）'!$V19:$W19)&gt;0,1,""))</f>
        <v/>
      </c>
      <c r="H62" s="468" t="str">
        <f>IF($A62="","",IF(SUM('様式３（非専従の常勤＋非常勤）'!$X19:$Y19)&gt;0,1,""))</f>
        <v/>
      </c>
      <c r="I62" s="468" t="str">
        <f>IF($A62="","",IF(SUM('様式３（非専従の常勤＋非常勤）'!$Z19:$AA19)&gt;0,1,""))</f>
        <v/>
      </c>
      <c r="J62" s="468" t="str">
        <f>IF($A62="","",IF(SUM('様式３（非専従の常勤＋非常勤）'!$AB19:$AC19)&gt;0,1,""))</f>
        <v/>
      </c>
      <c r="K62" s="468" t="str">
        <f>IF($A62="","",IF(SUM('様式３（非専従の常勤＋非常勤）'!$AD19:$AE19)&gt;0,1,""))</f>
        <v/>
      </c>
      <c r="L62" s="468" t="str">
        <f>IF($A62="","",IF(SUM('様式３（非専従の常勤＋非常勤）'!$AF19:$AG19)&gt;0,1,""))</f>
        <v/>
      </c>
      <c r="M62" s="468" t="str">
        <f>IF($A62="","",IF(SUM('様式３（非専従の常勤＋非常勤）'!$AH19:$AI19)&gt;0,1,""))</f>
        <v/>
      </c>
      <c r="N62" s="468" t="str">
        <f>IF($A62="","",IF(SUM('様式３（非専従の常勤＋非常勤）'!$AJ19:$AK19)&gt;0,1,""))</f>
        <v/>
      </c>
    </row>
    <row r="63" spans="1:14">
      <c r="A63" s="468" t="str">
        <f>IF('様式３（非専従の常勤＋非常勤）'!B20="","",'様式３（非専従の常勤＋非常勤）'!B20)</f>
        <v/>
      </c>
      <c r="B63" s="468" t="str">
        <f>IF($A63="","",'様式３（非専従の常勤＋非常勤）'!$A$4)</f>
        <v/>
      </c>
      <c r="C63" s="468" t="str">
        <f>IF($A63="","",IF(SUM('様式３（非専従の常勤＋非常勤）'!$N20:$O20)&gt;0,1,""))</f>
        <v/>
      </c>
      <c r="D63" s="468" t="str">
        <f>IF($A63="","",IF(SUM('様式３（非専従の常勤＋非常勤）'!$P20:$Q20)&gt;0,1,""))</f>
        <v/>
      </c>
      <c r="E63" s="468" t="str">
        <f>IF($A63="","",IF(SUM('様式３（非専従の常勤＋非常勤）'!$R20:$S20)&gt;0,1,""))</f>
        <v/>
      </c>
      <c r="F63" s="468" t="str">
        <f>IF($A63="","",IF(SUM('様式３（非専従の常勤＋非常勤）'!$T20:$U20)&gt;0,1,""))</f>
        <v/>
      </c>
      <c r="G63" s="468" t="str">
        <f>IF($A63="","",IF(SUM('様式３（非専従の常勤＋非常勤）'!$V20:$W20)&gt;0,1,""))</f>
        <v/>
      </c>
      <c r="H63" s="468" t="str">
        <f>IF($A63="","",IF(SUM('様式３（非専従の常勤＋非常勤）'!$X20:$Y20)&gt;0,1,""))</f>
        <v/>
      </c>
      <c r="I63" s="468" t="str">
        <f>IF($A63="","",IF(SUM('様式３（非専従の常勤＋非常勤）'!$Z20:$AA20)&gt;0,1,""))</f>
        <v/>
      </c>
      <c r="J63" s="468" t="str">
        <f>IF($A63="","",IF(SUM('様式３（非専従の常勤＋非常勤）'!$AB20:$AC20)&gt;0,1,""))</f>
        <v/>
      </c>
      <c r="K63" s="468" t="str">
        <f>IF($A63="","",IF(SUM('様式３（非専従の常勤＋非常勤）'!$AD20:$AE20)&gt;0,1,""))</f>
        <v/>
      </c>
      <c r="L63" s="468" t="str">
        <f>IF($A63="","",IF(SUM('様式３（非専従の常勤＋非常勤）'!$AF20:$AG20)&gt;0,1,""))</f>
        <v/>
      </c>
      <c r="M63" s="468" t="str">
        <f>IF($A63="","",IF(SUM('様式３（非専従の常勤＋非常勤）'!$AH20:$AI20)&gt;0,1,""))</f>
        <v/>
      </c>
      <c r="N63" s="468" t="str">
        <f>IF($A63="","",IF(SUM('様式３（非専従の常勤＋非常勤）'!$AJ20:$AK20)&gt;0,1,""))</f>
        <v/>
      </c>
    </row>
    <row r="64" spans="1:14">
      <c r="A64" s="468" t="str">
        <f>IF('様式３（非専従の常勤＋非常勤）'!B21="","",'様式３（非専従の常勤＋非常勤）'!B21)</f>
        <v/>
      </c>
      <c r="B64" s="468" t="str">
        <f>IF($A64="","",'様式３（非専従の常勤＋非常勤）'!$A$4)</f>
        <v/>
      </c>
      <c r="C64" s="468" t="str">
        <f>IF($A64="","",IF(SUM('様式３（非専従の常勤＋非常勤）'!$N21:$O21)&gt;0,1,""))</f>
        <v/>
      </c>
      <c r="D64" s="468" t="str">
        <f>IF($A64="","",IF(SUM('様式３（非専従の常勤＋非常勤）'!$P21:$Q21)&gt;0,1,""))</f>
        <v/>
      </c>
      <c r="E64" s="468" t="str">
        <f>IF($A64="","",IF(SUM('様式３（非専従の常勤＋非常勤）'!$R21:$S21)&gt;0,1,""))</f>
        <v/>
      </c>
      <c r="F64" s="468" t="str">
        <f>IF($A64="","",IF(SUM('様式３（非専従の常勤＋非常勤）'!$T21:$U21)&gt;0,1,""))</f>
        <v/>
      </c>
      <c r="G64" s="468" t="str">
        <f>IF($A64="","",IF(SUM('様式３（非専従の常勤＋非常勤）'!$V21:$W21)&gt;0,1,""))</f>
        <v/>
      </c>
      <c r="H64" s="468" t="str">
        <f>IF($A64="","",IF(SUM('様式３（非専従の常勤＋非常勤）'!$X21:$Y21)&gt;0,1,""))</f>
        <v/>
      </c>
      <c r="I64" s="468" t="str">
        <f>IF($A64="","",IF(SUM('様式３（非専従の常勤＋非常勤）'!$Z21:$AA21)&gt;0,1,""))</f>
        <v/>
      </c>
      <c r="J64" s="468" t="str">
        <f>IF($A64="","",IF(SUM('様式３（非専従の常勤＋非常勤）'!$AB21:$AC21)&gt;0,1,""))</f>
        <v/>
      </c>
      <c r="K64" s="468" t="str">
        <f>IF($A64="","",IF(SUM('様式３（非専従の常勤＋非常勤）'!$AD21:$AE21)&gt;0,1,""))</f>
        <v/>
      </c>
      <c r="L64" s="468" t="str">
        <f>IF($A64="","",IF(SUM('様式３（非専従の常勤＋非常勤）'!$AF21:$AG21)&gt;0,1,""))</f>
        <v/>
      </c>
      <c r="M64" s="468" t="str">
        <f>IF($A64="","",IF(SUM('様式３（非専従の常勤＋非常勤）'!$AH21:$AI21)&gt;0,1,""))</f>
        <v/>
      </c>
      <c r="N64" s="468" t="str">
        <f>IF($A64="","",IF(SUM('様式３（非専従の常勤＋非常勤）'!$AJ21:$AK21)&gt;0,1,""))</f>
        <v/>
      </c>
    </row>
    <row r="65" spans="1:14">
      <c r="A65" s="468" t="str">
        <f>IF('様式３（非専従の常勤＋非常勤）'!B22="","",'様式３（非専従の常勤＋非常勤）'!B22)</f>
        <v/>
      </c>
      <c r="B65" s="468" t="str">
        <f>IF($A65="","",'様式３（非専従の常勤＋非常勤）'!$A$4)</f>
        <v/>
      </c>
      <c r="C65" s="468" t="str">
        <f>IF($A65="","",IF(SUM('様式３（非専従の常勤＋非常勤）'!$N22:$O22)&gt;0,1,""))</f>
        <v/>
      </c>
      <c r="D65" s="468" t="str">
        <f>IF($A65="","",IF(SUM('様式３（非専従の常勤＋非常勤）'!$P22:$Q22)&gt;0,1,""))</f>
        <v/>
      </c>
      <c r="E65" s="468" t="str">
        <f>IF($A65="","",IF(SUM('様式３（非専従の常勤＋非常勤）'!$R22:$S22)&gt;0,1,""))</f>
        <v/>
      </c>
      <c r="F65" s="468" t="str">
        <f>IF($A65="","",IF(SUM('様式３（非専従の常勤＋非常勤）'!$T22:$U22)&gt;0,1,""))</f>
        <v/>
      </c>
      <c r="G65" s="468" t="str">
        <f>IF($A65="","",IF(SUM('様式３（非専従の常勤＋非常勤）'!$V22:$W22)&gt;0,1,""))</f>
        <v/>
      </c>
      <c r="H65" s="468" t="str">
        <f>IF($A65="","",IF(SUM('様式３（非専従の常勤＋非常勤）'!$X22:$Y22)&gt;0,1,""))</f>
        <v/>
      </c>
      <c r="I65" s="468" t="str">
        <f>IF($A65="","",IF(SUM('様式３（非専従の常勤＋非常勤）'!$Z22:$AA22)&gt;0,1,""))</f>
        <v/>
      </c>
      <c r="J65" s="468" t="str">
        <f>IF($A65="","",IF(SUM('様式３（非専従の常勤＋非常勤）'!$AB22:$AC22)&gt;0,1,""))</f>
        <v/>
      </c>
      <c r="K65" s="468" t="str">
        <f>IF($A65="","",IF(SUM('様式３（非専従の常勤＋非常勤）'!$AD22:$AE22)&gt;0,1,""))</f>
        <v/>
      </c>
      <c r="L65" s="468" t="str">
        <f>IF($A65="","",IF(SUM('様式３（非専従の常勤＋非常勤）'!$AF22:$AG22)&gt;0,1,""))</f>
        <v/>
      </c>
      <c r="M65" s="468" t="str">
        <f>IF($A65="","",IF(SUM('様式３（非専従の常勤＋非常勤）'!$AH22:$AI22)&gt;0,1,""))</f>
        <v/>
      </c>
      <c r="N65" s="468" t="str">
        <f>IF($A65="","",IF(SUM('様式３（非専従の常勤＋非常勤）'!$AJ22:$AK22)&gt;0,1,""))</f>
        <v/>
      </c>
    </row>
    <row r="66" spans="1:14">
      <c r="A66" s="468" t="str">
        <f>IF('様式３（非専従の常勤＋非常勤）'!B23="","",'様式３（非専従の常勤＋非常勤）'!B23)</f>
        <v/>
      </c>
      <c r="B66" s="468" t="str">
        <f>IF($A66="","",'様式３（非専従の常勤＋非常勤）'!$A$4)</f>
        <v/>
      </c>
      <c r="C66" s="468" t="str">
        <f>IF($A66="","",IF(SUM('様式３（非専従の常勤＋非常勤）'!$N23:$O23)&gt;0,1,""))</f>
        <v/>
      </c>
      <c r="D66" s="468" t="str">
        <f>IF($A66="","",IF(SUM('様式３（非専従の常勤＋非常勤）'!$P23:$Q23)&gt;0,1,""))</f>
        <v/>
      </c>
      <c r="E66" s="468" t="str">
        <f>IF($A66="","",IF(SUM('様式３（非専従の常勤＋非常勤）'!$R23:$S23)&gt;0,1,""))</f>
        <v/>
      </c>
      <c r="F66" s="468" t="str">
        <f>IF($A66="","",IF(SUM('様式３（非専従の常勤＋非常勤）'!$T23:$U23)&gt;0,1,""))</f>
        <v/>
      </c>
      <c r="G66" s="468" t="str">
        <f>IF($A66="","",IF(SUM('様式３（非専従の常勤＋非常勤）'!$V23:$W23)&gt;0,1,""))</f>
        <v/>
      </c>
      <c r="H66" s="468" t="str">
        <f>IF($A66="","",IF(SUM('様式３（非専従の常勤＋非常勤）'!$X23:$Y23)&gt;0,1,""))</f>
        <v/>
      </c>
      <c r="I66" s="468" t="str">
        <f>IF($A66="","",IF(SUM('様式３（非専従の常勤＋非常勤）'!$Z23:$AA23)&gt;0,1,""))</f>
        <v/>
      </c>
      <c r="J66" s="468" t="str">
        <f>IF($A66="","",IF(SUM('様式３（非専従の常勤＋非常勤）'!$AB23:$AC23)&gt;0,1,""))</f>
        <v/>
      </c>
      <c r="K66" s="468" t="str">
        <f>IF($A66="","",IF(SUM('様式３（非専従の常勤＋非常勤）'!$AD23:$AE23)&gt;0,1,""))</f>
        <v/>
      </c>
      <c r="L66" s="468" t="str">
        <f>IF($A66="","",IF(SUM('様式３（非専従の常勤＋非常勤）'!$AF23:$AG23)&gt;0,1,""))</f>
        <v/>
      </c>
      <c r="M66" s="468" t="str">
        <f>IF($A66="","",IF(SUM('様式３（非専従の常勤＋非常勤）'!$AH23:$AI23)&gt;0,1,""))</f>
        <v/>
      </c>
      <c r="N66" s="468" t="str">
        <f>IF($A66="","",IF(SUM('様式３（非専従の常勤＋非常勤）'!$AJ23:$AK23)&gt;0,1,""))</f>
        <v/>
      </c>
    </row>
    <row r="67" spans="1:14">
      <c r="A67" s="468" t="str">
        <f>IF('様式３（非専従の常勤＋非常勤）'!B24="","",'様式３（非専従の常勤＋非常勤）'!B24)</f>
        <v/>
      </c>
      <c r="B67" s="468" t="str">
        <f>IF($A67="","",'様式３（非専従の常勤＋非常勤）'!$A$4)</f>
        <v/>
      </c>
      <c r="C67" s="468" t="str">
        <f>IF($A67="","",IF(SUM('様式３（非専従の常勤＋非常勤）'!$N24:$O24)&gt;0,1,""))</f>
        <v/>
      </c>
      <c r="D67" s="468" t="str">
        <f>IF($A67="","",IF(SUM('様式３（非専従の常勤＋非常勤）'!$P24:$Q24)&gt;0,1,""))</f>
        <v/>
      </c>
      <c r="E67" s="468" t="str">
        <f>IF($A67="","",IF(SUM('様式３（非専従の常勤＋非常勤）'!$R24:$S24)&gt;0,1,""))</f>
        <v/>
      </c>
      <c r="F67" s="468" t="str">
        <f>IF($A67="","",IF(SUM('様式３（非専従の常勤＋非常勤）'!$T24:$U24)&gt;0,1,""))</f>
        <v/>
      </c>
      <c r="G67" s="468" t="str">
        <f>IF($A67="","",IF(SUM('様式３（非専従の常勤＋非常勤）'!$V24:$W24)&gt;0,1,""))</f>
        <v/>
      </c>
      <c r="H67" s="468" t="str">
        <f>IF($A67="","",IF(SUM('様式３（非専従の常勤＋非常勤）'!$X24:$Y24)&gt;0,1,""))</f>
        <v/>
      </c>
      <c r="I67" s="468" t="str">
        <f>IF($A67="","",IF(SUM('様式３（非専従の常勤＋非常勤）'!$Z24:$AA24)&gt;0,1,""))</f>
        <v/>
      </c>
      <c r="J67" s="468" t="str">
        <f>IF($A67="","",IF(SUM('様式３（非専従の常勤＋非常勤）'!$AB24:$AC24)&gt;0,1,""))</f>
        <v/>
      </c>
      <c r="K67" s="468" t="str">
        <f>IF($A67="","",IF(SUM('様式３（非専従の常勤＋非常勤）'!$AD24:$AE24)&gt;0,1,""))</f>
        <v/>
      </c>
      <c r="L67" s="468" t="str">
        <f>IF($A67="","",IF(SUM('様式３（非専従の常勤＋非常勤）'!$AF24:$AG24)&gt;0,1,""))</f>
        <v/>
      </c>
      <c r="M67" s="468" t="str">
        <f>IF($A67="","",IF(SUM('様式３（非専従の常勤＋非常勤）'!$AH24:$AI24)&gt;0,1,""))</f>
        <v/>
      </c>
      <c r="N67" s="468" t="str">
        <f>IF($A67="","",IF(SUM('様式３（非専従の常勤＋非常勤）'!$AJ24:$AK24)&gt;0,1,""))</f>
        <v/>
      </c>
    </row>
    <row r="68" spans="1:14">
      <c r="A68" s="468" t="str">
        <f>IF('様式３（非専従の常勤＋非常勤）'!B25="","",'様式３（非専従の常勤＋非常勤）'!B25)</f>
        <v/>
      </c>
      <c r="B68" s="468" t="str">
        <f>IF($A68="","",'様式３（非専従の常勤＋非常勤）'!$A$4)</f>
        <v/>
      </c>
      <c r="C68" s="468" t="str">
        <f>IF($A68="","",IF(SUM('様式３（非専従の常勤＋非常勤）'!$N25:$O25)&gt;0,1,""))</f>
        <v/>
      </c>
      <c r="D68" s="468" t="str">
        <f>IF($A68="","",IF(SUM('様式３（非専従の常勤＋非常勤）'!$P25:$Q25)&gt;0,1,""))</f>
        <v/>
      </c>
      <c r="E68" s="468" t="str">
        <f>IF($A68="","",IF(SUM('様式３（非専従の常勤＋非常勤）'!$R25:$S25)&gt;0,1,""))</f>
        <v/>
      </c>
      <c r="F68" s="468" t="str">
        <f>IF($A68="","",IF(SUM('様式３（非専従の常勤＋非常勤）'!$T25:$U25)&gt;0,1,""))</f>
        <v/>
      </c>
      <c r="G68" s="468" t="str">
        <f>IF($A68="","",IF(SUM('様式３（非専従の常勤＋非常勤）'!$V25:$W25)&gt;0,1,""))</f>
        <v/>
      </c>
      <c r="H68" s="468" t="str">
        <f>IF($A68="","",IF(SUM('様式３（非専従の常勤＋非常勤）'!$X25:$Y25)&gt;0,1,""))</f>
        <v/>
      </c>
      <c r="I68" s="468" t="str">
        <f>IF($A68="","",IF(SUM('様式３（非専従の常勤＋非常勤）'!$Z25:$AA25)&gt;0,1,""))</f>
        <v/>
      </c>
      <c r="J68" s="468" t="str">
        <f>IF($A68="","",IF(SUM('様式３（非専従の常勤＋非常勤）'!$AB25:$AC25)&gt;0,1,""))</f>
        <v/>
      </c>
      <c r="K68" s="468" t="str">
        <f>IF($A68="","",IF(SUM('様式３（非専従の常勤＋非常勤）'!$AD25:$AE25)&gt;0,1,""))</f>
        <v/>
      </c>
      <c r="L68" s="468" t="str">
        <f>IF($A68="","",IF(SUM('様式３（非専従の常勤＋非常勤）'!$AF25:$AG25)&gt;0,1,""))</f>
        <v/>
      </c>
      <c r="M68" s="468" t="str">
        <f>IF($A68="","",IF(SUM('様式３（非専従の常勤＋非常勤）'!$AH25:$AI25)&gt;0,1,""))</f>
        <v/>
      </c>
      <c r="N68" s="468" t="str">
        <f>IF($A68="","",IF(SUM('様式３（非専従の常勤＋非常勤）'!$AJ25:$AK25)&gt;0,1,""))</f>
        <v/>
      </c>
    </row>
    <row r="69" spans="1:14">
      <c r="A69" s="468" t="str">
        <f>IF('様式３（非専従の常勤＋非常勤）'!B26="","",'様式３（非専従の常勤＋非常勤）'!B26)</f>
        <v/>
      </c>
      <c r="B69" s="468" t="str">
        <f>IF($A69="","",'様式３（非専従の常勤＋非常勤）'!$A$4)</f>
        <v/>
      </c>
      <c r="C69" s="468" t="str">
        <f>IF($A69="","",IF(SUM('様式３（非専従の常勤＋非常勤）'!$N26:$O26)&gt;0,1,""))</f>
        <v/>
      </c>
      <c r="D69" s="468" t="str">
        <f>IF($A69="","",IF(SUM('様式３（非専従の常勤＋非常勤）'!$P26:$Q26)&gt;0,1,""))</f>
        <v/>
      </c>
      <c r="E69" s="468" t="str">
        <f>IF($A69="","",IF(SUM('様式３（非専従の常勤＋非常勤）'!$R26:$S26)&gt;0,1,""))</f>
        <v/>
      </c>
      <c r="F69" s="468" t="str">
        <f>IF($A69="","",IF(SUM('様式３（非専従の常勤＋非常勤）'!$T26:$U26)&gt;0,1,""))</f>
        <v/>
      </c>
      <c r="G69" s="468" t="str">
        <f>IF($A69="","",IF(SUM('様式３（非専従の常勤＋非常勤）'!$V26:$W26)&gt;0,1,""))</f>
        <v/>
      </c>
      <c r="H69" s="468" t="str">
        <f>IF($A69="","",IF(SUM('様式３（非専従の常勤＋非常勤）'!$X26:$Y26)&gt;0,1,""))</f>
        <v/>
      </c>
      <c r="I69" s="468" t="str">
        <f>IF($A69="","",IF(SUM('様式３（非専従の常勤＋非常勤）'!$Z26:$AA26)&gt;0,1,""))</f>
        <v/>
      </c>
      <c r="J69" s="468" t="str">
        <f>IF($A69="","",IF(SUM('様式３（非専従の常勤＋非常勤）'!$AB26:$AC26)&gt;0,1,""))</f>
        <v/>
      </c>
      <c r="K69" s="468" t="str">
        <f>IF($A69="","",IF(SUM('様式３（非専従の常勤＋非常勤）'!$AD26:$AE26)&gt;0,1,""))</f>
        <v/>
      </c>
      <c r="L69" s="468" t="str">
        <f>IF($A69="","",IF(SUM('様式３（非専従の常勤＋非常勤）'!$AF26:$AG26)&gt;0,1,""))</f>
        <v/>
      </c>
      <c r="M69" s="468" t="str">
        <f>IF($A69="","",IF(SUM('様式３（非専従の常勤＋非常勤）'!$AH26:$AI26)&gt;0,1,""))</f>
        <v/>
      </c>
      <c r="N69" s="468" t="str">
        <f>IF($A69="","",IF(SUM('様式３（非専従の常勤＋非常勤）'!$AJ26:$AK26)&gt;0,1,""))</f>
        <v/>
      </c>
    </row>
    <row r="70" spans="1:14">
      <c r="A70" s="468" t="str">
        <f>IF('様式３（非専従の常勤＋非常勤）'!B27="","",'様式３（非専従の常勤＋非常勤）'!B27)</f>
        <v/>
      </c>
      <c r="B70" s="468" t="str">
        <f>IF($A70="","",'様式３（非専従の常勤＋非常勤）'!$A$4)</f>
        <v/>
      </c>
      <c r="C70" s="468" t="str">
        <f>IF($A70="","",IF(SUM('様式３（非専従の常勤＋非常勤）'!$N27:$O27)&gt;0,1,""))</f>
        <v/>
      </c>
      <c r="D70" s="468" t="str">
        <f>IF($A70="","",IF(SUM('様式３（非専従の常勤＋非常勤）'!$P27:$Q27)&gt;0,1,""))</f>
        <v/>
      </c>
      <c r="E70" s="468" t="str">
        <f>IF($A70="","",IF(SUM('様式３（非専従の常勤＋非常勤）'!$R27:$S27)&gt;0,1,""))</f>
        <v/>
      </c>
      <c r="F70" s="468" t="str">
        <f>IF($A70="","",IF(SUM('様式３（非専従の常勤＋非常勤）'!$T27:$U27)&gt;0,1,""))</f>
        <v/>
      </c>
      <c r="G70" s="468" t="str">
        <f>IF($A70="","",IF(SUM('様式３（非専従の常勤＋非常勤）'!$V27:$W27)&gt;0,1,""))</f>
        <v/>
      </c>
      <c r="H70" s="468" t="str">
        <f>IF($A70="","",IF(SUM('様式３（非専従の常勤＋非常勤）'!$X27:$Y27)&gt;0,1,""))</f>
        <v/>
      </c>
      <c r="I70" s="468" t="str">
        <f>IF($A70="","",IF(SUM('様式３（非専従の常勤＋非常勤）'!$Z27:$AA27)&gt;0,1,""))</f>
        <v/>
      </c>
      <c r="J70" s="468" t="str">
        <f>IF($A70="","",IF(SUM('様式３（非専従の常勤＋非常勤）'!$AB27:$AC27)&gt;0,1,""))</f>
        <v/>
      </c>
      <c r="K70" s="468" t="str">
        <f>IF($A70="","",IF(SUM('様式３（非専従の常勤＋非常勤）'!$AD27:$AE27)&gt;0,1,""))</f>
        <v/>
      </c>
      <c r="L70" s="468" t="str">
        <f>IF($A70="","",IF(SUM('様式３（非専従の常勤＋非常勤）'!$AF27:$AG27)&gt;0,1,""))</f>
        <v/>
      </c>
      <c r="M70" s="468" t="str">
        <f>IF($A70="","",IF(SUM('様式３（非専従の常勤＋非常勤）'!$AH27:$AI27)&gt;0,1,""))</f>
        <v/>
      </c>
      <c r="N70" s="468" t="str">
        <f>IF($A70="","",IF(SUM('様式３（非専従の常勤＋非常勤）'!$AJ27:$AK27)&gt;0,1,""))</f>
        <v/>
      </c>
    </row>
    <row r="71" spans="1:14">
      <c r="A71" s="468" t="str">
        <f>IF('様式３（非専従の常勤＋非常勤）'!B28="","",'様式３（非専従の常勤＋非常勤）'!B28)</f>
        <v/>
      </c>
      <c r="B71" s="468" t="str">
        <f>IF($A71="","",'様式３（非専従の常勤＋非常勤）'!$A$4)</f>
        <v/>
      </c>
      <c r="C71" s="468" t="str">
        <f>IF($A71="","",IF(SUM('様式３（非専従の常勤＋非常勤）'!$N28:$O28)&gt;0,1,""))</f>
        <v/>
      </c>
      <c r="D71" s="468" t="str">
        <f>IF($A71="","",IF(SUM('様式３（非専従の常勤＋非常勤）'!$P28:$Q28)&gt;0,1,""))</f>
        <v/>
      </c>
      <c r="E71" s="468" t="str">
        <f>IF($A71="","",IF(SUM('様式３（非専従の常勤＋非常勤）'!$R28:$S28)&gt;0,1,""))</f>
        <v/>
      </c>
      <c r="F71" s="468" t="str">
        <f>IF($A71="","",IF(SUM('様式３（非専従の常勤＋非常勤）'!$T28:$U28)&gt;0,1,""))</f>
        <v/>
      </c>
      <c r="G71" s="468" t="str">
        <f>IF($A71="","",IF(SUM('様式３（非専従の常勤＋非常勤）'!$V28:$W28)&gt;0,1,""))</f>
        <v/>
      </c>
      <c r="H71" s="468" t="str">
        <f>IF($A71="","",IF(SUM('様式３（非専従の常勤＋非常勤）'!$X28:$Y28)&gt;0,1,""))</f>
        <v/>
      </c>
      <c r="I71" s="468" t="str">
        <f>IF($A71="","",IF(SUM('様式３（非専従の常勤＋非常勤）'!$Z28:$AA28)&gt;0,1,""))</f>
        <v/>
      </c>
      <c r="J71" s="468" t="str">
        <f>IF($A71="","",IF(SUM('様式３（非専従の常勤＋非常勤）'!$AB28:$AC28)&gt;0,1,""))</f>
        <v/>
      </c>
      <c r="K71" s="468" t="str">
        <f>IF($A71="","",IF(SUM('様式３（非専従の常勤＋非常勤）'!$AD28:$AE28)&gt;0,1,""))</f>
        <v/>
      </c>
      <c r="L71" s="468" t="str">
        <f>IF($A71="","",IF(SUM('様式３（非専従の常勤＋非常勤）'!$AF28:$AG28)&gt;0,1,""))</f>
        <v/>
      </c>
      <c r="M71" s="468" t="str">
        <f>IF($A71="","",IF(SUM('様式３（非専従の常勤＋非常勤）'!$AH28:$AI28)&gt;0,1,""))</f>
        <v/>
      </c>
      <c r="N71" s="468" t="str">
        <f>IF($A71="","",IF(SUM('様式３（非専従の常勤＋非常勤）'!$AJ28:$AK28)&gt;0,1,""))</f>
        <v/>
      </c>
    </row>
    <row r="72" spans="1:14">
      <c r="A72" s="468" t="str">
        <f>IF('様式３（非専従の常勤＋非常勤）'!B29="","",'様式３（非専従の常勤＋非常勤）'!B29)</f>
        <v/>
      </c>
      <c r="B72" s="468" t="str">
        <f>IF($A72="","",'様式３（非専従の常勤＋非常勤）'!$A$4)</f>
        <v/>
      </c>
      <c r="C72" s="468" t="str">
        <f>IF($A72="","",IF(SUM('様式３（非専従の常勤＋非常勤）'!$N29:$O29)&gt;0,1,""))</f>
        <v/>
      </c>
      <c r="D72" s="468" t="str">
        <f>IF($A72="","",IF(SUM('様式３（非専従の常勤＋非常勤）'!$P29:$Q29)&gt;0,1,""))</f>
        <v/>
      </c>
      <c r="E72" s="468" t="str">
        <f>IF($A72="","",IF(SUM('様式３（非専従の常勤＋非常勤）'!$R29:$S29)&gt;0,1,""))</f>
        <v/>
      </c>
      <c r="F72" s="468" t="str">
        <f>IF($A72="","",IF(SUM('様式３（非専従の常勤＋非常勤）'!$T29:$U29)&gt;0,1,""))</f>
        <v/>
      </c>
      <c r="G72" s="468" t="str">
        <f>IF($A72="","",IF(SUM('様式３（非専従の常勤＋非常勤）'!$V29:$W29)&gt;0,1,""))</f>
        <v/>
      </c>
      <c r="H72" s="468" t="str">
        <f>IF($A72="","",IF(SUM('様式３（非専従の常勤＋非常勤）'!$X29:$Y29)&gt;0,1,""))</f>
        <v/>
      </c>
      <c r="I72" s="468" t="str">
        <f>IF($A72="","",IF(SUM('様式３（非専従の常勤＋非常勤）'!$Z29:$AA29)&gt;0,1,""))</f>
        <v/>
      </c>
      <c r="J72" s="468" t="str">
        <f>IF($A72="","",IF(SUM('様式３（非専従の常勤＋非常勤）'!$AB29:$AC29)&gt;0,1,""))</f>
        <v/>
      </c>
      <c r="K72" s="468" t="str">
        <f>IF($A72="","",IF(SUM('様式３（非専従の常勤＋非常勤）'!$AD29:$AE29)&gt;0,1,""))</f>
        <v/>
      </c>
      <c r="L72" s="468" t="str">
        <f>IF($A72="","",IF(SUM('様式３（非専従の常勤＋非常勤）'!$AF29:$AG29)&gt;0,1,""))</f>
        <v/>
      </c>
      <c r="M72" s="468" t="str">
        <f>IF($A72="","",IF(SUM('様式３（非専従の常勤＋非常勤）'!$AH29:$AI29)&gt;0,1,""))</f>
        <v/>
      </c>
      <c r="N72" s="468" t="str">
        <f>IF($A72="","",IF(SUM('様式３（非専従の常勤＋非常勤）'!$AJ29:$AK29)&gt;0,1,""))</f>
        <v/>
      </c>
    </row>
    <row r="73" spans="1:14">
      <c r="A73" s="468" t="str">
        <f>IF('様式３（非専従の常勤＋非常勤）'!B30="","",'様式３（非専従の常勤＋非常勤）'!B30)</f>
        <v/>
      </c>
      <c r="B73" s="468" t="str">
        <f>IF($A73="","",'様式３（非専従の常勤＋非常勤）'!$A$4)</f>
        <v/>
      </c>
      <c r="C73" s="468" t="str">
        <f>IF($A73="","",IF(SUM('様式３（非専従の常勤＋非常勤）'!$N30:$O30)&gt;0,1,""))</f>
        <v/>
      </c>
      <c r="D73" s="468" t="str">
        <f>IF($A73="","",IF(SUM('様式３（非専従の常勤＋非常勤）'!$P30:$Q30)&gt;0,1,""))</f>
        <v/>
      </c>
      <c r="E73" s="468" t="str">
        <f>IF($A73="","",IF(SUM('様式３（非専従の常勤＋非常勤）'!$R30:$S30)&gt;0,1,""))</f>
        <v/>
      </c>
      <c r="F73" s="468" t="str">
        <f>IF($A73="","",IF(SUM('様式３（非専従の常勤＋非常勤）'!$T30:$U30)&gt;0,1,""))</f>
        <v/>
      </c>
      <c r="G73" s="468" t="str">
        <f>IF($A73="","",IF(SUM('様式３（非専従の常勤＋非常勤）'!$V30:$W30)&gt;0,1,""))</f>
        <v/>
      </c>
      <c r="H73" s="468" t="str">
        <f>IF($A73="","",IF(SUM('様式３（非専従の常勤＋非常勤）'!$X30:$Y30)&gt;0,1,""))</f>
        <v/>
      </c>
      <c r="I73" s="468" t="str">
        <f>IF($A73="","",IF(SUM('様式３（非専従の常勤＋非常勤）'!$Z30:$AA30)&gt;0,1,""))</f>
        <v/>
      </c>
      <c r="J73" s="468" t="str">
        <f>IF($A73="","",IF(SUM('様式３（非専従の常勤＋非常勤）'!$AB30:$AC30)&gt;0,1,""))</f>
        <v/>
      </c>
      <c r="K73" s="468" t="str">
        <f>IF($A73="","",IF(SUM('様式３（非専従の常勤＋非常勤）'!$AD30:$AE30)&gt;0,1,""))</f>
        <v/>
      </c>
      <c r="L73" s="468" t="str">
        <f>IF($A73="","",IF(SUM('様式３（非専従の常勤＋非常勤）'!$AF30:$AG30)&gt;0,1,""))</f>
        <v/>
      </c>
      <c r="M73" s="468" t="str">
        <f>IF($A73="","",IF(SUM('様式３（非専従の常勤＋非常勤）'!$AH30:$AI30)&gt;0,1,""))</f>
        <v/>
      </c>
      <c r="N73" s="468" t="str">
        <f>IF($A73="","",IF(SUM('様式３（非専従の常勤＋非常勤）'!$AJ30:$AK30)&gt;0,1,""))</f>
        <v/>
      </c>
    </row>
    <row r="74" spans="1:14">
      <c r="A74" s="468" t="str">
        <f>IF('様式３（非専従の常勤＋非常勤）'!B31="","",'様式３（非専従の常勤＋非常勤）'!B31)</f>
        <v/>
      </c>
      <c r="B74" s="468" t="str">
        <f>IF($A74="","",'様式３（非専従の常勤＋非常勤）'!$A$4)</f>
        <v/>
      </c>
      <c r="C74" s="468" t="str">
        <f>IF($A74="","",IF(SUM('様式３（非専従の常勤＋非常勤）'!$N31:$O31)&gt;0,1,""))</f>
        <v/>
      </c>
      <c r="D74" s="468" t="str">
        <f>IF($A74="","",IF(SUM('様式３（非専従の常勤＋非常勤）'!$P31:$Q31)&gt;0,1,""))</f>
        <v/>
      </c>
      <c r="E74" s="468" t="str">
        <f>IF($A74="","",IF(SUM('様式３（非専従の常勤＋非常勤）'!$R31:$S31)&gt;0,1,""))</f>
        <v/>
      </c>
      <c r="F74" s="468" t="str">
        <f>IF($A74="","",IF(SUM('様式３（非専従の常勤＋非常勤）'!$T31:$U31)&gt;0,1,""))</f>
        <v/>
      </c>
      <c r="G74" s="468" t="str">
        <f>IF($A74="","",IF(SUM('様式３（非専従の常勤＋非常勤）'!$V31:$W31)&gt;0,1,""))</f>
        <v/>
      </c>
      <c r="H74" s="468" t="str">
        <f>IF($A74="","",IF(SUM('様式３（非専従の常勤＋非常勤）'!$X31:$Y31)&gt;0,1,""))</f>
        <v/>
      </c>
      <c r="I74" s="468" t="str">
        <f>IF($A74="","",IF(SUM('様式３（非専従の常勤＋非常勤）'!$Z31:$AA31)&gt;0,1,""))</f>
        <v/>
      </c>
      <c r="J74" s="468" t="str">
        <f>IF($A74="","",IF(SUM('様式３（非専従の常勤＋非常勤）'!$AB31:$AC31)&gt;0,1,""))</f>
        <v/>
      </c>
      <c r="K74" s="468" t="str">
        <f>IF($A74="","",IF(SUM('様式３（非専従の常勤＋非常勤）'!$AD31:$AE31)&gt;0,1,""))</f>
        <v/>
      </c>
      <c r="L74" s="468" t="str">
        <f>IF($A74="","",IF(SUM('様式３（非専従の常勤＋非常勤）'!$AF31:$AG31)&gt;0,1,""))</f>
        <v/>
      </c>
      <c r="M74" s="468" t="str">
        <f>IF($A74="","",IF(SUM('様式３（非専従の常勤＋非常勤）'!$AH31:$AI31)&gt;0,1,""))</f>
        <v/>
      </c>
      <c r="N74" s="468" t="str">
        <f>IF($A74="","",IF(SUM('様式３（非専従の常勤＋非常勤）'!$AJ31:$AK31)&gt;0,1,""))</f>
        <v/>
      </c>
    </row>
    <row r="75" spans="1:14">
      <c r="A75" s="468" t="str">
        <f>IF('様式３（非専従の常勤＋非常勤）'!B32="","",'様式３（非専従の常勤＋非常勤）'!B32)</f>
        <v/>
      </c>
      <c r="B75" s="468" t="str">
        <f>IF($A75="","",'様式３（非専従の常勤＋非常勤）'!$A$4)</f>
        <v/>
      </c>
      <c r="C75" s="468" t="str">
        <f>IF($A75="","",IF(SUM('様式３（非専従の常勤＋非常勤）'!$N32:$O32)&gt;0,1,""))</f>
        <v/>
      </c>
      <c r="D75" s="468" t="str">
        <f>IF($A75="","",IF(SUM('様式３（非専従の常勤＋非常勤）'!$P32:$Q32)&gt;0,1,""))</f>
        <v/>
      </c>
      <c r="E75" s="468" t="str">
        <f>IF($A75="","",IF(SUM('様式３（非専従の常勤＋非常勤）'!$R32:$S32)&gt;0,1,""))</f>
        <v/>
      </c>
      <c r="F75" s="468" t="str">
        <f>IF($A75="","",IF(SUM('様式３（非専従の常勤＋非常勤）'!$T32:$U32)&gt;0,1,""))</f>
        <v/>
      </c>
      <c r="G75" s="468" t="str">
        <f>IF($A75="","",IF(SUM('様式３（非専従の常勤＋非常勤）'!$V32:$W32)&gt;0,1,""))</f>
        <v/>
      </c>
      <c r="H75" s="468" t="str">
        <f>IF($A75="","",IF(SUM('様式３（非専従の常勤＋非常勤）'!$X32:$Y32)&gt;0,1,""))</f>
        <v/>
      </c>
      <c r="I75" s="468" t="str">
        <f>IF($A75="","",IF(SUM('様式３（非専従の常勤＋非常勤）'!$Z32:$AA32)&gt;0,1,""))</f>
        <v/>
      </c>
      <c r="J75" s="468" t="str">
        <f>IF($A75="","",IF(SUM('様式３（非専従の常勤＋非常勤）'!$AB32:$AC32)&gt;0,1,""))</f>
        <v/>
      </c>
      <c r="K75" s="468" t="str">
        <f>IF($A75="","",IF(SUM('様式３（非専従の常勤＋非常勤）'!$AD32:$AE32)&gt;0,1,""))</f>
        <v/>
      </c>
      <c r="L75" s="468" t="str">
        <f>IF($A75="","",IF(SUM('様式３（非専従の常勤＋非常勤）'!$AF32:$AG32)&gt;0,1,""))</f>
        <v/>
      </c>
      <c r="M75" s="468" t="str">
        <f>IF($A75="","",IF(SUM('様式３（非専従の常勤＋非常勤）'!$AH32:$AI32)&gt;0,1,""))</f>
        <v/>
      </c>
      <c r="N75" s="468" t="str">
        <f>IF($A75="","",IF(SUM('様式３（非専従の常勤＋非常勤）'!$AJ32:$AK32)&gt;0,1,""))</f>
        <v/>
      </c>
    </row>
    <row r="76" spans="1:14">
      <c r="A76" s="468" t="str">
        <f>IF('様式３（非専従の常勤＋非常勤）'!B33="","",'様式３（非専従の常勤＋非常勤）'!B33)</f>
        <v/>
      </c>
      <c r="B76" s="468" t="str">
        <f>IF($A76="","",'様式３（非専従の常勤＋非常勤）'!$A$4)</f>
        <v/>
      </c>
      <c r="C76" s="468" t="str">
        <f>IF($A76="","",IF(SUM('様式３（非専従の常勤＋非常勤）'!$N33:$O33)&gt;0,1,""))</f>
        <v/>
      </c>
      <c r="D76" s="468" t="str">
        <f>IF($A76="","",IF(SUM('様式３（非専従の常勤＋非常勤）'!$P33:$Q33)&gt;0,1,""))</f>
        <v/>
      </c>
      <c r="E76" s="468" t="str">
        <f>IF($A76="","",IF(SUM('様式３（非専従の常勤＋非常勤）'!$R33:$S33)&gt;0,1,""))</f>
        <v/>
      </c>
      <c r="F76" s="468" t="str">
        <f>IF($A76="","",IF(SUM('様式３（非専従の常勤＋非常勤）'!$T33:$U33)&gt;0,1,""))</f>
        <v/>
      </c>
      <c r="G76" s="468" t="str">
        <f>IF($A76="","",IF(SUM('様式３（非専従の常勤＋非常勤）'!$V33:$W33)&gt;0,1,""))</f>
        <v/>
      </c>
      <c r="H76" s="468" t="str">
        <f>IF($A76="","",IF(SUM('様式３（非専従の常勤＋非常勤）'!$X33:$Y33)&gt;0,1,""))</f>
        <v/>
      </c>
      <c r="I76" s="468" t="str">
        <f>IF($A76="","",IF(SUM('様式３（非専従の常勤＋非常勤）'!$Z33:$AA33)&gt;0,1,""))</f>
        <v/>
      </c>
      <c r="J76" s="468" t="str">
        <f>IF($A76="","",IF(SUM('様式３（非専従の常勤＋非常勤）'!$AB33:$AC33)&gt;0,1,""))</f>
        <v/>
      </c>
      <c r="K76" s="468" t="str">
        <f>IF($A76="","",IF(SUM('様式３（非専従の常勤＋非常勤）'!$AD33:$AE33)&gt;0,1,""))</f>
        <v/>
      </c>
      <c r="L76" s="468" t="str">
        <f>IF($A76="","",IF(SUM('様式３（非専従の常勤＋非常勤）'!$AF33:$AG33)&gt;0,1,""))</f>
        <v/>
      </c>
      <c r="M76" s="468" t="str">
        <f>IF($A76="","",IF(SUM('様式３（非専従の常勤＋非常勤）'!$AH33:$AI33)&gt;0,1,""))</f>
        <v/>
      </c>
      <c r="N76" s="468" t="str">
        <f>IF($A76="","",IF(SUM('様式３（非専従の常勤＋非常勤）'!$AJ33:$AK33)&gt;0,1,""))</f>
        <v/>
      </c>
    </row>
    <row r="77" spans="1:14">
      <c r="A77" s="468" t="str">
        <f>IF('様式３（非専従の常勤＋非常勤）'!B34="","",'様式３（非専従の常勤＋非常勤）'!B34)</f>
        <v/>
      </c>
      <c r="B77" s="468" t="str">
        <f>IF($A77="","",'様式３（非専従の常勤＋非常勤）'!$A$4)</f>
        <v/>
      </c>
      <c r="C77" s="468" t="str">
        <f>IF($A77="","",IF(SUM('様式３（非専従の常勤＋非常勤）'!$N34:$O34)&gt;0,1,""))</f>
        <v/>
      </c>
      <c r="D77" s="468" t="str">
        <f>IF($A77="","",IF(SUM('様式３（非専従の常勤＋非常勤）'!$P34:$Q34)&gt;0,1,""))</f>
        <v/>
      </c>
      <c r="E77" s="468" t="str">
        <f>IF($A77="","",IF(SUM('様式３（非専従の常勤＋非常勤）'!$R34:$S34)&gt;0,1,""))</f>
        <v/>
      </c>
      <c r="F77" s="468" t="str">
        <f>IF($A77="","",IF(SUM('様式３（非専従の常勤＋非常勤）'!$T34:$U34)&gt;0,1,""))</f>
        <v/>
      </c>
      <c r="G77" s="468" t="str">
        <f>IF($A77="","",IF(SUM('様式３（非専従の常勤＋非常勤）'!$V34:$W34)&gt;0,1,""))</f>
        <v/>
      </c>
      <c r="H77" s="468" t="str">
        <f>IF($A77="","",IF(SUM('様式３（非専従の常勤＋非常勤）'!$X34:$Y34)&gt;0,1,""))</f>
        <v/>
      </c>
      <c r="I77" s="468" t="str">
        <f>IF($A77="","",IF(SUM('様式３（非専従の常勤＋非常勤）'!$Z34:$AA34)&gt;0,1,""))</f>
        <v/>
      </c>
      <c r="J77" s="468" t="str">
        <f>IF($A77="","",IF(SUM('様式３（非専従の常勤＋非常勤）'!$AB34:$AC34)&gt;0,1,""))</f>
        <v/>
      </c>
      <c r="K77" s="468" t="str">
        <f>IF($A77="","",IF(SUM('様式３（非専従の常勤＋非常勤）'!$AD34:$AE34)&gt;0,1,""))</f>
        <v/>
      </c>
      <c r="L77" s="468" t="str">
        <f>IF($A77="","",IF(SUM('様式３（非専従の常勤＋非常勤）'!$AF34:$AG34)&gt;0,1,""))</f>
        <v/>
      </c>
      <c r="M77" s="468" t="str">
        <f>IF($A77="","",IF(SUM('様式３（非専従の常勤＋非常勤）'!$AH34:$AI34)&gt;0,1,""))</f>
        <v/>
      </c>
      <c r="N77" s="468" t="str">
        <f>IF($A77="","",IF(SUM('様式３（非専従の常勤＋非常勤）'!$AJ34:$AK34)&gt;0,1,""))</f>
        <v/>
      </c>
    </row>
    <row r="78" spans="1:14">
      <c r="A78" s="468" t="str">
        <f>IF('様式３（非専従の常勤＋非常勤）'!B35="","",'様式３（非専従の常勤＋非常勤）'!B35)</f>
        <v/>
      </c>
      <c r="B78" s="468" t="str">
        <f>IF($A78="","",'様式３（非専従の常勤＋非常勤）'!$A$4)</f>
        <v/>
      </c>
      <c r="C78" s="468" t="str">
        <f>IF($A78="","",IF(SUM('様式３（非専従の常勤＋非常勤）'!$N35:$O35)&gt;0,1,""))</f>
        <v/>
      </c>
      <c r="D78" s="468" t="str">
        <f>IF($A78="","",IF(SUM('様式３（非専従の常勤＋非常勤）'!$P35:$Q35)&gt;0,1,""))</f>
        <v/>
      </c>
      <c r="E78" s="468" t="str">
        <f>IF($A78="","",IF(SUM('様式３（非専従の常勤＋非常勤）'!$R35:$S35)&gt;0,1,""))</f>
        <v/>
      </c>
      <c r="F78" s="468" t="str">
        <f>IF($A78="","",IF(SUM('様式３（非専従の常勤＋非常勤）'!$T35:$U35)&gt;0,1,""))</f>
        <v/>
      </c>
      <c r="G78" s="468" t="str">
        <f>IF($A78="","",IF(SUM('様式３（非専従の常勤＋非常勤）'!$V35:$W35)&gt;0,1,""))</f>
        <v/>
      </c>
      <c r="H78" s="468" t="str">
        <f>IF($A78="","",IF(SUM('様式３（非専従の常勤＋非常勤）'!$X35:$Y35)&gt;0,1,""))</f>
        <v/>
      </c>
      <c r="I78" s="468" t="str">
        <f>IF($A78="","",IF(SUM('様式３（非専従の常勤＋非常勤）'!$Z35:$AA35)&gt;0,1,""))</f>
        <v/>
      </c>
      <c r="J78" s="468" t="str">
        <f>IF($A78="","",IF(SUM('様式３（非専従の常勤＋非常勤）'!$AB35:$AC35)&gt;0,1,""))</f>
        <v/>
      </c>
      <c r="K78" s="468" t="str">
        <f>IF($A78="","",IF(SUM('様式３（非専従の常勤＋非常勤）'!$AD35:$AE35)&gt;0,1,""))</f>
        <v/>
      </c>
      <c r="L78" s="468" t="str">
        <f>IF($A78="","",IF(SUM('様式３（非専従の常勤＋非常勤）'!$AF35:$AG35)&gt;0,1,""))</f>
        <v/>
      </c>
      <c r="M78" s="468" t="str">
        <f>IF($A78="","",IF(SUM('様式３（非専従の常勤＋非常勤）'!$AH35:$AI35)&gt;0,1,""))</f>
        <v/>
      </c>
      <c r="N78" s="468" t="str">
        <f>IF($A78="","",IF(SUM('様式３（非専従の常勤＋非常勤）'!$AJ35:$AK35)&gt;0,1,""))</f>
        <v/>
      </c>
    </row>
    <row r="79" spans="1:14">
      <c r="A79" s="468" t="str">
        <f>IF('様式３（非専従の常勤＋非常勤）'!B36="","",'様式３（非専従の常勤＋非常勤）'!B36)</f>
        <v/>
      </c>
      <c r="B79" s="468" t="str">
        <f>IF($A79="","",'様式３（非専従の常勤＋非常勤）'!$A$4)</f>
        <v/>
      </c>
      <c r="C79" s="468" t="str">
        <f>IF($A79="","",IF(SUM('様式３（非専従の常勤＋非常勤）'!$N36:$O36)&gt;0,1,""))</f>
        <v/>
      </c>
      <c r="D79" s="468" t="str">
        <f>IF($A79="","",IF(SUM('様式３（非専従の常勤＋非常勤）'!$P36:$Q36)&gt;0,1,""))</f>
        <v/>
      </c>
      <c r="E79" s="468" t="str">
        <f>IF($A79="","",IF(SUM('様式３（非専従の常勤＋非常勤）'!$R36:$S36)&gt;0,1,""))</f>
        <v/>
      </c>
      <c r="F79" s="468" t="str">
        <f>IF($A79="","",IF(SUM('様式３（非専従の常勤＋非常勤）'!$T36:$U36)&gt;0,1,""))</f>
        <v/>
      </c>
      <c r="G79" s="468" t="str">
        <f>IF($A79="","",IF(SUM('様式３（非専従の常勤＋非常勤）'!$V36:$W36)&gt;0,1,""))</f>
        <v/>
      </c>
      <c r="H79" s="468" t="str">
        <f>IF($A79="","",IF(SUM('様式３（非専従の常勤＋非常勤）'!$X36:$Y36)&gt;0,1,""))</f>
        <v/>
      </c>
      <c r="I79" s="468" t="str">
        <f>IF($A79="","",IF(SUM('様式３（非専従の常勤＋非常勤）'!$Z36:$AA36)&gt;0,1,""))</f>
        <v/>
      </c>
      <c r="J79" s="468" t="str">
        <f>IF($A79="","",IF(SUM('様式３（非専従の常勤＋非常勤）'!$AB36:$AC36)&gt;0,1,""))</f>
        <v/>
      </c>
      <c r="K79" s="468" t="str">
        <f>IF($A79="","",IF(SUM('様式３（非専従の常勤＋非常勤）'!$AD36:$AE36)&gt;0,1,""))</f>
        <v/>
      </c>
      <c r="L79" s="468" t="str">
        <f>IF($A79="","",IF(SUM('様式３（非専従の常勤＋非常勤）'!$AF36:$AG36)&gt;0,1,""))</f>
        <v/>
      </c>
      <c r="M79" s="468" t="str">
        <f>IF($A79="","",IF(SUM('様式３（非専従の常勤＋非常勤）'!$AH36:$AI36)&gt;0,1,""))</f>
        <v/>
      </c>
      <c r="N79" s="468" t="str">
        <f>IF($A79="","",IF(SUM('様式３（非専従の常勤＋非常勤）'!$AJ36:$AK36)&gt;0,1,""))</f>
        <v/>
      </c>
    </row>
    <row r="80" spans="1:14">
      <c r="A80" s="468" t="str">
        <f>IF('様式３（非専従の常勤＋非常勤）'!B37="","",'様式３（非専従の常勤＋非常勤）'!B37)</f>
        <v/>
      </c>
      <c r="B80" s="468" t="str">
        <f>IF($A80="","",'様式３（非専従の常勤＋非常勤）'!$A$4)</f>
        <v/>
      </c>
      <c r="C80" s="468" t="str">
        <f>IF($A80="","",IF(SUM('様式３（非専従の常勤＋非常勤）'!$N37:$O37)&gt;0,1,""))</f>
        <v/>
      </c>
      <c r="D80" s="468" t="str">
        <f>IF($A80="","",IF(SUM('様式３（非専従の常勤＋非常勤）'!$P37:$Q37)&gt;0,1,""))</f>
        <v/>
      </c>
      <c r="E80" s="468" t="str">
        <f>IF($A80="","",IF(SUM('様式３（非専従の常勤＋非常勤）'!$R37:$S37)&gt;0,1,""))</f>
        <v/>
      </c>
      <c r="F80" s="468" t="str">
        <f>IF($A80="","",IF(SUM('様式３（非専従の常勤＋非常勤）'!$T37:$U37)&gt;0,1,""))</f>
        <v/>
      </c>
      <c r="G80" s="468" t="str">
        <f>IF($A80="","",IF(SUM('様式３（非専従の常勤＋非常勤）'!$V37:$W37)&gt;0,1,""))</f>
        <v/>
      </c>
      <c r="H80" s="468" t="str">
        <f>IF($A80="","",IF(SUM('様式３（非専従の常勤＋非常勤）'!$X37:$Y37)&gt;0,1,""))</f>
        <v/>
      </c>
      <c r="I80" s="468" t="str">
        <f>IF($A80="","",IF(SUM('様式３（非専従の常勤＋非常勤）'!$Z37:$AA37)&gt;0,1,""))</f>
        <v/>
      </c>
      <c r="J80" s="468" t="str">
        <f>IF($A80="","",IF(SUM('様式３（非専従の常勤＋非常勤）'!$AB37:$AC37)&gt;0,1,""))</f>
        <v/>
      </c>
      <c r="K80" s="468" t="str">
        <f>IF($A80="","",IF(SUM('様式３（非専従の常勤＋非常勤）'!$AD37:$AE37)&gt;0,1,""))</f>
        <v/>
      </c>
      <c r="L80" s="468" t="str">
        <f>IF($A80="","",IF(SUM('様式３（非専従の常勤＋非常勤）'!$AF37:$AG37)&gt;0,1,""))</f>
        <v/>
      </c>
      <c r="M80" s="468" t="str">
        <f>IF($A80="","",IF(SUM('様式３（非専従の常勤＋非常勤）'!$AH37:$AI37)&gt;0,1,""))</f>
        <v/>
      </c>
      <c r="N80" s="468" t="str">
        <f>IF($A80="","",IF(SUM('様式３（非専従の常勤＋非常勤）'!$AJ37:$AK37)&gt;0,1,""))</f>
        <v/>
      </c>
    </row>
    <row r="81" spans="1:14">
      <c r="A81" s="468" t="str">
        <f>IF('様式３（非専従の常勤＋非常勤）'!B38="","",'様式３（非専従の常勤＋非常勤）'!B38)</f>
        <v/>
      </c>
      <c r="B81" s="468" t="str">
        <f>IF($A81="","",'様式３（非専従の常勤＋非常勤）'!$A$4)</f>
        <v/>
      </c>
      <c r="C81" s="468" t="str">
        <f>IF($A81="","",IF(SUM('様式３（非専従の常勤＋非常勤）'!$N38:$O38)&gt;0,1,""))</f>
        <v/>
      </c>
      <c r="D81" s="468" t="str">
        <f>IF($A81="","",IF(SUM('様式３（非専従の常勤＋非常勤）'!$P38:$Q38)&gt;0,1,""))</f>
        <v/>
      </c>
      <c r="E81" s="468" t="str">
        <f>IF($A81="","",IF(SUM('様式３（非専従の常勤＋非常勤）'!$R38:$S38)&gt;0,1,""))</f>
        <v/>
      </c>
      <c r="F81" s="468" t="str">
        <f>IF($A81="","",IF(SUM('様式３（非専従の常勤＋非常勤）'!$T38:$U38)&gt;0,1,""))</f>
        <v/>
      </c>
      <c r="G81" s="468" t="str">
        <f>IF($A81="","",IF(SUM('様式３（非専従の常勤＋非常勤）'!$V38:$W38)&gt;0,1,""))</f>
        <v/>
      </c>
      <c r="H81" s="468" t="str">
        <f>IF($A81="","",IF(SUM('様式３（非専従の常勤＋非常勤）'!$X38:$Y38)&gt;0,1,""))</f>
        <v/>
      </c>
      <c r="I81" s="468" t="str">
        <f>IF($A81="","",IF(SUM('様式３（非専従の常勤＋非常勤）'!$Z38:$AA38)&gt;0,1,""))</f>
        <v/>
      </c>
      <c r="J81" s="468" t="str">
        <f>IF($A81="","",IF(SUM('様式３（非専従の常勤＋非常勤）'!$AB38:$AC38)&gt;0,1,""))</f>
        <v/>
      </c>
      <c r="K81" s="468" t="str">
        <f>IF($A81="","",IF(SUM('様式３（非専従の常勤＋非常勤）'!$AD38:$AE38)&gt;0,1,""))</f>
        <v/>
      </c>
      <c r="L81" s="468" t="str">
        <f>IF($A81="","",IF(SUM('様式３（非専従の常勤＋非常勤）'!$AF38:$AG38)&gt;0,1,""))</f>
        <v/>
      </c>
      <c r="M81" s="468" t="str">
        <f>IF($A81="","",IF(SUM('様式３（非専従の常勤＋非常勤）'!$AH38:$AI38)&gt;0,1,""))</f>
        <v/>
      </c>
      <c r="N81" s="468" t="str">
        <f>IF($A81="","",IF(SUM('様式３（非専従の常勤＋非常勤）'!$AJ38:$AK38)&gt;0,1,""))</f>
        <v/>
      </c>
    </row>
    <row r="82" spans="1:14">
      <c r="A82" s="469" t="str">
        <f>IF('様式３（非専従の常勤＋非常勤）'!B48="","",'様式３（非専従の常勤＋非常勤）'!B48)</f>
        <v/>
      </c>
      <c r="B82" s="469" t="str">
        <f>IF($A82="","",'様式３（非専従の常勤＋非常勤）'!$A$44)</f>
        <v/>
      </c>
      <c r="C82" s="469" t="str">
        <f>IF($A82="","",IF(SUM('様式３（非専従の常勤＋非常勤）'!$N48:$O48)&gt;0,1,""))</f>
        <v/>
      </c>
      <c r="D82" s="469" t="str">
        <f>IF($A82="","",IF(SUM('様式３（非専従の常勤＋非常勤）'!$P48:$Q48)&gt;0,1,""))</f>
        <v/>
      </c>
      <c r="E82" s="469" t="str">
        <f>IF($A82="","",IF(SUM('様式３（非専従の常勤＋非常勤）'!$R48:$S48)&gt;0,1,""))</f>
        <v/>
      </c>
      <c r="F82" s="469" t="str">
        <f>IF($A82="","",IF(SUM('様式３（非専従の常勤＋非常勤）'!$T48:$U48)&gt;0,1,""))</f>
        <v/>
      </c>
      <c r="G82" s="469" t="str">
        <f>IF($A82="","",IF(SUM('様式３（非専従の常勤＋非常勤）'!$V48:$W48)&gt;0,1,""))</f>
        <v/>
      </c>
      <c r="H82" s="469" t="str">
        <f>IF($A82="","",IF(SUM('様式３（非専従の常勤＋非常勤）'!$X48:$Y48)&gt;0,1,""))</f>
        <v/>
      </c>
      <c r="I82" s="469" t="str">
        <f>IF($A82="","",IF(SUM('様式３（非専従の常勤＋非常勤）'!$Z48:$AA48)&gt;0,1,""))</f>
        <v/>
      </c>
      <c r="J82" s="469" t="str">
        <f>IF($A82="","",IF(SUM('様式３（非専従の常勤＋非常勤）'!$AB48:$AC48)&gt;0,1,""))</f>
        <v/>
      </c>
      <c r="K82" s="469" t="str">
        <f>IF($A82="","",IF(SUM('様式３（非専従の常勤＋非常勤）'!$AD48:$AE48)&gt;0,1,""))</f>
        <v/>
      </c>
      <c r="L82" s="469" t="str">
        <f>IF($A82="","",IF(SUM('様式３（非専従の常勤＋非常勤）'!$AF48:$AG48)&gt;0,1,""))</f>
        <v/>
      </c>
      <c r="M82" s="469" t="str">
        <f>IF($A82="","",IF(SUM('様式３（非専従の常勤＋非常勤）'!$AH48:$AI48)&gt;0,1,""))</f>
        <v/>
      </c>
      <c r="N82" s="469" t="str">
        <f>IF($A82="","",IF(SUM('様式３（非専従の常勤＋非常勤）'!$AJ48:$AK48)&gt;0,1,""))</f>
        <v/>
      </c>
    </row>
    <row r="83" spans="1:14">
      <c r="A83" s="469" t="str">
        <f>IF('様式３（非専従の常勤＋非常勤）'!B49="","",'様式３（非専従の常勤＋非常勤）'!B49)</f>
        <v/>
      </c>
      <c r="B83" s="469" t="str">
        <f>IF($A83="","",'様式３（非専従の常勤＋非常勤）'!$A$44)</f>
        <v/>
      </c>
      <c r="C83" s="469" t="str">
        <f>IF($A83="","",IF(SUM('様式３（非専従の常勤＋非常勤）'!$N49:$O49)&gt;0,1,""))</f>
        <v/>
      </c>
      <c r="D83" s="469" t="str">
        <f>IF($A83="","",IF(SUM('様式３（非専従の常勤＋非常勤）'!$P49:$Q49)&gt;0,1,""))</f>
        <v/>
      </c>
      <c r="E83" s="469" t="str">
        <f>IF($A83="","",IF(SUM('様式３（非専従の常勤＋非常勤）'!$R49:$S49)&gt;0,1,""))</f>
        <v/>
      </c>
      <c r="F83" s="469" t="str">
        <f>IF($A83="","",IF(SUM('様式３（非専従の常勤＋非常勤）'!$T49:$U49)&gt;0,1,""))</f>
        <v/>
      </c>
      <c r="G83" s="469" t="str">
        <f>IF($A83="","",IF(SUM('様式３（非専従の常勤＋非常勤）'!$V49:$W49)&gt;0,1,""))</f>
        <v/>
      </c>
      <c r="H83" s="469" t="str">
        <f>IF($A83="","",IF(SUM('様式３（非専従の常勤＋非常勤）'!$X49:$Y49)&gt;0,1,""))</f>
        <v/>
      </c>
      <c r="I83" s="469" t="str">
        <f>IF($A83="","",IF(SUM('様式３（非専従の常勤＋非常勤）'!$Z49:$AA49)&gt;0,1,""))</f>
        <v/>
      </c>
      <c r="J83" s="469" t="str">
        <f>IF($A83="","",IF(SUM('様式３（非専従の常勤＋非常勤）'!$AB49:$AC49)&gt;0,1,""))</f>
        <v/>
      </c>
      <c r="K83" s="469" t="str">
        <f>IF($A83="","",IF(SUM('様式３（非専従の常勤＋非常勤）'!$AD49:$AE49)&gt;0,1,""))</f>
        <v/>
      </c>
      <c r="L83" s="469" t="str">
        <f>IF($A83="","",IF(SUM('様式３（非専従の常勤＋非常勤）'!$AF49:$AG49)&gt;0,1,""))</f>
        <v/>
      </c>
      <c r="M83" s="469" t="str">
        <f>IF($A83="","",IF(SUM('様式３（非専従の常勤＋非常勤）'!$AH49:$AI49)&gt;0,1,""))</f>
        <v/>
      </c>
      <c r="N83" s="469" t="str">
        <f>IF($A83="","",IF(SUM('様式３（非専従の常勤＋非常勤）'!$AJ49:$AK49)&gt;0,1,""))</f>
        <v/>
      </c>
    </row>
    <row r="84" spans="1:14">
      <c r="A84" s="469" t="str">
        <f>IF('様式３（非専従の常勤＋非常勤）'!B50="","",'様式３（非専従の常勤＋非常勤）'!B50)</f>
        <v/>
      </c>
      <c r="B84" s="469" t="str">
        <f>IF($A84="","",'様式３（非専従の常勤＋非常勤）'!$A$44)</f>
        <v/>
      </c>
      <c r="C84" s="469" t="str">
        <f>IF($A84="","",IF(SUM('様式３（非専従の常勤＋非常勤）'!$N50:$O50)&gt;0,1,""))</f>
        <v/>
      </c>
      <c r="D84" s="469" t="str">
        <f>IF($A84="","",IF(SUM('様式３（非専従の常勤＋非常勤）'!$P50:$Q50)&gt;0,1,""))</f>
        <v/>
      </c>
      <c r="E84" s="469" t="str">
        <f>IF($A84="","",IF(SUM('様式３（非専従の常勤＋非常勤）'!$R50:$S50)&gt;0,1,""))</f>
        <v/>
      </c>
      <c r="F84" s="469" t="str">
        <f>IF($A84="","",IF(SUM('様式３（非専従の常勤＋非常勤）'!$T50:$U50)&gt;0,1,""))</f>
        <v/>
      </c>
      <c r="G84" s="469" t="str">
        <f>IF($A84="","",IF(SUM('様式３（非専従の常勤＋非常勤）'!$V50:$W50)&gt;0,1,""))</f>
        <v/>
      </c>
      <c r="H84" s="469" t="str">
        <f>IF($A84="","",IF(SUM('様式３（非専従の常勤＋非常勤）'!$X50:$Y50)&gt;0,1,""))</f>
        <v/>
      </c>
      <c r="I84" s="469" t="str">
        <f>IF($A84="","",IF(SUM('様式３（非専従の常勤＋非常勤）'!$Z50:$AA50)&gt;0,1,""))</f>
        <v/>
      </c>
      <c r="J84" s="469" t="str">
        <f>IF($A84="","",IF(SUM('様式３（非専従の常勤＋非常勤）'!$AB50:$AC50)&gt;0,1,""))</f>
        <v/>
      </c>
      <c r="K84" s="469" t="str">
        <f>IF($A84="","",IF(SUM('様式３（非専従の常勤＋非常勤）'!$AD50:$AE50)&gt;0,1,""))</f>
        <v/>
      </c>
      <c r="L84" s="469" t="str">
        <f>IF($A84="","",IF(SUM('様式３（非専従の常勤＋非常勤）'!$AF50:$AG50)&gt;0,1,""))</f>
        <v/>
      </c>
      <c r="M84" s="469" t="str">
        <f>IF($A84="","",IF(SUM('様式３（非専従の常勤＋非常勤）'!$AH50:$AI50)&gt;0,1,""))</f>
        <v/>
      </c>
      <c r="N84" s="469" t="str">
        <f>IF($A84="","",IF(SUM('様式３（非専従の常勤＋非常勤）'!$AJ50:$AK50)&gt;0,1,""))</f>
        <v/>
      </c>
    </row>
    <row r="85" spans="1:14">
      <c r="A85" s="469" t="str">
        <f>IF('様式３（非専従の常勤＋非常勤）'!B51="","",'様式３（非専従の常勤＋非常勤）'!B51)</f>
        <v/>
      </c>
      <c r="B85" s="469" t="str">
        <f>IF($A85="","",'様式３（非専従の常勤＋非常勤）'!$A$44)</f>
        <v/>
      </c>
      <c r="C85" s="469" t="str">
        <f>IF($A85="","",IF(SUM('様式３（非専従の常勤＋非常勤）'!$N51:$O51)&gt;0,1,""))</f>
        <v/>
      </c>
      <c r="D85" s="469" t="str">
        <f>IF($A85="","",IF(SUM('様式３（非専従の常勤＋非常勤）'!$P51:$Q51)&gt;0,1,""))</f>
        <v/>
      </c>
      <c r="E85" s="469" t="str">
        <f>IF($A85="","",IF(SUM('様式３（非専従の常勤＋非常勤）'!$R51:$S51)&gt;0,1,""))</f>
        <v/>
      </c>
      <c r="F85" s="469" t="str">
        <f>IF($A85="","",IF(SUM('様式３（非専従の常勤＋非常勤）'!$T51:$U51)&gt;0,1,""))</f>
        <v/>
      </c>
      <c r="G85" s="469" t="str">
        <f>IF($A85="","",IF(SUM('様式３（非専従の常勤＋非常勤）'!$V51:$W51)&gt;0,1,""))</f>
        <v/>
      </c>
      <c r="H85" s="469" t="str">
        <f>IF($A85="","",IF(SUM('様式３（非専従の常勤＋非常勤）'!$X51:$Y51)&gt;0,1,""))</f>
        <v/>
      </c>
      <c r="I85" s="469" t="str">
        <f>IF($A85="","",IF(SUM('様式３（非専従の常勤＋非常勤）'!$Z51:$AA51)&gt;0,1,""))</f>
        <v/>
      </c>
      <c r="J85" s="469" t="str">
        <f>IF($A85="","",IF(SUM('様式３（非専従の常勤＋非常勤）'!$AB51:$AC51)&gt;0,1,""))</f>
        <v/>
      </c>
      <c r="K85" s="469" t="str">
        <f>IF($A85="","",IF(SUM('様式３（非専従の常勤＋非常勤）'!$AD51:$AE51)&gt;0,1,""))</f>
        <v/>
      </c>
      <c r="L85" s="469" t="str">
        <f>IF($A85="","",IF(SUM('様式３（非専従の常勤＋非常勤）'!$AF51:$AG51)&gt;0,1,""))</f>
        <v/>
      </c>
      <c r="M85" s="469" t="str">
        <f>IF($A85="","",IF(SUM('様式３（非専従の常勤＋非常勤）'!$AH51:$AI51)&gt;0,1,""))</f>
        <v/>
      </c>
      <c r="N85" s="469" t="str">
        <f>IF($A85="","",IF(SUM('様式３（非専従の常勤＋非常勤）'!$AJ51:$AK51)&gt;0,1,""))</f>
        <v/>
      </c>
    </row>
    <row r="86" spans="1:14">
      <c r="A86" s="469" t="str">
        <f>IF('様式３（非専従の常勤＋非常勤）'!B52="","",'様式３（非専従の常勤＋非常勤）'!B52)</f>
        <v/>
      </c>
      <c r="B86" s="469" t="str">
        <f>IF($A86="","",'様式３（非専従の常勤＋非常勤）'!$A$44)</f>
        <v/>
      </c>
      <c r="C86" s="469" t="str">
        <f>IF($A86="","",IF(SUM('様式３（非専従の常勤＋非常勤）'!$N52:$O52)&gt;0,1,""))</f>
        <v/>
      </c>
      <c r="D86" s="469" t="str">
        <f>IF($A86="","",IF(SUM('様式３（非専従の常勤＋非常勤）'!$P52:$Q52)&gt;0,1,""))</f>
        <v/>
      </c>
      <c r="E86" s="469" t="str">
        <f>IF($A86="","",IF(SUM('様式３（非専従の常勤＋非常勤）'!$R52:$S52)&gt;0,1,""))</f>
        <v/>
      </c>
      <c r="F86" s="469" t="str">
        <f>IF($A86="","",IF(SUM('様式３（非専従の常勤＋非常勤）'!$T52:$U52)&gt;0,1,""))</f>
        <v/>
      </c>
      <c r="G86" s="469" t="str">
        <f>IF($A86="","",IF(SUM('様式３（非専従の常勤＋非常勤）'!$V52:$W52)&gt;0,1,""))</f>
        <v/>
      </c>
      <c r="H86" s="469" t="str">
        <f>IF($A86="","",IF(SUM('様式３（非専従の常勤＋非常勤）'!$X52:$Y52)&gt;0,1,""))</f>
        <v/>
      </c>
      <c r="I86" s="469" t="str">
        <f>IF($A86="","",IF(SUM('様式３（非専従の常勤＋非常勤）'!$Z52:$AA52)&gt;0,1,""))</f>
        <v/>
      </c>
      <c r="J86" s="469" t="str">
        <f>IF($A86="","",IF(SUM('様式３（非専従の常勤＋非常勤）'!$AB52:$AC52)&gt;0,1,""))</f>
        <v/>
      </c>
      <c r="K86" s="469" t="str">
        <f>IF($A86="","",IF(SUM('様式３（非専従の常勤＋非常勤）'!$AD52:$AE52)&gt;0,1,""))</f>
        <v/>
      </c>
      <c r="L86" s="469" t="str">
        <f>IF($A86="","",IF(SUM('様式３（非専従の常勤＋非常勤）'!$AF52:$AG52)&gt;0,1,""))</f>
        <v/>
      </c>
      <c r="M86" s="469" t="str">
        <f>IF($A86="","",IF(SUM('様式３（非専従の常勤＋非常勤）'!$AH52:$AI52)&gt;0,1,""))</f>
        <v/>
      </c>
      <c r="N86" s="469" t="str">
        <f>IF($A86="","",IF(SUM('様式３（非専従の常勤＋非常勤）'!$AJ52:$AK52)&gt;0,1,""))</f>
        <v/>
      </c>
    </row>
    <row r="87" spans="1:14">
      <c r="A87" s="470" t="str">
        <f>IF('様式２（専従の常勤）'!B65="","",'様式２（専従の常勤）'!B65)</f>
        <v/>
      </c>
      <c r="B87" s="470" t="str">
        <f>IF($A87="","",'様式２（専従の常勤）'!$A$62)</f>
        <v/>
      </c>
      <c r="C87" s="470" t="str">
        <f>IF($A87="","",IF('様式２（専従の常勤）'!G65&gt;0,1,""))</f>
        <v/>
      </c>
      <c r="D87" s="470" t="str">
        <f>IF($A87="","",IF('様式２（専従の常勤）'!H65&gt;0,1,""))</f>
        <v/>
      </c>
      <c r="E87" s="470" t="str">
        <f>IF($A87="","",IF('様式２（専従の常勤）'!I65&gt;0,1,""))</f>
        <v/>
      </c>
      <c r="F87" s="470" t="str">
        <f>IF($A87="","",IF('様式２（専従の常勤）'!J65&gt;0,1,""))</f>
        <v/>
      </c>
      <c r="G87" s="470" t="str">
        <f>IF($A87="","",IF('様式２（専従の常勤）'!K65&gt;0,1,""))</f>
        <v/>
      </c>
      <c r="H87" s="470" t="str">
        <f>IF($A87="","",IF('様式２（専従の常勤）'!L65&gt;0,1,""))</f>
        <v/>
      </c>
      <c r="I87" s="470" t="str">
        <f>IF($A87="","",IF('様式２（専従の常勤）'!M65&gt;0,1,""))</f>
        <v/>
      </c>
      <c r="J87" s="470" t="str">
        <f>IF($A87="","",IF('様式２（専従の常勤）'!N65&gt;0,1,""))</f>
        <v/>
      </c>
      <c r="K87" s="470" t="str">
        <f>IF($A87="","",IF('様式２（専従の常勤）'!O65&gt;0,1,""))</f>
        <v/>
      </c>
      <c r="L87" s="470" t="str">
        <f>IF($A87="","",IF('様式２（専従の常勤）'!P65&gt;0,1,""))</f>
        <v/>
      </c>
      <c r="M87" s="470" t="str">
        <f>IF($A87="","",IF('様式２（専従の常勤）'!Q65&gt;0,1,""))</f>
        <v/>
      </c>
      <c r="N87" s="470" t="str">
        <f>IF($A87="","",IF('様式２（専従の常勤）'!R65&gt;0,1,""))</f>
        <v/>
      </c>
    </row>
    <row r="88" spans="1:14">
      <c r="A88" s="470" t="str">
        <f>IF('様式２（専従の常勤）'!B66="","",'様式２（専従の常勤）'!B66)</f>
        <v/>
      </c>
      <c r="B88" s="470" t="str">
        <f>IF($A88="","",'様式２（専従の常勤）'!$A$62)</f>
        <v/>
      </c>
      <c r="C88" s="470" t="str">
        <f>IF($A88="","",IF('様式２（専従の常勤）'!G66&gt;0,1,""))</f>
        <v/>
      </c>
      <c r="D88" s="470" t="str">
        <f>IF($A88="","",IF('様式２（専従の常勤）'!H66&gt;0,1,""))</f>
        <v/>
      </c>
      <c r="E88" s="470" t="str">
        <f>IF($A88="","",IF('様式２（専従の常勤）'!I66&gt;0,1,""))</f>
        <v/>
      </c>
      <c r="F88" s="470" t="str">
        <f>IF($A88="","",IF('様式２（専従の常勤）'!J66&gt;0,1,""))</f>
        <v/>
      </c>
      <c r="G88" s="470" t="str">
        <f>IF($A88="","",IF('様式２（専従の常勤）'!K66&gt;0,1,""))</f>
        <v/>
      </c>
      <c r="H88" s="470" t="str">
        <f>IF($A88="","",IF('様式２（専従の常勤）'!L66&gt;0,1,""))</f>
        <v/>
      </c>
      <c r="I88" s="470" t="str">
        <f>IF($A88="","",IF('様式２（専従の常勤）'!M66&gt;0,1,""))</f>
        <v/>
      </c>
      <c r="J88" s="470" t="str">
        <f>IF($A88="","",IF('様式２（専従の常勤）'!N66&gt;0,1,""))</f>
        <v/>
      </c>
      <c r="K88" s="470" t="str">
        <f>IF($A88="","",IF('様式２（専従の常勤）'!O66&gt;0,1,""))</f>
        <v/>
      </c>
      <c r="L88" s="470" t="str">
        <f>IF($A88="","",IF('様式２（専従の常勤）'!P66&gt;0,1,""))</f>
        <v/>
      </c>
      <c r="M88" s="470" t="str">
        <f>IF($A88="","",IF('様式２（専従の常勤）'!Q66&gt;0,1,""))</f>
        <v/>
      </c>
      <c r="N88" s="470" t="str">
        <f>IF($A88="","",IF('様式２（専従の常勤）'!R66&gt;0,1,""))</f>
        <v/>
      </c>
    </row>
    <row r="89" spans="1:14">
      <c r="A89" s="470" t="str">
        <f>IF('様式２（専従の常勤）'!B67="","",'様式２（専従の常勤）'!B67)</f>
        <v/>
      </c>
      <c r="B89" s="470" t="str">
        <f>IF($A89="","",'様式２（専従の常勤）'!$A$62)</f>
        <v/>
      </c>
      <c r="C89" s="470" t="str">
        <f>IF($A89="","",IF('様式２（専従の常勤）'!G67&gt;0,1,""))</f>
        <v/>
      </c>
      <c r="D89" s="470" t="str">
        <f>IF($A89="","",IF('様式２（専従の常勤）'!H67&gt;0,1,""))</f>
        <v/>
      </c>
      <c r="E89" s="470" t="str">
        <f>IF($A89="","",IF('様式２（専従の常勤）'!I67&gt;0,1,""))</f>
        <v/>
      </c>
      <c r="F89" s="470" t="str">
        <f>IF($A89="","",IF('様式２（専従の常勤）'!J67&gt;0,1,""))</f>
        <v/>
      </c>
      <c r="G89" s="470" t="str">
        <f>IF($A89="","",IF('様式２（専従の常勤）'!K67&gt;0,1,""))</f>
        <v/>
      </c>
      <c r="H89" s="470" t="str">
        <f>IF($A89="","",IF('様式２（専従の常勤）'!L67&gt;0,1,""))</f>
        <v/>
      </c>
      <c r="I89" s="470" t="str">
        <f>IF($A89="","",IF('様式２（専従の常勤）'!M67&gt;0,1,""))</f>
        <v/>
      </c>
      <c r="J89" s="470" t="str">
        <f>IF($A89="","",IF('様式２（専従の常勤）'!N67&gt;0,1,""))</f>
        <v/>
      </c>
      <c r="K89" s="470" t="str">
        <f>IF($A89="","",IF('様式２（専従の常勤）'!O67&gt;0,1,""))</f>
        <v/>
      </c>
      <c r="L89" s="470" t="str">
        <f>IF($A89="","",IF('様式２（専従の常勤）'!P67&gt;0,1,""))</f>
        <v/>
      </c>
      <c r="M89" s="470" t="str">
        <f>IF($A89="","",IF('様式２（専従の常勤）'!Q67&gt;0,1,""))</f>
        <v/>
      </c>
      <c r="N89" s="470" t="str">
        <f>IF($A89="","",IF('様式２（専従の常勤）'!R67&gt;0,1,""))</f>
        <v/>
      </c>
    </row>
    <row r="90" spans="1:14">
      <c r="A90" s="470" t="str">
        <f>IF('様式２（専従の常勤）'!B68="","",'様式２（専従の常勤）'!B68)</f>
        <v/>
      </c>
      <c r="B90" s="470" t="str">
        <f>IF($A90="","",'様式２（専従の常勤）'!$A$62)</f>
        <v/>
      </c>
      <c r="C90" s="470" t="str">
        <f>IF($A90="","",IF('様式２（専従の常勤）'!G68&gt;0,1,""))</f>
        <v/>
      </c>
      <c r="D90" s="470" t="str">
        <f>IF($A90="","",IF('様式２（専従の常勤）'!H68&gt;0,1,""))</f>
        <v/>
      </c>
      <c r="E90" s="470" t="str">
        <f>IF($A90="","",IF('様式２（専従の常勤）'!I68&gt;0,1,""))</f>
        <v/>
      </c>
      <c r="F90" s="470" t="str">
        <f>IF($A90="","",IF('様式２（専従の常勤）'!J68&gt;0,1,""))</f>
        <v/>
      </c>
      <c r="G90" s="470" t="str">
        <f>IF($A90="","",IF('様式２（専従の常勤）'!K68&gt;0,1,""))</f>
        <v/>
      </c>
      <c r="H90" s="470" t="str">
        <f>IF($A90="","",IF('様式２（専従の常勤）'!L68&gt;0,1,""))</f>
        <v/>
      </c>
      <c r="I90" s="470" t="str">
        <f>IF($A90="","",IF('様式２（専従の常勤）'!M68&gt;0,1,""))</f>
        <v/>
      </c>
      <c r="J90" s="470" t="str">
        <f>IF($A90="","",IF('様式２（専従の常勤）'!N68&gt;0,1,""))</f>
        <v/>
      </c>
      <c r="K90" s="470" t="str">
        <f>IF($A90="","",IF('様式２（専従の常勤）'!O68&gt;0,1,""))</f>
        <v/>
      </c>
      <c r="L90" s="470" t="str">
        <f>IF($A90="","",IF('様式２（専従の常勤）'!P68&gt;0,1,""))</f>
        <v/>
      </c>
      <c r="M90" s="470" t="str">
        <f>IF($A90="","",IF('様式２（専従の常勤）'!Q68&gt;0,1,""))</f>
        <v/>
      </c>
      <c r="N90" s="470" t="str">
        <f>IF($A90="","",IF('様式２（専従の常勤）'!R68&gt;0,1,""))</f>
        <v/>
      </c>
    </row>
    <row r="91" spans="1:14">
      <c r="A91" s="470" t="str">
        <f>IF('様式２（専従の常勤）'!B69="","",'様式２（専従の常勤）'!B69)</f>
        <v/>
      </c>
      <c r="B91" s="470" t="str">
        <f>IF($A91="","",'様式２（専従の常勤）'!$A$62)</f>
        <v/>
      </c>
      <c r="C91" s="470" t="str">
        <f>IF($A91="","",IF('様式２（専従の常勤）'!G69&gt;0,1,""))</f>
        <v/>
      </c>
      <c r="D91" s="470" t="str">
        <f>IF($A91="","",IF('様式２（専従の常勤）'!H69&gt;0,1,""))</f>
        <v/>
      </c>
      <c r="E91" s="470" t="str">
        <f>IF($A91="","",IF('様式２（専従の常勤）'!I69&gt;0,1,""))</f>
        <v/>
      </c>
      <c r="F91" s="470" t="str">
        <f>IF($A91="","",IF('様式２（専従の常勤）'!J69&gt;0,1,""))</f>
        <v/>
      </c>
      <c r="G91" s="470" t="str">
        <f>IF($A91="","",IF('様式２（専従の常勤）'!K69&gt;0,1,""))</f>
        <v/>
      </c>
      <c r="H91" s="470" t="str">
        <f>IF($A91="","",IF('様式２（専従の常勤）'!L69&gt;0,1,""))</f>
        <v/>
      </c>
      <c r="I91" s="470" t="str">
        <f>IF($A91="","",IF('様式２（専従の常勤）'!M69&gt;0,1,""))</f>
        <v/>
      </c>
      <c r="J91" s="470" t="str">
        <f>IF($A91="","",IF('様式２（専従の常勤）'!N69&gt;0,1,""))</f>
        <v/>
      </c>
      <c r="K91" s="470" t="str">
        <f>IF($A91="","",IF('様式２（専従の常勤）'!O69&gt;0,1,""))</f>
        <v/>
      </c>
      <c r="L91" s="470" t="str">
        <f>IF($A91="","",IF('様式２（専従の常勤）'!P69&gt;0,1,""))</f>
        <v/>
      </c>
      <c r="M91" s="470" t="str">
        <f>IF($A91="","",IF('様式２（専従の常勤）'!Q69&gt;0,1,""))</f>
        <v/>
      </c>
      <c r="N91" s="470" t="str">
        <f>IF($A91="","",IF('様式２（専従の常勤）'!R69&gt;0,1,""))</f>
        <v/>
      </c>
    </row>
    <row r="92" spans="1:14">
      <c r="A92" s="471" t="str">
        <f>IF('様式２（専従の常勤）'!B79="","",'様式２（専従の常勤）'!B79)</f>
        <v/>
      </c>
      <c r="B92" s="471" t="str">
        <f>IF($A92="","",'様式２（専従の常勤）'!$A$76)</f>
        <v/>
      </c>
      <c r="C92" s="471" t="str">
        <f>IF($A92="","",IF('様式２（専従の常勤）'!G79&gt;0,1,""))</f>
        <v/>
      </c>
      <c r="D92" s="471" t="str">
        <f>IF($A92="","",IF('様式２（専従の常勤）'!H79&gt;0,1,""))</f>
        <v/>
      </c>
      <c r="E92" s="471" t="str">
        <f>IF($A92="","",IF('様式２（専従の常勤）'!I79&gt;0,1,""))</f>
        <v/>
      </c>
      <c r="F92" s="471" t="str">
        <f>IF($A92="","",IF('様式２（専従の常勤）'!J79&gt;0,1,""))</f>
        <v/>
      </c>
      <c r="G92" s="471" t="str">
        <f>IF($A92="","",IF('様式２（専従の常勤）'!K79&gt;0,1,""))</f>
        <v/>
      </c>
      <c r="H92" s="471" t="str">
        <f>IF($A92="","",IF('様式２（専従の常勤）'!L79&gt;0,1,""))</f>
        <v/>
      </c>
      <c r="I92" s="471" t="str">
        <f>IF($A92="","",IF('様式２（専従の常勤）'!M79&gt;0,1,""))</f>
        <v/>
      </c>
      <c r="J92" s="471" t="str">
        <f>IF($A92="","",IF('様式２（専従の常勤）'!N79&gt;0,1,""))</f>
        <v/>
      </c>
      <c r="K92" s="471" t="str">
        <f>IF($A92="","",IF('様式２（専従の常勤）'!O79&gt;0,1,""))</f>
        <v/>
      </c>
      <c r="L92" s="471" t="str">
        <f>IF($A92="","",IF('様式２（専従の常勤）'!P79&gt;0,1,""))</f>
        <v/>
      </c>
      <c r="M92" s="471" t="str">
        <f>IF($A92="","",IF('様式２（専従の常勤）'!Q79&gt;0,1,""))</f>
        <v/>
      </c>
      <c r="N92" s="471" t="str">
        <f>IF($A92="","",IF('様式２（専従の常勤）'!R79&gt;0,1,""))</f>
        <v/>
      </c>
    </row>
    <row r="93" spans="1:14">
      <c r="A93" s="471" t="str">
        <f>IF('様式２（専従の常勤）'!B80="","",'様式２（専従の常勤）'!B80)</f>
        <v/>
      </c>
      <c r="B93" s="471" t="str">
        <f>IF($A93="","",'様式２（専従の常勤）'!$A$76)</f>
        <v/>
      </c>
      <c r="C93" s="471" t="str">
        <f>IF($A93="","",IF('様式２（専従の常勤）'!G80&gt;0,1,""))</f>
        <v/>
      </c>
      <c r="D93" s="471" t="str">
        <f>IF($A93="","",IF('様式２（専従の常勤）'!H80&gt;0,1,""))</f>
        <v/>
      </c>
      <c r="E93" s="471" t="str">
        <f>IF($A93="","",IF('様式２（専従の常勤）'!I80&gt;0,1,""))</f>
        <v/>
      </c>
      <c r="F93" s="471" t="str">
        <f>IF($A93="","",IF('様式２（専従の常勤）'!J80&gt;0,1,""))</f>
        <v/>
      </c>
      <c r="G93" s="471" t="str">
        <f>IF($A93="","",IF('様式２（専従の常勤）'!K80&gt;0,1,""))</f>
        <v/>
      </c>
      <c r="H93" s="471" t="str">
        <f>IF($A93="","",IF('様式２（専従の常勤）'!L80&gt;0,1,""))</f>
        <v/>
      </c>
      <c r="I93" s="471" t="str">
        <f>IF($A93="","",IF('様式２（専従の常勤）'!M80&gt;0,1,""))</f>
        <v/>
      </c>
      <c r="J93" s="471" t="str">
        <f>IF($A93="","",IF('様式２（専従の常勤）'!N80&gt;0,1,""))</f>
        <v/>
      </c>
      <c r="K93" s="471" t="str">
        <f>IF($A93="","",IF('様式２（専従の常勤）'!O80&gt;0,1,""))</f>
        <v/>
      </c>
      <c r="L93" s="471" t="str">
        <f>IF($A93="","",IF('様式２（専従の常勤）'!P80&gt;0,1,""))</f>
        <v/>
      </c>
      <c r="M93" s="471" t="str">
        <f>IF($A93="","",IF('様式２（専従の常勤）'!Q80&gt;0,1,""))</f>
        <v/>
      </c>
      <c r="N93" s="471" t="str">
        <f>IF($A93="","",IF('様式２（専従の常勤）'!R80&gt;0,1,""))</f>
        <v/>
      </c>
    </row>
    <row r="94" spans="1:14">
      <c r="A94" s="471" t="str">
        <f>IF('様式２（専従の常勤）'!B81="","",'様式２（専従の常勤）'!B81)</f>
        <v/>
      </c>
      <c r="B94" s="471" t="str">
        <f>IF($A94="","",'様式２（専従の常勤）'!$A$76)</f>
        <v/>
      </c>
      <c r="C94" s="471" t="str">
        <f>IF($A94="","",IF('様式２（専従の常勤）'!G81&gt;0,1,""))</f>
        <v/>
      </c>
      <c r="D94" s="471" t="str">
        <f>IF($A94="","",IF('様式２（専従の常勤）'!H81&gt;0,1,""))</f>
        <v/>
      </c>
      <c r="E94" s="471" t="str">
        <f>IF($A94="","",IF('様式２（専従の常勤）'!I81&gt;0,1,""))</f>
        <v/>
      </c>
      <c r="F94" s="471" t="str">
        <f>IF($A94="","",IF('様式２（専従の常勤）'!J81&gt;0,1,""))</f>
        <v/>
      </c>
      <c r="G94" s="471" t="str">
        <f>IF($A94="","",IF('様式２（専従の常勤）'!K81&gt;0,1,""))</f>
        <v/>
      </c>
      <c r="H94" s="471" t="str">
        <f>IF($A94="","",IF('様式２（専従の常勤）'!L81&gt;0,1,""))</f>
        <v/>
      </c>
      <c r="I94" s="471" t="str">
        <f>IF($A94="","",IF('様式２（専従の常勤）'!M81&gt;0,1,""))</f>
        <v/>
      </c>
      <c r="J94" s="471" t="str">
        <f>IF($A94="","",IF('様式２（専従の常勤）'!N81&gt;0,1,""))</f>
        <v/>
      </c>
      <c r="K94" s="471" t="str">
        <f>IF($A94="","",IF('様式２（専従の常勤）'!O81&gt;0,1,""))</f>
        <v/>
      </c>
      <c r="L94" s="471" t="str">
        <f>IF($A94="","",IF('様式２（専従の常勤）'!P81&gt;0,1,""))</f>
        <v/>
      </c>
      <c r="M94" s="471" t="str">
        <f>IF($A94="","",IF('様式２（専従の常勤）'!Q81&gt;0,1,""))</f>
        <v/>
      </c>
      <c r="N94" s="471" t="str">
        <f>IF($A94="","",IF('様式２（専従の常勤）'!R81&gt;0,1,""))</f>
        <v/>
      </c>
    </row>
    <row r="95" spans="1:14">
      <c r="A95" s="471" t="str">
        <f>IF('様式２（専従の常勤）'!B82="","",'様式２（専従の常勤）'!B82)</f>
        <v/>
      </c>
      <c r="B95" s="471" t="str">
        <f>IF($A95="","",'様式２（専従の常勤）'!$A$76)</f>
        <v/>
      </c>
      <c r="C95" s="471" t="str">
        <f>IF($A95="","",IF('様式２（専従の常勤）'!G82&gt;0,1,""))</f>
        <v/>
      </c>
      <c r="D95" s="471" t="str">
        <f>IF($A95="","",IF('様式２（専従の常勤）'!H82&gt;0,1,""))</f>
        <v/>
      </c>
      <c r="E95" s="471" t="str">
        <f>IF($A95="","",IF('様式２（専従の常勤）'!I82&gt;0,1,""))</f>
        <v/>
      </c>
      <c r="F95" s="471" t="str">
        <f>IF($A95="","",IF('様式２（専従の常勤）'!J82&gt;0,1,""))</f>
        <v/>
      </c>
      <c r="G95" s="471" t="str">
        <f>IF($A95="","",IF('様式２（専従の常勤）'!K82&gt;0,1,""))</f>
        <v/>
      </c>
      <c r="H95" s="471" t="str">
        <f>IF($A95="","",IF('様式２（専従の常勤）'!L82&gt;0,1,""))</f>
        <v/>
      </c>
      <c r="I95" s="471" t="str">
        <f>IF($A95="","",IF('様式２（専従の常勤）'!M82&gt;0,1,""))</f>
        <v/>
      </c>
      <c r="J95" s="471" t="str">
        <f>IF($A95="","",IF('様式２（専従の常勤）'!N82&gt;0,1,""))</f>
        <v/>
      </c>
      <c r="K95" s="471" t="str">
        <f>IF($A95="","",IF('様式２（専従の常勤）'!O82&gt;0,1,""))</f>
        <v/>
      </c>
      <c r="L95" s="471" t="str">
        <f>IF($A95="","",IF('様式２（専従の常勤）'!P82&gt;0,1,""))</f>
        <v/>
      </c>
      <c r="M95" s="471" t="str">
        <f>IF($A95="","",IF('様式２（専従の常勤）'!Q82&gt;0,1,""))</f>
        <v/>
      </c>
      <c r="N95" s="471" t="str">
        <f>IF($A95="","",IF('様式２（専従の常勤）'!R82&gt;0,1,""))</f>
        <v/>
      </c>
    </row>
    <row r="96" spans="1:14">
      <c r="A96" s="471" t="str">
        <f>IF('様式２（専従の常勤）'!B83="","",'様式２（専従の常勤）'!B83)</f>
        <v/>
      </c>
      <c r="B96" s="471" t="str">
        <f>IF($A96="","",'様式２（専従の常勤）'!$A$76)</f>
        <v/>
      </c>
      <c r="C96" s="471" t="str">
        <f>IF($A96="","",IF('様式２（専従の常勤）'!G83&gt;0,1,""))</f>
        <v/>
      </c>
      <c r="D96" s="471" t="str">
        <f>IF($A96="","",IF('様式２（専従の常勤）'!H83&gt;0,1,""))</f>
        <v/>
      </c>
      <c r="E96" s="471" t="str">
        <f>IF($A96="","",IF('様式２（専従の常勤）'!I83&gt;0,1,""))</f>
        <v/>
      </c>
      <c r="F96" s="471" t="str">
        <f>IF($A96="","",IF('様式２（専従の常勤）'!J83&gt;0,1,""))</f>
        <v/>
      </c>
      <c r="G96" s="471" t="str">
        <f>IF($A96="","",IF('様式２（専従の常勤）'!K83&gt;0,1,""))</f>
        <v/>
      </c>
      <c r="H96" s="471" t="str">
        <f>IF($A96="","",IF('様式２（専従の常勤）'!L83&gt;0,1,""))</f>
        <v/>
      </c>
      <c r="I96" s="471" t="str">
        <f>IF($A96="","",IF('様式２（専従の常勤）'!M83&gt;0,1,""))</f>
        <v/>
      </c>
      <c r="J96" s="471" t="str">
        <f>IF($A96="","",IF('様式２（専従の常勤）'!N83&gt;0,1,""))</f>
        <v/>
      </c>
      <c r="K96" s="471" t="str">
        <f>IF($A96="","",IF('様式２（専従の常勤）'!O83&gt;0,1,""))</f>
        <v/>
      </c>
      <c r="L96" s="471" t="str">
        <f>IF($A96="","",IF('様式２（専従の常勤）'!P83&gt;0,1,""))</f>
        <v/>
      </c>
      <c r="M96" s="471" t="str">
        <f>IF($A96="","",IF('様式２（専従の常勤）'!Q83&gt;0,1,""))</f>
        <v/>
      </c>
      <c r="N96" s="471" t="str">
        <f>IF($A96="","",IF('様式２（専従の常勤）'!R83&gt;0,1,""))</f>
        <v/>
      </c>
    </row>
  </sheetData>
  <sheetProtection algorithmName="SHA-512" hashValue="zEMkDi3XBUQRBXZu6p5WTvkzDf6uEc33hzNbnSwVaPZtfOXpsbSzOc1qfuh9mIDtjIR2P5eogL1XGdPpwUlaNg==" saltValue="qwTpAp/VE9pkyAmmrQBWKw==" spinCount="100000" sheet="1" objects="1" scenarios="1"/>
  <phoneticPr fontId="3"/>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AN52"/>
  <sheetViews>
    <sheetView workbookViewId="0"/>
  </sheetViews>
  <sheetFormatPr defaultRowHeight="13.5"/>
  <cols>
    <col min="1" max="1" width="4.5" style="1" customWidth="1"/>
    <col min="2" max="2" width="17.375" style="1" customWidth="1"/>
    <col min="3" max="3" width="5.625" style="1" bestFit="1" customWidth="1"/>
    <col min="4" max="8" width="3.625" style="1" bestFit="1" customWidth="1"/>
    <col min="9" max="9" width="5.25" style="1" bestFit="1" customWidth="1"/>
    <col min="10" max="11" width="3.625" style="1" customWidth="1"/>
    <col min="12" max="13" width="3.625" style="1" bestFit="1" customWidth="1"/>
    <col min="14" max="14" width="7.625" style="1" customWidth="1"/>
    <col min="15" max="15" width="3.625" style="1" customWidth="1"/>
    <col min="16" max="16" width="7.625" style="1" customWidth="1"/>
    <col min="17" max="17" width="5" style="1" customWidth="1"/>
    <col min="18" max="18" width="7.625" style="1" customWidth="1"/>
    <col min="19" max="19" width="5" style="1" customWidth="1"/>
    <col min="20" max="20" width="7.625" style="1" customWidth="1"/>
    <col min="21" max="21" width="5" style="1" customWidth="1"/>
    <col min="22" max="22" width="7.625" style="1" customWidth="1"/>
    <col min="23" max="23" width="5" style="1" customWidth="1"/>
    <col min="24" max="24" width="7.625" style="1" customWidth="1"/>
    <col min="25" max="25" width="5" style="1" customWidth="1"/>
    <col min="26" max="26" width="7.625" style="1" customWidth="1"/>
    <col min="27" max="27" width="5" style="1" customWidth="1"/>
    <col min="28" max="28" width="7.625" style="1" customWidth="1"/>
    <col min="29" max="29" width="5" style="1" customWidth="1"/>
    <col min="30" max="30" width="7.625" style="1" customWidth="1"/>
    <col min="31" max="31" width="3.75" style="1" customWidth="1"/>
    <col min="32" max="32" width="7.625" style="1" customWidth="1"/>
    <col min="33" max="33" width="5" style="1" customWidth="1"/>
    <col min="34" max="34" width="7.625" style="1" customWidth="1"/>
    <col min="35" max="35" width="5" style="1" customWidth="1"/>
    <col min="36" max="36" width="7.625" style="1" customWidth="1"/>
    <col min="37" max="37" width="5" style="1" customWidth="1"/>
    <col min="38" max="38" width="7.625" style="1" customWidth="1"/>
    <col min="39" max="39" width="5" style="1" customWidth="1"/>
    <col min="40" max="40" width="8.125" style="1" customWidth="1"/>
    <col min="41" max="50" width="7.25" style="1" customWidth="1"/>
    <col min="51" max="51" width="10.375" style="1" customWidth="1"/>
    <col min="52" max="52" width="17.375" style="1" customWidth="1"/>
    <col min="53" max="16384" width="9" style="1"/>
  </cols>
  <sheetData>
    <row r="1" spans="1:40" ht="18" customHeight="1" thickBot="1">
      <c r="A1" s="8"/>
      <c r="B1" s="9"/>
      <c r="C1" s="10"/>
      <c r="D1" s="10"/>
      <c r="E1" s="10"/>
      <c r="F1" s="10"/>
      <c r="G1" s="10"/>
      <c r="H1" s="10"/>
      <c r="I1" s="10"/>
      <c r="J1" s="10"/>
      <c r="K1" s="10"/>
      <c r="L1" s="10"/>
      <c r="M1" s="10"/>
      <c r="P1" s="11"/>
      <c r="Q1" s="12"/>
      <c r="R1" s="13"/>
      <c r="S1" s="13"/>
      <c r="T1" s="13"/>
      <c r="U1" s="13"/>
      <c r="V1" s="13"/>
      <c r="W1" s="13"/>
      <c r="X1" s="13"/>
      <c r="Y1" s="13"/>
      <c r="AB1" s="14"/>
      <c r="AC1" s="14"/>
      <c r="AD1" s="15"/>
      <c r="AE1" s="15"/>
      <c r="AF1" s="14"/>
      <c r="AG1" s="14"/>
      <c r="AH1" s="14"/>
      <c r="AI1" s="14"/>
    </row>
    <row r="2" spans="1:40" ht="21.95" customHeight="1" thickTop="1" thickBot="1">
      <c r="A2" s="946" t="s">
        <v>50</v>
      </c>
      <c r="B2" s="947"/>
      <c r="C2" s="967">
        <f>様式１!C2</f>
        <v>0</v>
      </c>
      <c r="D2" s="968"/>
      <c r="E2" s="968"/>
      <c r="F2" s="968"/>
      <c r="G2" s="968"/>
      <c r="H2" s="968"/>
      <c r="I2" s="968"/>
      <c r="J2" s="968"/>
      <c r="K2" s="968"/>
      <c r="L2" s="968"/>
      <c r="M2" s="968"/>
      <c r="N2" s="968"/>
      <c r="O2" s="969"/>
      <c r="P2" s="43"/>
      <c r="Q2" s="44"/>
      <c r="R2" s="44"/>
      <c r="S2" s="44"/>
      <c r="T2" s="22"/>
      <c r="U2" s="22"/>
      <c r="V2" s="915"/>
      <c r="W2" s="915"/>
      <c r="X2" s="915"/>
      <c r="Y2" s="915"/>
      <c r="Z2" s="22"/>
      <c r="AA2" s="5"/>
      <c r="AB2" s="6"/>
      <c r="AC2" s="6"/>
      <c r="AD2" s="6"/>
      <c r="AE2" s="6"/>
      <c r="AF2" s="6"/>
      <c r="AG2" s="6"/>
      <c r="AH2" s="6"/>
      <c r="AI2" s="6"/>
      <c r="AJ2" s="6"/>
      <c r="AK2" s="6"/>
      <c r="AL2" s="6"/>
      <c r="AM2" s="6"/>
      <c r="AN2" s="6"/>
    </row>
    <row r="3" spans="1:40" ht="18" customHeight="1" thickTop="1">
      <c r="A3" s="16"/>
      <c r="B3" s="16"/>
      <c r="C3" s="16"/>
      <c r="D3" s="16"/>
      <c r="E3" s="16"/>
      <c r="F3" s="16"/>
      <c r="G3" s="16"/>
      <c r="H3" s="16"/>
      <c r="I3" s="16"/>
      <c r="J3" s="16"/>
      <c r="K3" s="16"/>
      <c r="L3" s="16"/>
      <c r="M3" s="16"/>
      <c r="P3" s="970"/>
      <c r="Q3" s="970"/>
      <c r="R3" s="970"/>
      <c r="S3" s="970"/>
      <c r="T3" s="3"/>
      <c r="U3" s="3"/>
      <c r="V3" s="970"/>
      <c r="W3" s="970"/>
      <c r="X3" s="970"/>
      <c r="Y3" s="970"/>
      <c r="Z3" s="3"/>
      <c r="AA3" s="3"/>
      <c r="AB3" s="6"/>
      <c r="AC3" s="6"/>
      <c r="AD3" s="6"/>
      <c r="AE3" s="6"/>
      <c r="AF3" s="6"/>
      <c r="AG3" s="6"/>
      <c r="AH3" s="6"/>
      <c r="AI3" s="6"/>
      <c r="AJ3" s="6"/>
      <c r="AK3" s="6"/>
      <c r="AL3" s="6"/>
      <c r="AM3" s="6"/>
      <c r="AN3" s="6"/>
    </row>
    <row r="4" spans="1:40" ht="17.25">
      <c r="A4" s="17"/>
      <c r="B4" s="971" t="s">
        <v>51</v>
      </c>
      <c r="C4" s="972"/>
      <c r="D4" s="972"/>
      <c r="E4" s="972"/>
      <c r="F4" s="972"/>
      <c r="G4" s="972"/>
      <c r="H4" s="972"/>
      <c r="I4" s="972"/>
      <c r="J4" s="972"/>
      <c r="K4" s="972"/>
      <c r="L4" s="972"/>
      <c r="M4" s="972"/>
      <c r="N4" s="972"/>
      <c r="O4" s="972"/>
      <c r="P4" s="972"/>
      <c r="Q4" s="973"/>
      <c r="R4" s="23"/>
      <c r="S4" s="23"/>
      <c r="T4" s="24"/>
      <c r="U4" s="3"/>
      <c r="V4" s="970"/>
      <c r="W4" s="970"/>
      <c r="X4" s="970"/>
      <c r="Y4" s="970"/>
      <c r="Z4" s="3"/>
      <c r="AA4" s="3"/>
      <c r="AB4" s="6"/>
      <c r="AC4" s="6"/>
      <c r="AD4" s="6"/>
      <c r="AE4" s="6"/>
      <c r="AF4" s="6"/>
      <c r="AG4" s="6"/>
      <c r="AH4" s="6"/>
      <c r="AI4" s="6"/>
      <c r="AJ4" s="6"/>
      <c r="AK4" s="6"/>
      <c r="AL4" s="6"/>
      <c r="AM4" s="6"/>
      <c r="AN4" s="6"/>
    </row>
    <row r="5" spans="1:40" ht="24.75" customHeight="1" thickBot="1">
      <c r="A5" s="18" t="s">
        <v>52</v>
      </c>
      <c r="B5" s="19"/>
      <c r="C5" s="20"/>
      <c r="D5" s="20"/>
      <c r="E5" s="20"/>
      <c r="F5" s="20"/>
      <c r="G5" s="20"/>
      <c r="H5" s="20"/>
      <c r="I5" s="20"/>
      <c r="J5" s="20"/>
      <c r="K5" s="20"/>
      <c r="L5" s="20"/>
      <c r="M5" s="20"/>
      <c r="P5" s="4"/>
      <c r="Q5" s="4"/>
      <c r="R5" s="4"/>
      <c r="S5" s="4"/>
      <c r="T5" s="4"/>
      <c r="U5" s="4"/>
      <c r="V5" s="4"/>
      <c r="W5" s="4"/>
      <c r="X5" s="4"/>
      <c r="Y5" s="4"/>
      <c r="Z5" s="4"/>
      <c r="AA5" s="4"/>
      <c r="AB5" s="4"/>
      <c r="AC5" s="4"/>
      <c r="AD5" s="4"/>
      <c r="AE5" s="4"/>
      <c r="AF5" s="4"/>
      <c r="AG5" s="4"/>
      <c r="AH5" s="4"/>
      <c r="AI5" s="4"/>
      <c r="AJ5" s="4"/>
      <c r="AK5" s="4"/>
      <c r="AL5" s="4"/>
      <c r="AM5" s="4"/>
      <c r="AN5" s="4"/>
    </row>
    <row r="6" spans="1:40" ht="28.5" customHeight="1">
      <c r="A6" s="897" t="s">
        <v>53</v>
      </c>
      <c r="B6" s="897" t="s">
        <v>54</v>
      </c>
      <c r="C6" s="974" t="s">
        <v>55</v>
      </c>
      <c r="D6" s="734"/>
      <c r="E6" s="734"/>
      <c r="F6" s="734"/>
      <c r="G6" s="734"/>
      <c r="H6" s="734"/>
      <c r="I6" s="734"/>
      <c r="J6" s="734"/>
      <c r="K6" s="734"/>
      <c r="L6" s="734"/>
      <c r="M6" s="936"/>
      <c r="N6" s="38" t="s">
        <v>56</v>
      </c>
      <c r="O6" s="39"/>
      <c r="P6" s="39"/>
      <c r="Q6" s="39"/>
      <c r="R6" s="39"/>
      <c r="S6" s="39"/>
      <c r="T6" s="39"/>
      <c r="U6" s="39"/>
      <c r="V6" s="39"/>
      <c r="W6" s="39"/>
      <c r="X6" s="39"/>
      <c r="Y6" s="39"/>
      <c r="Z6" s="39"/>
      <c r="AA6" s="39"/>
      <c r="AB6" s="39"/>
      <c r="AC6" s="39"/>
      <c r="AD6" s="39"/>
      <c r="AE6" s="39"/>
      <c r="AF6" s="39"/>
      <c r="AG6" s="39"/>
      <c r="AH6" s="39"/>
      <c r="AI6" s="39"/>
      <c r="AJ6" s="39"/>
      <c r="AK6" s="39"/>
      <c r="AL6" s="39"/>
      <c r="AM6" s="40"/>
      <c r="AN6" s="7"/>
    </row>
    <row r="7" spans="1:40" ht="27" customHeight="1">
      <c r="A7" s="898"/>
      <c r="B7" s="934"/>
      <c r="C7" s="648"/>
      <c r="D7" s="649"/>
      <c r="E7" s="649"/>
      <c r="F7" s="649"/>
      <c r="G7" s="649"/>
      <c r="H7" s="649"/>
      <c r="I7" s="649"/>
      <c r="J7" s="649"/>
      <c r="K7" s="649"/>
      <c r="L7" s="649"/>
      <c r="M7" s="937"/>
      <c r="N7" s="41"/>
      <c r="O7" s="42"/>
      <c r="P7" s="976">
        <v>4</v>
      </c>
      <c r="Q7" s="976"/>
      <c r="R7" s="976">
        <v>5</v>
      </c>
      <c r="S7" s="976"/>
      <c r="T7" s="976">
        <v>6</v>
      </c>
      <c r="U7" s="976"/>
      <c r="V7" s="976">
        <v>7</v>
      </c>
      <c r="W7" s="976"/>
      <c r="X7" s="976">
        <v>8</v>
      </c>
      <c r="Y7" s="976"/>
      <c r="Z7" s="976">
        <v>9</v>
      </c>
      <c r="AA7" s="976"/>
      <c r="AB7" s="976">
        <v>10</v>
      </c>
      <c r="AC7" s="976"/>
      <c r="AD7" s="976">
        <v>11</v>
      </c>
      <c r="AE7" s="976"/>
      <c r="AF7" s="976">
        <v>12</v>
      </c>
      <c r="AG7" s="976"/>
      <c r="AH7" s="976">
        <v>1</v>
      </c>
      <c r="AI7" s="976"/>
      <c r="AJ7" s="976">
        <v>2</v>
      </c>
      <c r="AK7" s="976"/>
      <c r="AL7" s="976">
        <v>3</v>
      </c>
      <c r="AM7" s="977"/>
      <c r="AN7" s="7"/>
    </row>
    <row r="8" spans="1:40">
      <c r="A8" s="932"/>
      <c r="B8" s="935"/>
      <c r="C8" s="975"/>
      <c r="D8" s="938"/>
      <c r="E8" s="938"/>
      <c r="F8" s="938"/>
      <c r="G8" s="938"/>
      <c r="H8" s="938"/>
      <c r="I8" s="938"/>
      <c r="J8" s="938"/>
      <c r="K8" s="938"/>
      <c r="L8" s="938"/>
      <c r="M8" s="939"/>
      <c r="N8" s="26" t="s">
        <v>57</v>
      </c>
      <c r="O8" s="27" t="s">
        <v>58</v>
      </c>
      <c r="P8" s="34" t="s">
        <v>57</v>
      </c>
      <c r="Q8" s="35" t="s">
        <v>58</v>
      </c>
      <c r="R8" s="36" t="s">
        <v>57</v>
      </c>
      <c r="S8" s="35" t="s">
        <v>58</v>
      </c>
      <c r="T8" s="36" t="s">
        <v>57</v>
      </c>
      <c r="U8" s="35" t="s">
        <v>58</v>
      </c>
      <c r="V8" s="36" t="s">
        <v>57</v>
      </c>
      <c r="W8" s="35" t="s">
        <v>58</v>
      </c>
      <c r="X8" s="36" t="s">
        <v>57</v>
      </c>
      <c r="Y8" s="35" t="s">
        <v>58</v>
      </c>
      <c r="Z8" s="36" t="s">
        <v>57</v>
      </c>
      <c r="AA8" s="35" t="s">
        <v>58</v>
      </c>
      <c r="AB8" s="36" t="s">
        <v>57</v>
      </c>
      <c r="AC8" s="35" t="s">
        <v>58</v>
      </c>
      <c r="AD8" s="36" t="s">
        <v>57</v>
      </c>
      <c r="AE8" s="35" t="s">
        <v>58</v>
      </c>
      <c r="AF8" s="36" t="s">
        <v>57</v>
      </c>
      <c r="AG8" s="35" t="s">
        <v>58</v>
      </c>
      <c r="AH8" s="36" t="s">
        <v>57</v>
      </c>
      <c r="AI8" s="35" t="s">
        <v>58</v>
      </c>
      <c r="AJ8" s="34" t="s">
        <v>57</v>
      </c>
      <c r="AK8" s="35" t="s">
        <v>58</v>
      </c>
      <c r="AL8" s="36" t="s">
        <v>57</v>
      </c>
      <c r="AM8" s="47" t="s">
        <v>58</v>
      </c>
      <c r="AN8" s="7"/>
    </row>
    <row r="9" spans="1:40" ht="26.1" customHeight="1">
      <c r="A9" s="21">
        <v>1</v>
      </c>
      <c r="B9" s="2" t="s">
        <v>22</v>
      </c>
      <c r="C9" s="25" t="s">
        <v>59</v>
      </c>
      <c r="D9" s="37"/>
      <c r="E9" s="37" t="s">
        <v>60</v>
      </c>
      <c r="F9" s="37"/>
      <c r="G9" s="37" t="s">
        <v>61</v>
      </c>
      <c r="H9" s="37" t="s">
        <v>46</v>
      </c>
      <c r="I9" s="37" t="s">
        <v>59</v>
      </c>
      <c r="J9" s="37"/>
      <c r="K9" s="37" t="s">
        <v>60</v>
      </c>
      <c r="L9" s="37"/>
      <c r="M9" s="37" t="s">
        <v>61</v>
      </c>
      <c r="N9" s="28"/>
      <c r="O9" s="29"/>
      <c r="P9" s="32">
        <f>IF(AND($D9=27,$F9=4),$N9,0)</f>
        <v>0</v>
      </c>
      <c r="Q9" s="46">
        <f>IF(AND($D9=27,$F9=4),$O9,0)</f>
        <v>0</v>
      </c>
      <c r="R9" s="45">
        <f>IF(AND($D9=27,$F9&lt;=5,$J9=27,$L9&gt;=5),$N9,IF(AND($D9=27,$F9&lt;=5,$J9=28,$L9&lt;=3),$N9,0))</f>
        <v>0</v>
      </c>
      <c r="S9" s="46">
        <f>IF(AND($D9=27,$F9&lt;=5,$J9=27,$L9&gt;=5),$O9,IF(AND($D9=27,$F9&lt;=5,$J9=28,$L9&lt;=3),$O9,0))</f>
        <v>0</v>
      </c>
      <c r="T9" s="45">
        <f>IF(AND($D9=27,$F9&lt;=6,$J9=27,$L9&gt;=6),$N9,IF(AND($D9=27,$F9&lt;=6,$J9=28,$L9&lt;=3),$N9,0))</f>
        <v>0</v>
      </c>
      <c r="U9" s="46">
        <f>IF(AND($D9=27,$F9&lt;=6,$J9=27,$L9&gt;=6),$O9,IF(AND($D9=27,$F9&lt;=6,$J9=28,$L9&lt;=3),$O9,0))</f>
        <v>0</v>
      </c>
      <c r="V9" s="45">
        <f>IF(AND($D9=27,$F9&lt;=7,$J9=27,$L9&gt;=7),$N9,IF(AND($D9=27,$F9&lt;=7,$J9=28,$L9&lt;=3),$N9,0))</f>
        <v>0</v>
      </c>
      <c r="W9" s="46">
        <f>IF(AND($D9=27,$F9&lt;=7,$J9=27,$L9&gt;=7),$O9,IF(AND($D9=27,$F9&lt;=7,$J9=28,$L9&lt;=3),$O9,0))</f>
        <v>0</v>
      </c>
      <c r="X9" s="45">
        <f>IF(AND($D9=27,$F9&lt;=8,$J9=27,$L9&gt;=8),$N9,IF(AND($D9=27,$F9&lt;=8,$J9=28,$L9&lt;=3),$N9,0))</f>
        <v>0</v>
      </c>
      <c r="Y9" s="46">
        <f>IF(AND($D9=27,$F9&lt;=8,$J9=27,$L9&gt;=8),$O9,IF(AND($D9=27,$F9&lt;=8,$J9=28,$L9&lt;=3),$O9,0))</f>
        <v>0</v>
      </c>
      <c r="Z9" s="45">
        <f>IF(AND($D9=27,$F9&lt;=9,$J9=27,$L9&gt;=9),$N9,IF(AND($D9=27,$F9&lt;=9,$J9=28,$L9&lt;=3),$N9,0))</f>
        <v>0</v>
      </c>
      <c r="AA9" s="46">
        <f>IF(AND($D9=27,$F9&lt;=9,$J9=27,$L9&gt;=9),$O9,IF(AND($D9=27,$F9&lt;=9,$J9=28,$L9&lt;=3),$O9,0))</f>
        <v>0</v>
      </c>
      <c r="AB9" s="45">
        <f>IF(AND($D9=27,$F9&lt;=10,$J9=27,$L9&gt;=10),$N9,IF(AND($D9=27,$F9&lt;=10,$J9=28,$L9&lt;=3),$N9,0))</f>
        <v>0</v>
      </c>
      <c r="AC9" s="46">
        <f>IF(AND($D9=27,$F9&lt;=10,$J9=27,$L9&gt;=10),$O9,IF(AND($D9=27,$F9&lt;=10,$J9=28,$L9&lt;=3),$O9,0))</f>
        <v>0</v>
      </c>
      <c r="AD9" s="45">
        <f>IF(AND($D9=27,$F9&lt;=11,$J9=27,$L9&gt;=11),$N9,IF(AND($D9=27,$F9&lt;=11,$J9=28,$L9&lt;=3),$N9,0))</f>
        <v>0</v>
      </c>
      <c r="AE9" s="46">
        <f>IF(AND($D9=27,$F9&lt;=11,$J9=27,$L9&gt;=11),$O9,IF(AND($D9=27,$F9&lt;=11,$J9=28,$L9&lt;=3),$O9,0))</f>
        <v>0</v>
      </c>
      <c r="AF9" s="45">
        <f>IF(AND($D9=27,$F9&lt;=12,$J9=27,$L9=12),$N9,IF(AND($D9=27,$F9&lt;=12,$J9=28,$L9&lt;=3),$N9,0))</f>
        <v>0</v>
      </c>
      <c r="AG9" s="46">
        <f>IF(AND($D9=27,$F9&lt;=12,$J9=27,$L9=12),$O9,IF(AND($D9=27,$F9&lt;=12,$J9=28,$L9&lt;=3),$O9,0))</f>
        <v>0</v>
      </c>
      <c r="AH9" s="45">
        <f>IF(AND($D9=27,$F9&lt;=12,$J9=28,$L9&lt;=3),$N9,IF(AND($D9=28,$F9=1,$J9=28,$L9&lt;=3),$N9,0))</f>
        <v>0</v>
      </c>
      <c r="AI9" s="46">
        <f>IF(AND($D9=27,$F9&lt;=12,$J9=28,$L9&lt;=3),$O9,IF(AND($D9=28,$F9=1,$J9=28,$L9&lt;=3),$O9,0))</f>
        <v>0</v>
      </c>
      <c r="AJ9" s="45">
        <f>IF(AND($D9=27,$F9&lt;=12,$J9=28,$L9&gt;=2),$N9,IF(AND($D9=28,$F9&lt;=2,$J9=28,$L9&gt;1),$N9,0))</f>
        <v>0</v>
      </c>
      <c r="AK9" s="46">
        <f>IF(AND($D9=27,$F9&lt;=12,$J9=28,$L9&gt;=2),$O9,IF(AND($D9=28,$F9&lt;=2,$J9=28,$L9&gt;1),$O9,0))</f>
        <v>0</v>
      </c>
      <c r="AL9" s="45">
        <f>IF(AND($D9=27,$F9&lt;=12,$J9=28,$L9=3),$N9,IF(AND($D9=28,$F9&lt;=3,$J9=28,$L9=3),$N9,0))</f>
        <v>0</v>
      </c>
      <c r="AM9" s="48">
        <f>IF(AND($D9=27,$F9&lt;=12,$J9=28,$L9=3),$O9,IF(AND($D9=28,$F9&lt;=3,$J9=28,$L9=3),$O9,0))</f>
        <v>0</v>
      </c>
      <c r="AN9" s="6"/>
    </row>
    <row r="10" spans="1:40" ht="26.1" customHeight="1">
      <c r="A10" s="21">
        <v>2</v>
      </c>
      <c r="B10" s="2" t="s">
        <v>23</v>
      </c>
      <c r="C10" s="25" t="s">
        <v>59</v>
      </c>
      <c r="D10" s="37"/>
      <c r="E10" s="37" t="s">
        <v>60</v>
      </c>
      <c r="F10" s="37"/>
      <c r="G10" s="37" t="s">
        <v>61</v>
      </c>
      <c r="H10" s="37" t="s">
        <v>46</v>
      </c>
      <c r="I10" s="37" t="s">
        <v>59</v>
      </c>
      <c r="J10" s="37"/>
      <c r="K10" s="37" t="s">
        <v>60</v>
      </c>
      <c r="L10" s="37"/>
      <c r="M10" s="37" t="s">
        <v>61</v>
      </c>
      <c r="N10" s="28"/>
      <c r="O10" s="29"/>
      <c r="P10" s="32">
        <f t="shared" ref="P10:P28" si="0">IF(AND($D10=27,$F10=4),$N10,0)</f>
        <v>0</v>
      </c>
      <c r="Q10" s="33">
        <f t="shared" ref="Q10:Q28" si="1">IF(AND($D10=27,$F10=4),$O10,0)</f>
        <v>0</v>
      </c>
      <c r="R10" s="32">
        <f t="shared" ref="R10:R28" si="2">IF(AND($D10=27,$F10&lt;=5,$J10=27,$L10&gt;=5),$N10,IF(AND($D10=27,$F10&lt;=5,$J10=28,$L10&lt;=3),$N10,0))</f>
        <v>0</v>
      </c>
      <c r="S10" s="33">
        <f t="shared" ref="S10:S28" si="3">IF(AND($D10=27,$F10&lt;=5,$J10=27,$L10&gt;=5),$O10,IF(AND($D10=27,$F10&lt;=5,$J10=28,$L10&lt;=3),$O10,0))</f>
        <v>0</v>
      </c>
      <c r="T10" s="32">
        <f t="shared" ref="T10:T28" si="4">IF(AND($D10=27,$F10&lt;=6,$J10=27,$L10&gt;=6),$N10,IF(AND($D10=27,$F10&lt;=6,$J10=28,$L10&lt;=3),$N10,0))</f>
        <v>0</v>
      </c>
      <c r="U10" s="33">
        <f t="shared" ref="U10:U28" si="5">IF(AND($D10=27,$F10&lt;=6,$J10=27,$L10&gt;=6),$O10,IF(AND($D10=27,$F10&lt;=6,$J10=28,$L10&lt;=3),$O10,0))</f>
        <v>0</v>
      </c>
      <c r="V10" s="32">
        <f t="shared" ref="V10:V28" si="6">IF(AND($D10=27,$F10&lt;=7,$J10=27,$L10&gt;=7),$N10,IF(AND($D10=27,$F10&lt;=7,$J10=28,$L10&lt;=3),$N10,0))</f>
        <v>0</v>
      </c>
      <c r="W10" s="33">
        <f t="shared" ref="W10:W28" si="7">IF(AND($D10=27,$F10&lt;=7,$J10=27,$L10&gt;=7),$O10,IF(AND($D10=27,$F10&lt;=7,$J10=28,$L10&lt;=3),$O10,0))</f>
        <v>0</v>
      </c>
      <c r="X10" s="32">
        <f t="shared" ref="X10:X28" si="8">IF(AND($D10=27,$F10&lt;=8,$J10=27,$L10&gt;=8),$N10,IF(AND($D10=27,$F10&lt;=8,$J10=28,$L10&lt;=3),$N10,0))</f>
        <v>0</v>
      </c>
      <c r="Y10" s="33">
        <f t="shared" ref="Y10:Y28" si="9">IF(AND($D10=27,$F10&lt;=8,$J10=27,$L10&gt;=8),$O10,IF(AND($D10=27,$F10&lt;=8,$J10=28,$L10&lt;=3),$O10,0))</f>
        <v>0</v>
      </c>
      <c r="Z10" s="32">
        <f t="shared" ref="Z10:Z28" si="10">IF(AND($D10=27,$F10&lt;=9,$J10=27,$L10&gt;=9),$N10,IF(AND($D10=27,$F10&lt;=9,$J10=28,$L10&lt;=3),$N10,0))</f>
        <v>0</v>
      </c>
      <c r="AA10" s="33">
        <f t="shared" ref="AA10:AA28" si="11">IF(AND($D10=27,$F10&lt;=9,$J10=27,$L10&gt;=9),$O10,IF(AND($D10=27,$F10&lt;=9,$J10=28,$L10&lt;=3),$O10,0))</f>
        <v>0</v>
      </c>
      <c r="AB10" s="32">
        <f t="shared" ref="AB10:AB28" si="12">IF(AND($D10=27,$F10&lt;=10,$J10=27,$L10&gt;=10),$N10,IF(AND($D10=27,$F10&lt;=10,$J10=28,$L10&lt;=3),$N10,0))</f>
        <v>0</v>
      </c>
      <c r="AC10" s="33">
        <f t="shared" ref="AC10:AC28" si="13">IF(AND($D10=27,$F10&lt;=10,$J10=27,$L10&gt;=10),$O10,IF(AND($D10=27,$F10&lt;=10,$J10=28,$L10&lt;=3),$O10,0))</f>
        <v>0</v>
      </c>
      <c r="AD10" s="32">
        <f t="shared" ref="AD10:AD28" si="14">IF(AND($D10=27,$F10&lt;=11,$J10=27,$L10&gt;=11),$N10,IF(AND($D10=27,$F10&lt;=11,$J10=28,$L10&lt;=3),$N10,0))</f>
        <v>0</v>
      </c>
      <c r="AE10" s="33">
        <f t="shared" ref="AE10:AE28" si="15">IF(AND($D10=27,$F10&lt;=11,$J10=27,$L10&gt;=11),$O10,IF(AND($D10=27,$F10&lt;=11,$J10=28,$L10&lt;=3),$O10,0))</f>
        <v>0</v>
      </c>
      <c r="AF10" s="32">
        <f t="shared" ref="AF10:AF28" si="16">IF(AND($D10=27,$F10&lt;=12,$J10=27,$L10=12),$N10,IF(AND($D10=27,$F10&lt;=12,$J10=28,$L10&lt;=3),$N10,0))</f>
        <v>0</v>
      </c>
      <c r="AG10" s="33">
        <f t="shared" ref="AG10:AG28" si="17">IF(AND($D10=27,$F10&lt;=12,$J10=27,$L10=12),$O10,IF(AND($D10=27,$F10&lt;=12,$J10=28,$L10&lt;=3),$O10,0))</f>
        <v>0</v>
      </c>
      <c r="AH10" s="32">
        <f t="shared" ref="AH10:AH28" si="18">IF(AND($D10=27,$F10&lt;=12,$J10=28,$L10&lt;=3),$N10,IF(AND($D10=28,$F10=1,$J10=28,$L10&lt;=3),$N10,0))</f>
        <v>0</v>
      </c>
      <c r="AI10" s="33">
        <f t="shared" ref="AI10:AI28" si="19">IF(AND($D10=27,$F10&lt;=12,$J10=28,$L10&lt;=3),$O10,IF(AND($D10=28,$F10=1,$J10=28,$L10&lt;=3),$O10,0))</f>
        <v>0</v>
      </c>
      <c r="AJ10" s="32">
        <f t="shared" ref="AJ10:AJ28" si="20">IF(AND($D10=27,$F10&lt;=12,$J10=28,$L10&gt;=2),$N10,IF(AND($D10=28,$F10&lt;=2,$J10=28,$L10&gt;1),$N10,0))</f>
        <v>0</v>
      </c>
      <c r="AK10" s="33">
        <f t="shared" ref="AK10:AK28" si="21">IF(AND($D10=27,$F10&lt;=12,$J10=28,$L10&gt;=2),$O10,IF(AND($D10=28,$F10&lt;=2,$J10=28,$L10&gt;1),$O10,0))</f>
        <v>0</v>
      </c>
      <c r="AL10" s="32">
        <f t="shared" ref="AL10:AL28" si="22">IF(AND($D10=27,$F10&lt;=12,$J10=28,$L10=3),$N10,IF(AND($D10=28,$F10&lt;=3,$J10=28,$L10=3),$N10,0))</f>
        <v>0</v>
      </c>
      <c r="AM10" s="49">
        <f t="shared" ref="AM10:AM28" si="23">IF(AND($D10=27,$F10&lt;=12,$J10=28,$L10=3),$O10,IF(AND($D10=28,$F10&lt;=3,$J10=28,$L10=3),$O10,0))</f>
        <v>0</v>
      </c>
      <c r="AN10" s="6"/>
    </row>
    <row r="11" spans="1:40" ht="26.1" customHeight="1">
      <c r="A11" s="21">
        <v>3</v>
      </c>
      <c r="B11" s="2" t="s">
        <v>24</v>
      </c>
      <c r="C11" s="25" t="s">
        <v>59</v>
      </c>
      <c r="D11" s="37"/>
      <c r="E11" s="37" t="s">
        <v>60</v>
      </c>
      <c r="F11" s="37"/>
      <c r="G11" s="37" t="s">
        <v>61</v>
      </c>
      <c r="H11" s="37" t="s">
        <v>46</v>
      </c>
      <c r="I11" s="37" t="s">
        <v>59</v>
      </c>
      <c r="J11" s="37"/>
      <c r="K11" s="37" t="s">
        <v>60</v>
      </c>
      <c r="L11" s="37"/>
      <c r="M11" s="37" t="s">
        <v>61</v>
      </c>
      <c r="N11" s="28"/>
      <c r="O11" s="29"/>
      <c r="P11" s="32">
        <f t="shared" si="0"/>
        <v>0</v>
      </c>
      <c r="Q11" s="33">
        <f t="shared" si="1"/>
        <v>0</v>
      </c>
      <c r="R11" s="32">
        <f t="shared" si="2"/>
        <v>0</v>
      </c>
      <c r="S11" s="33">
        <f t="shared" si="3"/>
        <v>0</v>
      </c>
      <c r="T11" s="32">
        <f t="shared" si="4"/>
        <v>0</v>
      </c>
      <c r="U11" s="33">
        <f t="shared" si="5"/>
        <v>0</v>
      </c>
      <c r="V11" s="32">
        <f t="shared" si="6"/>
        <v>0</v>
      </c>
      <c r="W11" s="33">
        <f t="shared" si="7"/>
        <v>0</v>
      </c>
      <c r="X11" s="32">
        <f t="shared" si="8"/>
        <v>0</v>
      </c>
      <c r="Y11" s="33">
        <f t="shared" si="9"/>
        <v>0</v>
      </c>
      <c r="Z11" s="32">
        <f t="shared" si="10"/>
        <v>0</v>
      </c>
      <c r="AA11" s="33">
        <f t="shared" si="11"/>
        <v>0</v>
      </c>
      <c r="AB11" s="32">
        <f t="shared" si="12"/>
        <v>0</v>
      </c>
      <c r="AC11" s="33">
        <f t="shared" si="13"/>
        <v>0</v>
      </c>
      <c r="AD11" s="32">
        <f t="shared" si="14"/>
        <v>0</v>
      </c>
      <c r="AE11" s="33">
        <f t="shared" si="15"/>
        <v>0</v>
      </c>
      <c r="AF11" s="32">
        <f t="shared" si="16"/>
        <v>0</v>
      </c>
      <c r="AG11" s="33">
        <f t="shared" si="17"/>
        <v>0</v>
      </c>
      <c r="AH11" s="32">
        <f t="shared" si="18"/>
        <v>0</v>
      </c>
      <c r="AI11" s="33">
        <f t="shared" si="19"/>
        <v>0</v>
      </c>
      <c r="AJ11" s="32">
        <f t="shared" si="20"/>
        <v>0</v>
      </c>
      <c r="AK11" s="33">
        <f t="shared" si="21"/>
        <v>0</v>
      </c>
      <c r="AL11" s="32">
        <f t="shared" si="22"/>
        <v>0</v>
      </c>
      <c r="AM11" s="49">
        <f t="shared" si="23"/>
        <v>0</v>
      </c>
      <c r="AN11" s="6"/>
    </row>
    <row r="12" spans="1:40" ht="26.1" customHeight="1">
      <c r="A12" s="21">
        <v>4</v>
      </c>
      <c r="B12" s="2" t="s">
        <v>25</v>
      </c>
      <c r="C12" s="25" t="s">
        <v>59</v>
      </c>
      <c r="D12" s="37"/>
      <c r="E12" s="37" t="s">
        <v>60</v>
      </c>
      <c r="F12" s="37"/>
      <c r="G12" s="37" t="s">
        <v>61</v>
      </c>
      <c r="H12" s="37" t="s">
        <v>46</v>
      </c>
      <c r="I12" s="37" t="s">
        <v>59</v>
      </c>
      <c r="J12" s="37"/>
      <c r="K12" s="37" t="s">
        <v>60</v>
      </c>
      <c r="L12" s="37"/>
      <c r="M12" s="37" t="s">
        <v>61</v>
      </c>
      <c r="N12" s="28"/>
      <c r="O12" s="29"/>
      <c r="P12" s="32">
        <f t="shared" si="0"/>
        <v>0</v>
      </c>
      <c r="Q12" s="33">
        <f t="shared" si="1"/>
        <v>0</v>
      </c>
      <c r="R12" s="32">
        <f t="shared" si="2"/>
        <v>0</v>
      </c>
      <c r="S12" s="33">
        <f t="shared" si="3"/>
        <v>0</v>
      </c>
      <c r="T12" s="32">
        <f t="shared" si="4"/>
        <v>0</v>
      </c>
      <c r="U12" s="33">
        <f t="shared" si="5"/>
        <v>0</v>
      </c>
      <c r="V12" s="32">
        <f t="shared" si="6"/>
        <v>0</v>
      </c>
      <c r="W12" s="33">
        <f t="shared" si="7"/>
        <v>0</v>
      </c>
      <c r="X12" s="32">
        <f t="shared" si="8"/>
        <v>0</v>
      </c>
      <c r="Y12" s="33">
        <f t="shared" si="9"/>
        <v>0</v>
      </c>
      <c r="Z12" s="32">
        <f t="shared" si="10"/>
        <v>0</v>
      </c>
      <c r="AA12" s="33">
        <f t="shared" si="11"/>
        <v>0</v>
      </c>
      <c r="AB12" s="32">
        <f t="shared" si="12"/>
        <v>0</v>
      </c>
      <c r="AC12" s="33">
        <f t="shared" si="13"/>
        <v>0</v>
      </c>
      <c r="AD12" s="32">
        <f t="shared" si="14"/>
        <v>0</v>
      </c>
      <c r="AE12" s="33">
        <f t="shared" si="15"/>
        <v>0</v>
      </c>
      <c r="AF12" s="32">
        <f t="shared" si="16"/>
        <v>0</v>
      </c>
      <c r="AG12" s="33">
        <f t="shared" si="17"/>
        <v>0</v>
      </c>
      <c r="AH12" s="32">
        <f t="shared" si="18"/>
        <v>0</v>
      </c>
      <c r="AI12" s="33">
        <f t="shared" si="19"/>
        <v>0</v>
      </c>
      <c r="AJ12" s="32">
        <f t="shared" si="20"/>
        <v>0</v>
      </c>
      <c r="AK12" s="33">
        <f t="shared" si="21"/>
        <v>0</v>
      </c>
      <c r="AL12" s="32">
        <f t="shared" si="22"/>
        <v>0</v>
      </c>
      <c r="AM12" s="49">
        <f t="shared" si="23"/>
        <v>0</v>
      </c>
      <c r="AN12" s="6"/>
    </row>
    <row r="13" spans="1:40" ht="26.1" customHeight="1">
      <c r="A13" s="21">
        <v>5</v>
      </c>
      <c r="B13" s="2" t="s">
        <v>26</v>
      </c>
      <c r="C13" s="25" t="s">
        <v>59</v>
      </c>
      <c r="D13" s="37"/>
      <c r="E13" s="37" t="s">
        <v>60</v>
      </c>
      <c r="F13" s="37"/>
      <c r="G13" s="37" t="s">
        <v>61</v>
      </c>
      <c r="H13" s="37" t="s">
        <v>46</v>
      </c>
      <c r="I13" s="37" t="s">
        <v>59</v>
      </c>
      <c r="J13" s="37"/>
      <c r="K13" s="37" t="s">
        <v>60</v>
      </c>
      <c r="L13" s="37"/>
      <c r="M13" s="37" t="s">
        <v>61</v>
      </c>
      <c r="N13" s="28"/>
      <c r="O13" s="29"/>
      <c r="P13" s="32">
        <f t="shared" si="0"/>
        <v>0</v>
      </c>
      <c r="Q13" s="33">
        <f t="shared" si="1"/>
        <v>0</v>
      </c>
      <c r="R13" s="32">
        <f t="shared" si="2"/>
        <v>0</v>
      </c>
      <c r="S13" s="33">
        <f t="shared" si="3"/>
        <v>0</v>
      </c>
      <c r="T13" s="32">
        <f t="shared" si="4"/>
        <v>0</v>
      </c>
      <c r="U13" s="33">
        <f t="shared" si="5"/>
        <v>0</v>
      </c>
      <c r="V13" s="32">
        <f t="shared" si="6"/>
        <v>0</v>
      </c>
      <c r="W13" s="33">
        <f t="shared" si="7"/>
        <v>0</v>
      </c>
      <c r="X13" s="32">
        <f t="shared" si="8"/>
        <v>0</v>
      </c>
      <c r="Y13" s="33">
        <f t="shared" si="9"/>
        <v>0</v>
      </c>
      <c r="Z13" s="32">
        <f t="shared" si="10"/>
        <v>0</v>
      </c>
      <c r="AA13" s="33">
        <f t="shared" si="11"/>
        <v>0</v>
      </c>
      <c r="AB13" s="32">
        <f t="shared" si="12"/>
        <v>0</v>
      </c>
      <c r="AC13" s="33">
        <f t="shared" si="13"/>
        <v>0</v>
      </c>
      <c r="AD13" s="32">
        <f t="shared" si="14"/>
        <v>0</v>
      </c>
      <c r="AE13" s="33">
        <f t="shared" si="15"/>
        <v>0</v>
      </c>
      <c r="AF13" s="32">
        <f t="shared" si="16"/>
        <v>0</v>
      </c>
      <c r="AG13" s="33">
        <f t="shared" si="17"/>
        <v>0</v>
      </c>
      <c r="AH13" s="32">
        <f t="shared" si="18"/>
        <v>0</v>
      </c>
      <c r="AI13" s="33">
        <f t="shared" si="19"/>
        <v>0</v>
      </c>
      <c r="AJ13" s="32">
        <f t="shared" si="20"/>
        <v>0</v>
      </c>
      <c r="AK13" s="33">
        <f t="shared" si="21"/>
        <v>0</v>
      </c>
      <c r="AL13" s="32">
        <f t="shared" si="22"/>
        <v>0</v>
      </c>
      <c r="AM13" s="49">
        <f t="shared" si="23"/>
        <v>0</v>
      </c>
      <c r="AN13" s="6"/>
    </row>
    <row r="14" spans="1:40" ht="26.1" customHeight="1">
      <c r="A14" s="21">
        <v>6</v>
      </c>
      <c r="B14" s="2" t="s">
        <v>27</v>
      </c>
      <c r="C14" s="25" t="s">
        <v>59</v>
      </c>
      <c r="D14" s="37"/>
      <c r="E14" s="37" t="s">
        <v>60</v>
      </c>
      <c r="F14" s="37"/>
      <c r="G14" s="37" t="s">
        <v>61</v>
      </c>
      <c r="H14" s="37" t="s">
        <v>46</v>
      </c>
      <c r="I14" s="37" t="s">
        <v>59</v>
      </c>
      <c r="J14" s="37"/>
      <c r="K14" s="37" t="s">
        <v>60</v>
      </c>
      <c r="L14" s="37"/>
      <c r="M14" s="37" t="s">
        <v>61</v>
      </c>
      <c r="N14" s="28"/>
      <c r="O14" s="29"/>
      <c r="P14" s="32">
        <f t="shared" si="0"/>
        <v>0</v>
      </c>
      <c r="Q14" s="33">
        <f t="shared" si="1"/>
        <v>0</v>
      </c>
      <c r="R14" s="32">
        <f t="shared" si="2"/>
        <v>0</v>
      </c>
      <c r="S14" s="33">
        <f t="shared" si="3"/>
        <v>0</v>
      </c>
      <c r="T14" s="32">
        <f t="shared" si="4"/>
        <v>0</v>
      </c>
      <c r="U14" s="33">
        <f t="shared" si="5"/>
        <v>0</v>
      </c>
      <c r="V14" s="32">
        <f t="shared" si="6"/>
        <v>0</v>
      </c>
      <c r="W14" s="33">
        <f t="shared" si="7"/>
        <v>0</v>
      </c>
      <c r="X14" s="32">
        <f t="shared" si="8"/>
        <v>0</v>
      </c>
      <c r="Y14" s="33">
        <f t="shared" si="9"/>
        <v>0</v>
      </c>
      <c r="Z14" s="32">
        <f t="shared" si="10"/>
        <v>0</v>
      </c>
      <c r="AA14" s="33">
        <f t="shared" si="11"/>
        <v>0</v>
      </c>
      <c r="AB14" s="32">
        <f t="shared" si="12"/>
        <v>0</v>
      </c>
      <c r="AC14" s="33">
        <f t="shared" si="13"/>
        <v>0</v>
      </c>
      <c r="AD14" s="32">
        <f t="shared" si="14"/>
        <v>0</v>
      </c>
      <c r="AE14" s="33">
        <f t="shared" si="15"/>
        <v>0</v>
      </c>
      <c r="AF14" s="32">
        <f t="shared" si="16"/>
        <v>0</v>
      </c>
      <c r="AG14" s="33">
        <f t="shared" si="17"/>
        <v>0</v>
      </c>
      <c r="AH14" s="32">
        <f t="shared" si="18"/>
        <v>0</v>
      </c>
      <c r="AI14" s="33">
        <f t="shared" si="19"/>
        <v>0</v>
      </c>
      <c r="AJ14" s="32">
        <f t="shared" si="20"/>
        <v>0</v>
      </c>
      <c r="AK14" s="33">
        <f t="shared" si="21"/>
        <v>0</v>
      </c>
      <c r="AL14" s="32">
        <f t="shared" si="22"/>
        <v>0</v>
      </c>
      <c r="AM14" s="49">
        <f t="shared" si="23"/>
        <v>0</v>
      </c>
      <c r="AN14" s="6"/>
    </row>
    <row r="15" spans="1:40" ht="26.1" customHeight="1">
      <c r="A15" s="21">
        <v>7</v>
      </c>
      <c r="B15" s="2" t="s">
        <v>28</v>
      </c>
      <c r="C15" s="25" t="s">
        <v>59</v>
      </c>
      <c r="D15" s="37"/>
      <c r="E15" s="37" t="s">
        <v>60</v>
      </c>
      <c r="F15" s="37"/>
      <c r="G15" s="37" t="s">
        <v>61</v>
      </c>
      <c r="H15" s="37" t="s">
        <v>46</v>
      </c>
      <c r="I15" s="37" t="s">
        <v>59</v>
      </c>
      <c r="J15" s="37"/>
      <c r="K15" s="37" t="s">
        <v>60</v>
      </c>
      <c r="L15" s="37"/>
      <c r="M15" s="37" t="s">
        <v>61</v>
      </c>
      <c r="N15" s="28"/>
      <c r="O15" s="29"/>
      <c r="P15" s="32">
        <f t="shared" si="0"/>
        <v>0</v>
      </c>
      <c r="Q15" s="33">
        <f t="shared" si="1"/>
        <v>0</v>
      </c>
      <c r="R15" s="32">
        <f t="shared" si="2"/>
        <v>0</v>
      </c>
      <c r="S15" s="33">
        <f t="shared" si="3"/>
        <v>0</v>
      </c>
      <c r="T15" s="32">
        <f t="shared" si="4"/>
        <v>0</v>
      </c>
      <c r="U15" s="33">
        <f t="shared" si="5"/>
        <v>0</v>
      </c>
      <c r="V15" s="32">
        <f t="shared" si="6"/>
        <v>0</v>
      </c>
      <c r="W15" s="33">
        <f t="shared" si="7"/>
        <v>0</v>
      </c>
      <c r="X15" s="32">
        <f t="shared" si="8"/>
        <v>0</v>
      </c>
      <c r="Y15" s="33">
        <f t="shared" si="9"/>
        <v>0</v>
      </c>
      <c r="Z15" s="32">
        <f t="shared" si="10"/>
        <v>0</v>
      </c>
      <c r="AA15" s="33">
        <f t="shared" si="11"/>
        <v>0</v>
      </c>
      <c r="AB15" s="32">
        <f t="shared" si="12"/>
        <v>0</v>
      </c>
      <c r="AC15" s="33">
        <f t="shared" si="13"/>
        <v>0</v>
      </c>
      <c r="AD15" s="32">
        <f t="shared" si="14"/>
        <v>0</v>
      </c>
      <c r="AE15" s="33">
        <f t="shared" si="15"/>
        <v>0</v>
      </c>
      <c r="AF15" s="32">
        <f t="shared" si="16"/>
        <v>0</v>
      </c>
      <c r="AG15" s="33">
        <f t="shared" si="17"/>
        <v>0</v>
      </c>
      <c r="AH15" s="32">
        <f t="shared" si="18"/>
        <v>0</v>
      </c>
      <c r="AI15" s="33">
        <f t="shared" si="19"/>
        <v>0</v>
      </c>
      <c r="AJ15" s="32">
        <f t="shared" si="20"/>
        <v>0</v>
      </c>
      <c r="AK15" s="33">
        <f t="shared" si="21"/>
        <v>0</v>
      </c>
      <c r="AL15" s="32">
        <f t="shared" si="22"/>
        <v>0</v>
      </c>
      <c r="AM15" s="49">
        <f t="shared" si="23"/>
        <v>0</v>
      </c>
      <c r="AN15" s="6"/>
    </row>
    <row r="16" spans="1:40" ht="26.1" customHeight="1">
      <c r="A16" s="21">
        <v>8</v>
      </c>
      <c r="B16" s="2" t="s">
        <v>29</v>
      </c>
      <c r="C16" s="25" t="s">
        <v>59</v>
      </c>
      <c r="D16" s="37"/>
      <c r="E16" s="37" t="s">
        <v>60</v>
      </c>
      <c r="F16" s="37"/>
      <c r="G16" s="37" t="s">
        <v>61</v>
      </c>
      <c r="H16" s="37" t="s">
        <v>46</v>
      </c>
      <c r="I16" s="37" t="s">
        <v>59</v>
      </c>
      <c r="J16" s="37"/>
      <c r="K16" s="37" t="s">
        <v>60</v>
      </c>
      <c r="L16" s="37"/>
      <c r="M16" s="37" t="s">
        <v>61</v>
      </c>
      <c r="N16" s="28"/>
      <c r="O16" s="29"/>
      <c r="P16" s="32">
        <f t="shared" si="0"/>
        <v>0</v>
      </c>
      <c r="Q16" s="33">
        <f t="shared" si="1"/>
        <v>0</v>
      </c>
      <c r="R16" s="32">
        <f t="shared" si="2"/>
        <v>0</v>
      </c>
      <c r="S16" s="33">
        <f t="shared" si="3"/>
        <v>0</v>
      </c>
      <c r="T16" s="32">
        <f t="shared" si="4"/>
        <v>0</v>
      </c>
      <c r="U16" s="33">
        <f t="shared" si="5"/>
        <v>0</v>
      </c>
      <c r="V16" s="32">
        <f t="shared" si="6"/>
        <v>0</v>
      </c>
      <c r="W16" s="33">
        <f t="shared" si="7"/>
        <v>0</v>
      </c>
      <c r="X16" s="32">
        <f t="shared" si="8"/>
        <v>0</v>
      </c>
      <c r="Y16" s="33">
        <f t="shared" si="9"/>
        <v>0</v>
      </c>
      <c r="Z16" s="32">
        <f t="shared" si="10"/>
        <v>0</v>
      </c>
      <c r="AA16" s="33">
        <f t="shared" si="11"/>
        <v>0</v>
      </c>
      <c r="AB16" s="32">
        <f t="shared" si="12"/>
        <v>0</v>
      </c>
      <c r="AC16" s="33">
        <f t="shared" si="13"/>
        <v>0</v>
      </c>
      <c r="AD16" s="32">
        <f t="shared" si="14"/>
        <v>0</v>
      </c>
      <c r="AE16" s="33">
        <f t="shared" si="15"/>
        <v>0</v>
      </c>
      <c r="AF16" s="32">
        <f t="shared" si="16"/>
        <v>0</v>
      </c>
      <c r="AG16" s="33">
        <f t="shared" si="17"/>
        <v>0</v>
      </c>
      <c r="AH16" s="32">
        <f t="shared" si="18"/>
        <v>0</v>
      </c>
      <c r="AI16" s="33">
        <f t="shared" si="19"/>
        <v>0</v>
      </c>
      <c r="AJ16" s="32">
        <f t="shared" si="20"/>
        <v>0</v>
      </c>
      <c r="AK16" s="33">
        <f t="shared" si="21"/>
        <v>0</v>
      </c>
      <c r="AL16" s="32">
        <f t="shared" si="22"/>
        <v>0</v>
      </c>
      <c r="AM16" s="49">
        <f t="shared" si="23"/>
        <v>0</v>
      </c>
      <c r="AN16" s="6"/>
    </row>
    <row r="17" spans="1:40" ht="26.1" customHeight="1">
      <c r="A17" s="21">
        <v>9</v>
      </c>
      <c r="B17" s="2" t="s">
        <v>30</v>
      </c>
      <c r="C17" s="25" t="s">
        <v>59</v>
      </c>
      <c r="D17" s="37"/>
      <c r="E17" s="37" t="s">
        <v>60</v>
      </c>
      <c r="F17" s="37"/>
      <c r="G17" s="37" t="s">
        <v>61</v>
      </c>
      <c r="H17" s="37" t="s">
        <v>46</v>
      </c>
      <c r="I17" s="37" t="s">
        <v>59</v>
      </c>
      <c r="J17" s="37"/>
      <c r="K17" s="37" t="s">
        <v>60</v>
      </c>
      <c r="L17" s="37"/>
      <c r="M17" s="37" t="s">
        <v>61</v>
      </c>
      <c r="N17" s="28"/>
      <c r="O17" s="29"/>
      <c r="P17" s="32">
        <f t="shared" si="0"/>
        <v>0</v>
      </c>
      <c r="Q17" s="33">
        <f t="shared" si="1"/>
        <v>0</v>
      </c>
      <c r="R17" s="32">
        <f t="shared" si="2"/>
        <v>0</v>
      </c>
      <c r="S17" s="33">
        <f t="shared" si="3"/>
        <v>0</v>
      </c>
      <c r="T17" s="32">
        <f t="shared" si="4"/>
        <v>0</v>
      </c>
      <c r="U17" s="33">
        <f t="shared" si="5"/>
        <v>0</v>
      </c>
      <c r="V17" s="32">
        <f t="shared" si="6"/>
        <v>0</v>
      </c>
      <c r="W17" s="33">
        <f t="shared" si="7"/>
        <v>0</v>
      </c>
      <c r="X17" s="32">
        <f t="shared" si="8"/>
        <v>0</v>
      </c>
      <c r="Y17" s="33">
        <f t="shared" si="9"/>
        <v>0</v>
      </c>
      <c r="Z17" s="32">
        <f t="shared" si="10"/>
        <v>0</v>
      </c>
      <c r="AA17" s="33">
        <f t="shared" si="11"/>
        <v>0</v>
      </c>
      <c r="AB17" s="32">
        <f t="shared" si="12"/>
        <v>0</v>
      </c>
      <c r="AC17" s="33">
        <f t="shared" si="13"/>
        <v>0</v>
      </c>
      <c r="AD17" s="32">
        <f t="shared" si="14"/>
        <v>0</v>
      </c>
      <c r="AE17" s="33">
        <f t="shared" si="15"/>
        <v>0</v>
      </c>
      <c r="AF17" s="32">
        <f t="shared" si="16"/>
        <v>0</v>
      </c>
      <c r="AG17" s="33">
        <f t="shared" si="17"/>
        <v>0</v>
      </c>
      <c r="AH17" s="32">
        <f t="shared" si="18"/>
        <v>0</v>
      </c>
      <c r="AI17" s="33">
        <f t="shared" si="19"/>
        <v>0</v>
      </c>
      <c r="AJ17" s="32">
        <f t="shared" si="20"/>
        <v>0</v>
      </c>
      <c r="AK17" s="33">
        <f t="shared" si="21"/>
        <v>0</v>
      </c>
      <c r="AL17" s="32">
        <f t="shared" si="22"/>
        <v>0</v>
      </c>
      <c r="AM17" s="49">
        <f t="shared" si="23"/>
        <v>0</v>
      </c>
      <c r="AN17" s="6"/>
    </row>
    <row r="18" spans="1:40" ht="26.1" customHeight="1">
      <c r="A18" s="21">
        <v>10</v>
      </c>
      <c r="B18" s="2" t="s">
        <v>31</v>
      </c>
      <c r="C18" s="25" t="s">
        <v>59</v>
      </c>
      <c r="D18" s="37"/>
      <c r="E18" s="37" t="s">
        <v>60</v>
      </c>
      <c r="F18" s="37"/>
      <c r="G18" s="37" t="s">
        <v>61</v>
      </c>
      <c r="H18" s="37" t="s">
        <v>46</v>
      </c>
      <c r="I18" s="37" t="s">
        <v>59</v>
      </c>
      <c r="J18" s="37"/>
      <c r="K18" s="37" t="s">
        <v>60</v>
      </c>
      <c r="L18" s="37"/>
      <c r="M18" s="37" t="s">
        <v>61</v>
      </c>
      <c r="N18" s="28"/>
      <c r="O18" s="29"/>
      <c r="P18" s="32">
        <f t="shared" si="0"/>
        <v>0</v>
      </c>
      <c r="Q18" s="33">
        <f t="shared" si="1"/>
        <v>0</v>
      </c>
      <c r="R18" s="32">
        <f t="shared" si="2"/>
        <v>0</v>
      </c>
      <c r="S18" s="33">
        <f t="shared" si="3"/>
        <v>0</v>
      </c>
      <c r="T18" s="32">
        <f t="shared" si="4"/>
        <v>0</v>
      </c>
      <c r="U18" s="33">
        <f t="shared" si="5"/>
        <v>0</v>
      </c>
      <c r="V18" s="32">
        <f t="shared" si="6"/>
        <v>0</v>
      </c>
      <c r="W18" s="33">
        <f t="shared" si="7"/>
        <v>0</v>
      </c>
      <c r="X18" s="32">
        <f t="shared" si="8"/>
        <v>0</v>
      </c>
      <c r="Y18" s="33">
        <f t="shared" si="9"/>
        <v>0</v>
      </c>
      <c r="Z18" s="32">
        <f t="shared" si="10"/>
        <v>0</v>
      </c>
      <c r="AA18" s="33">
        <f t="shared" si="11"/>
        <v>0</v>
      </c>
      <c r="AB18" s="32">
        <f t="shared" si="12"/>
        <v>0</v>
      </c>
      <c r="AC18" s="33">
        <f t="shared" si="13"/>
        <v>0</v>
      </c>
      <c r="AD18" s="32">
        <f t="shared" si="14"/>
        <v>0</v>
      </c>
      <c r="AE18" s="33">
        <f t="shared" si="15"/>
        <v>0</v>
      </c>
      <c r="AF18" s="32">
        <f t="shared" si="16"/>
        <v>0</v>
      </c>
      <c r="AG18" s="33">
        <f t="shared" si="17"/>
        <v>0</v>
      </c>
      <c r="AH18" s="32">
        <f t="shared" si="18"/>
        <v>0</v>
      </c>
      <c r="AI18" s="33">
        <f t="shared" si="19"/>
        <v>0</v>
      </c>
      <c r="AJ18" s="32">
        <f t="shared" si="20"/>
        <v>0</v>
      </c>
      <c r="AK18" s="33">
        <f t="shared" si="21"/>
        <v>0</v>
      </c>
      <c r="AL18" s="32">
        <f t="shared" si="22"/>
        <v>0</v>
      </c>
      <c r="AM18" s="49">
        <f t="shared" si="23"/>
        <v>0</v>
      </c>
      <c r="AN18" s="6"/>
    </row>
    <row r="19" spans="1:40" ht="26.1" customHeight="1">
      <c r="A19" s="21">
        <v>11</v>
      </c>
      <c r="B19" s="2" t="s">
        <v>32</v>
      </c>
      <c r="C19" s="25" t="s">
        <v>59</v>
      </c>
      <c r="D19" s="37"/>
      <c r="E19" s="37" t="s">
        <v>60</v>
      </c>
      <c r="F19" s="37"/>
      <c r="G19" s="37" t="s">
        <v>61</v>
      </c>
      <c r="H19" s="37" t="s">
        <v>46</v>
      </c>
      <c r="I19" s="37" t="s">
        <v>59</v>
      </c>
      <c r="J19" s="37"/>
      <c r="K19" s="37" t="s">
        <v>60</v>
      </c>
      <c r="L19" s="37"/>
      <c r="M19" s="37" t="s">
        <v>61</v>
      </c>
      <c r="N19" s="28"/>
      <c r="O19" s="29"/>
      <c r="P19" s="32">
        <f t="shared" si="0"/>
        <v>0</v>
      </c>
      <c r="Q19" s="33">
        <f t="shared" si="1"/>
        <v>0</v>
      </c>
      <c r="R19" s="32">
        <f t="shared" si="2"/>
        <v>0</v>
      </c>
      <c r="S19" s="33">
        <f t="shared" si="3"/>
        <v>0</v>
      </c>
      <c r="T19" s="32">
        <f t="shared" si="4"/>
        <v>0</v>
      </c>
      <c r="U19" s="33">
        <f t="shared" si="5"/>
        <v>0</v>
      </c>
      <c r="V19" s="32">
        <f t="shared" si="6"/>
        <v>0</v>
      </c>
      <c r="W19" s="33">
        <f t="shared" si="7"/>
        <v>0</v>
      </c>
      <c r="X19" s="32">
        <f t="shared" si="8"/>
        <v>0</v>
      </c>
      <c r="Y19" s="33">
        <f t="shared" si="9"/>
        <v>0</v>
      </c>
      <c r="Z19" s="32">
        <f t="shared" si="10"/>
        <v>0</v>
      </c>
      <c r="AA19" s="33">
        <f t="shared" si="11"/>
        <v>0</v>
      </c>
      <c r="AB19" s="32">
        <f t="shared" si="12"/>
        <v>0</v>
      </c>
      <c r="AC19" s="33">
        <f t="shared" si="13"/>
        <v>0</v>
      </c>
      <c r="AD19" s="32">
        <f t="shared" si="14"/>
        <v>0</v>
      </c>
      <c r="AE19" s="33">
        <f t="shared" si="15"/>
        <v>0</v>
      </c>
      <c r="AF19" s="32">
        <f t="shared" si="16"/>
        <v>0</v>
      </c>
      <c r="AG19" s="33">
        <f t="shared" si="17"/>
        <v>0</v>
      </c>
      <c r="AH19" s="32">
        <f t="shared" si="18"/>
        <v>0</v>
      </c>
      <c r="AI19" s="33">
        <f t="shared" si="19"/>
        <v>0</v>
      </c>
      <c r="AJ19" s="32">
        <f t="shared" si="20"/>
        <v>0</v>
      </c>
      <c r="AK19" s="33">
        <f t="shared" si="21"/>
        <v>0</v>
      </c>
      <c r="AL19" s="32">
        <f t="shared" si="22"/>
        <v>0</v>
      </c>
      <c r="AM19" s="49">
        <f t="shared" si="23"/>
        <v>0</v>
      </c>
      <c r="AN19" s="6"/>
    </row>
    <row r="20" spans="1:40" ht="26.1" customHeight="1">
      <c r="A20" s="21">
        <v>12</v>
      </c>
      <c r="B20" s="2" t="s">
        <v>33</v>
      </c>
      <c r="C20" s="25" t="s">
        <v>59</v>
      </c>
      <c r="D20" s="37"/>
      <c r="E20" s="37" t="s">
        <v>60</v>
      </c>
      <c r="F20" s="37"/>
      <c r="G20" s="37" t="s">
        <v>61</v>
      </c>
      <c r="H20" s="37" t="s">
        <v>46</v>
      </c>
      <c r="I20" s="37" t="s">
        <v>59</v>
      </c>
      <c r="J20" s="37"/>
      <c r="K20" s="37" t="s">
        <v>60</v>
      </c>
      <c r="L20" s="37"/>
      <c r="M20" s="37" t="s">
        <v>61</v>
      </c>
      <c r="N20" s="28"/>
      <c r="O20" s="29"/>
      <c r="P20" s="32">
        <f t="shared" si="0"/>
        <v>0</v>
      </c>
      <c r="Q20" s="33">
        <f t="shared" si="1"/>
        <v>0</v>
      </c>
      <c r="R20" s="32">
        <f t="shared" si="2"/>
        <v>0</v>
      </c>
      <c r="S20" s="33">
        <f t="shared" si="3"/>
        <v>0</v>
      </c>
      <c r="T20" s="32">
        <f t="shared" si="4"/>
        <v>0</v>
      </c>
      <c r="U20" s="33">
        <f t="shared" si="5"/>
        <v>0</v>
      </c>
      <c r="V20" s="32">
        <f t="shared" si="6"/>
        <v>0</v>
      </c>
      <c r="W20" s="33">
        <f t="shared" si="7"/>
        <v>0</v>
      </c>
      <c r="X20" s="32">
        <f t="shared" si="8"/>
        <v>0</v>
      </c>
      <c r="Y20" s="33">
        <f t="shared" si="9"/>
        <v>0</v>
      </c>
      <c r="Z20" s="32">
        <f t="shared" si="10"/>
        <v>0</v>
      </c>
      <c r="AA20" s="33">
        <f t="shared" si="11"/>
        <v>0</v>
      </c>
      <c r="AB20" s="32">
        <f t="shared" si="12"/>
        <v>0</v>
      </c>
      <c r="AC20" s="33">
        <f t="shared" si="13"/>
        <v>0</v>
      </c>
      <c r="AD20" s="32">
        <f t="shared" si="14"/>
        <v>0</v>
      </c>
      <c r="AE20" s="33">
        <f t="shared" si="15"/>
        <v>0</v>
      </c>
      <c r="AF20" s="32">
        <f t="shared" si="16"/>
        <v>0</v>
      </c>
      <c r="AG20" s="33">
        <f t="shared" si="17"/>
        <v>0</v>
      </c>
      <c r="AH20" s="32">
        <f t="shared" si="18"/>
        <v>0</v>
      </c>
      <c r="AI20" s="33">
        <f t="shared" si="19"/>
        <v>0</v>
      </c>
      <c r="AJ20" s="32">
        <f t="shared" si="20"/>
        <v>0</v>
      </c>
      <c r="AK20" s="33">
        <f t="shared" si="21"/>
        <v>0</v>
      </c>
      <c r="AL20" s="32">
        <f t="shared" si="22"/>
        <v>0</v>
      </c>
      <c r="AM20" s="49">
        <f t="shared" si="23"/>
        <v>0</v>
      </c>
      <c r="AN20" s="6"/>
    </row>
    <row r="21" spans="1:40" ht="26.1" customHeight="1">
      <c r="A21" s="21">
        <v>13</v>
      </c>
      <c r="B21" s="2" t="s">
        <v>34</v>
      </c>
      <c r="C21" s="25" t="s">
        <v>59</v>
      </c>
      <c r="D21" s="37"/>
      <c r="E21" s="37" t="s">
        <v>60</v>
      </c>
      <c r="F21" s="37"/>
      <c r="G21" s="37" t="s">
        <v>61</v>
      </c>
      <c r="H21" s="37" t="s">
        <v>46</v>
      </c>
      <c r="I21" s="37" t="s">
        <v>59</v>
      </c>
      <c r="J21" s="37"/>
      <c r="K21" s="37" t="s">
        <v>60</v>
      </c>
      <c r="L21" s="37"/>
      <c r="M21" s="37" t="s">
        <v>61</v>
      </c>
      <c r="N21" s="28"/>
      <c r="O21" s="29"/>
      <c r="P21" s="32">
        <f t="shared" si="0"/>
        <v>0</v>
      </c>
      <c r="Q21" s="33">
        <f t="shared" si="1"/>
        <v>0</v>
      </c>
      <c r="R21" s="32">
        <f t="shared" si="2"/>
        <v>0</v>
      </c>
      <c r="S21" s="33">
        <f t="shared" si="3"/>
        <v>0</v>
      </c>
      <c r="T21" s="32">
        <f t="shared" si="4"/>
        <v>0</v>
      </c>
      <c r="U21" s="33">
        <f t="shared" si="5"/>
        <v>0</v>
      </c>
      <c r="V21" s="32">
        <f t="shared" si="6"/>
        <v>0</v>
      </c>
      <c r="W21" s="33">
        <f t="shared" si="7"/>
        <v>0</v>
      </c>
      <c r="X21" s="32">
        <f t="shared" si="8"/>
        <v>0</v>
      </c>
      <c r="Y21" s="33">
        <f t="shared" si="9"/>
        <v>0</v>
      </c>
      <c r="Z21" s="32">
        <f t="shared" si="10"/>
        <v>0</v>
      </c>
      <c r="AA21" s="33">
        <f t="shared" si="11"/>
        <v>0</v>
      </c>
      <c r="AB21" s="32">
        <f t="shared" si="12"/>
        <v>0</v>
      </c>
      <c r="AC21" s="33">
        <f t="shared" si="13"/>
        <v>0</v>
      </c>
      <c r="AD21" s="32">
        <f t="shared" si="14"/>
        <v>0</v>
      </c>
      <c r="AE21" s="33">
        <f t="shared" si="15"/>
        <v>0</v>
      </c>
      <c r="AF21" s="32">
        <f t="shared" si="16"/>
        <v>0</v>
      </c>
      <c r="AG21" s="33">
        <f t="shared" si="17"/>
        <v>0</v>
      </c>
      <c r="AH21" s="32">
        <f t="shared" si="18"/>
        <v>0</v>
      </c>
      <c r="AI21" s="33">
        <f t="shared" si="19"/>
        <v>0</v>
      </c>
      <c r="AJ21" s="32">
        <f t="shared" si="20"/>
        <v>0</v>
      </c>
      <c r="AK21" s="33">
        <f t="shared" si="21"/>
        <v>0</v>
      </c>
      <c r="AL21" s="32">
        <f t="shared" si="22"/>
        <v>0</v>
      </c>
      <c r="AM21" s="49">
        <f t="shared" si="23"/>
        <v>0</v>
      </c>
      <c r="AN21" s="6"/>
    </row>
    <row r="22" spans="1:40" ht="26.1" customHeight="1">
      <c r="A22" s="21">
        <v>14</v>
      </c>
      <c r="B22" s="2" t="s">
        <v>35</v>
      </c>
      <c r="C22" s="25" t="s">
        <v>59</v>
      </c>
      <c r="D22" s="37"/>
      <c r="E22" s="37" t="s">
        <v>60</v>
      </c>
      <c r="F22" s="37"/>
      <c r="G22" s="37" t="s">
        <v>61</v>
      </c>
      <c r="H22" s="37" t="s">
        <v>46</v>
      </c>
      <c r="I22" s="37" t="s">
        <v>59</v>
      </c>
      <c r="J22" s="37"/>
      <c r="K22" s="37" t="s">
        <v>60</v>
      </c>
      <c r="L22" s="37"/>
      <c r="M22" s="37" t="s">
        <v>61</v>
      </c>
      <c r="N22" s="28"/>
      <c r="O22" s="29"/>
      <c r="P22" s="32">
        <f t="shared" si="0"/>
        <v>0</v>
      </c>
      <c r="Q22" s="33">
        <f t="shared" si="1"/>
        <v>0</v>
      </c>
      <c r="R22" s="32">
        <f t="shared" si="2"/>
        <v>0</v>
      </c>
      <c r="S22" s="33">
        <f t="shared" si="3"/>
        <v>0</v>
      </c>
      <c r="T22" s="32">
        <f t="shared" si="4"/>
        <v>0</v>
      </c>
      <c r="U22" s="33">
        <f t="shared" si="5"/>
        <v>0</v>
      </c>
      <c r="V22" s="32">
        <f t="shared" si="6"/>
        <v>0</v>
      </c>
      <c r="W22" s="33">
        <f t="shared" si="7"/>
        <v>0</v>
      </c>
      <c r="X22" s="32">
        <f t="shared" si="8"/>
        <v>0</v>
      </c>
      <c r="Y22" s="33">
        <f t="shared" si="9"/>
        <v>0</v>
      </c>
      <c r="Z22" s="32">
        <f t="shared" si="10"/>
        <v>0</v>
      </c>
      <c r="AA22" s="33">
        <f t="shared" si="11"/>
        <v>0</v>
      </c>
      <c r="AB22" s="32">
        <f t="shared" si="12"/>
        <v>0</v>
      </c>
      <c r="AC22" s="33">
        <f t="shared" si="13"/>
        <v>0</v>
      </c>
      <c r="AD22" s="32">
        <f t="shared" si="14"/>
        <v>0</v>
      </c>
      <c r="AE22" s="33">
        <f t="shared" si="15"/>
        <v>0</v>
      </c>
      <c r="AF22" s="32">
        <f t="shared" si="16"/>
        <v>0</v>
      </c>
      <c r="AG22" s="33">
        <f t="shared" si="17"/>
        <v>0</v>
      </c>
      <c r="AH22" s="32">
        <f t="shared" si="18"/>
        <v>0</v>
      </c>
      <c r="AI22" s="33">
        <f t="shared" si="19"/>
        <v>0</v>
      </c>
      <c r="AJ22" s="32">
        <f t="shared" si="20"/>
        <v>0</v>
      </c>
      <c r="AK22" s="33">
        <f t="shared" si="21"/>
        <v>0</v>
      </c>
      <c r="AL22" s="32">
        <f t="shared" si="22"/>
        <v>0</v>
      </c>
      <c r="AM22" s="49">
        <f t="shared" si="23"/>
        <v>0</v>
      </c>
      <c r="AN22" s="6"/>
    </row>
    <row r="23" spans="1:40" ht="26.1" customHeight="1">
      <c r="A23" s="21">
        <v>15</v>
      </c>
      <c r="B23" s="2" t="s">
        <v>36</v>
      </c>
      <c r="C23" s="25" t="s">
        <v>59</v>
      </c>
      <c r="D23" s="37"/>
      <c r="E23" s="37" t="s">
        <v>60</v>
      </c>
      <c r="F23" s="37"/>
      <c r="G23" s="37" t="s">
        <v>61</v>
      </c>
      <c r="H23" s="37" t="s">
        <v>46</v>
      </c>
      <c r="I23" s="37" t="s">
        <v>59</v>
      </c>
      <c r="J23" s="37"/>
      <c r="K23" s="37" t="s">
        <v>60</v>
      </c>
      <c r="L23" s="37"/>
      <c r="M23" s="37" t="s">
        <v>61</v>
      </c>
      <c r="N23" s="28"/>
      <c r="O23" s="29"/>
      <c r="P23" s="32">
        <f t="shared" si="0"/>
        <v>0</v>
      </c>
      <c r="Q23" s="33">
        <f t="shared" si="1"/>
        <v>0</v>
      </c>
      <c r="R23" s="32">
        <f t="shared" si="2"/>
        <v>0</v>
      </c>
      <c r="S23" s="33">
        <f t="shared" si="3"/>
        <v>0</v>
      </c>
      <c r="T23" s="32">
        <f t="shared" si="4"/>
        <v>0</v>
      </c>
      <c r="U23" s="33">
        <f t="shared" si="5"/>
        <v>0</v>
      </c>
      <c r="V23" s="32">
        <f t="shared" si="6"/>
        <v>0</v>
      </c>
      <c r="W23" s="33">
        <f t="shared" si="7"/>
        <v>0</v>
      </c>
      <c r="X23" s="32">
        <f t="shared" si="8"/>
        <v>0</v>
      </c>
      <c r="Y23" s="33">
        <f t="shared" si="9"/>
        <v>0</v>
      </c>
      <c r="Z23" s="32">
        <f t="shared" si="10"/>
        <v>0</v>
      </c>
      <c r="AA23" s="33">
        <f t="shared" si="11"/>
        <v>0</v>
      </c>
      <c r="AB23" s="32">
        <f t="shared" si="12"/>
        <v>0</v>
      </c>
      <c r="AC23" s="33">
        <f t="shared" si="13"/>
        <v>0</v>
      </c>
      <c r="AD23" s="32">
        <f t="shared" si="14"/>
        <v>0</v>
      </c>
      <c r="AE23" s="33">
        <f t="shared" si="15"/>
        <v>0</v>
      </c>
      <c r="AF23" s="32">
        <f t="shared" si="16"/>
        <v>0</v>
      </c>
      <c r="AG23" s="33">
        <f t="shared" si="17"/>
        <v>0</v>
      </c>
      <c r="AH23" s="32">
        <f t="shared" si="18"/>
        <v>0</v>
      </c>
      <c r="AI23" s="33">
        <f t="shared" si="19"/>
        <v>0</v>
      </c>
      <c r="AJ23" s="32">
        <f t="shared" si="20"/>
        <v>0</v>
      </c>
      <c r="AK23" s="33">
        <f t="shared" si="21"/>
        <v>0</v>
      </c>
      <c r="AL23" s="32">
        <f t="shared" si="22"/>
        <v>0</v>
      </c>
      <c r="AM23" s="49">
        <f t="shared" si="23"/>
        <v>0</v>
      </c>
      <c r="AN23" s="6"/>
    </row>
    <row r="24" spans="1:40" ht="26.1" customHeight="1">
      <c r="A24" s="21">
        <v>16</v>
      </c>
      <c r="B24" s="2" t="s">
        <v>37</v>
      </c>
      <c r="C24" s="25" t="s">
        <v>59</v>
      </c>
      <c r="D24" s="37"/>
      <c r="E24" s="37" t="s">
        <v>60</v>
      </c>
      <c r="F24" s="37"/>
      <c r="G24" s="37" t="s">
        <v>61</v>
      </c>
      <c r="H24" s="37" t="s">
        <v>46</v>
      </c>
      <c r="I24" s="37" t="s">
        <v>59</v>
      </c>
      <c r="J24" s="37"/>
      <c r="K24" s="37" t="s">
        <v>60</v>
      </c>
      <c r="L24" s="37"/>
      <c r="M24" s="37" t="s">
        <v>61</v>
      </c>
      <c r="N24" s="28"/>
      <c r="O24" s="29"/>
      <c r="P24" s="32">
        <f t="shared" si="0"/>
        <v>0</v>
      </c>
      <c r="Q24" s="33">
        <f t="shared" si="1"/>
        <v>0</v>
      </c>
      <c r="R24" s="32">
        <f t="shared" si="2"/>
        <v>0</v>
      </c>
      <c r="S24" s="33">
        <f t="shared" si="3"/>
        <v>0</v>
      </c>
      <c r="T24" s="32">
        <f t="shared" si="4"/>
        <v>0</v>
      </c>
      <c r="U24" s="33">
        <f t="shared" si="5"/>
        <v>0</v>
      </c>
      <c r="V24" s="32">
        <f t="shared" si="6"/>
        <v>0</v>
      </c>
      <c r="W24" s="33">
        <f t="shared" si="7"/>
        <v>0</v>
      </c>
      <c r="X24" s="32">
        <f t="shared" si="8"/>
        <v>0</v>
      </c>
      <c r="Y24" s="33">
        <f t="shared" si="9"/>
        <v>0</v>
      </c>
      <c r="Z24" s="32">
        <f t="shared" si="10"/>
        <v>0</v>
      </c>
      <c r="AA24" s="33">
        <f t="shared" si="11"/>
        <v>0</v>
      </c>
      <c r="AB24" s="32">
        <f t="shared" si="12"/>
        <v>0</v>
      </c>
      <c r="AC24" s="33">
        <f t="shared" si="13"/>
        <v>0</v>
      </c>
      <c r="AD24" s="32">
        <f t="shared" si="14"/>
        <v>0</v>
      </c>
      <c r="AE24" s="33">
        <f t="shared" si="15"/>
        <v>0</v>
      </c>
      <c r="AF24" s="32">
        <f t="shared" si="16"/>
        <v>0</v>
      </c>
      <c r="AG24" s="33">
        <f t="shared" si="17"/>
        <v>0</v>
      </c>
      <c r="AH24" s="32">
        <f t="shared" si="18"/>
        <v>0</v>
      </c>
      <c r="AI24" s="33">
        <f t="shared" si="19"/>
        <v>0</v>
      </c>
      <c r="AJ24" s="32">
        <f t="shared" si="20"/>
        <v>0</v>
      </c>
      <c r="AK24" s="33">
        <f t="shared" si="21"/>
        <v>0</v>
      </c>
      <c r="AL24" s="32">
        <f t="shared" si="22"/>
        <v>0</v>
      </c>
      <c r="AM24" s="49">
        <f t="shared" si="23"/>
        <v>0</v>
      </c>
      <c r="AN24" s="6"/>
    </row>
    <row r="25" spans="1:40" ht="26.1" customHeight="1">
      <c r="A25" s="21">
        <v>17</v>
      </c>
      <c r="B25" s="2" t="s">
        <v>38</v>
      </c>
      <c r="C25" s="25" t="s">
        <v>59</v>
      </c>
      <c r="D25" s="37"/>
      <c r="E25" s="37" t="s">
        <v>60</v>
      </c>
      <c r="F25" s="37"/>
      <c r="G25" s="37" t="s">
        <v>61</v>
      </c>
      <c r="H25" s="37" t="s">
        <v>46</v>
      </c>
      <c r="I25" s="37" t="s">
        <v>59</v>
      </c>
      <c r="J25" s="37"/>
      <c r="K25" s="37" t="s">
        <v>60</v>
      </c>
      <c r="L25" s="37"/>
      <c r="M25" s="37" t="s">
        <v>61</v>
      </c>
      <c r="N25" s="28"/>
      <c r="O25" s="29"/>
      <c r="P25" s="32">
        <f t="shared" si="0"/>
        <v>0</v>
      </c>
      <c r="Q25" s="33">
        <f t="shared" si="1"/>
        <v>0</v>
      </c>
      <c r="R25" s="32">
        <f t="shared" si="2"/>
        <v>0</v>
      </c>
      <c r="S25" s="33">
        <f t="shared" si="3"/>
        <v>0</v>
      </c>
      <c r="T25" s="32">
        <f t="shared" si="4"/>
        <v>0</v>
      </c>
      <c r="U25" s="33">
        <f t="shared" si="5"/>
        <v>0</v>
      </c>
      <c r="V25" s="32">
        <f t="shared" si="6"/>
        <v>0</v>
      </c>
      <c r="W25" s="33">
        <f t="shared" si="7"/>
        <v>0</v>
      </c>
      <c r="X25" s="32">
        <f>IF(AND($D25=27,$F25&lt;=8,$J25=27,$L25&gt;=8),$N25,IF(AND($D25=27,$F25&lt;=8,$J25=28,$L25&lt;=3),$N25,0))</f>
        <v>0</v>
      </c>
      <c r="Y25" s="33">
        <f t="shared" si="9"/>
        <v>0</v>
      </c>
      <c r="Z25" s="32">
        <f t="shared" si="10"/>
        <v>0</v>
      </c>
      <c r="AA25" s="33">
        <f t="shared" si="11"/>
        <v>0</v>
      </c>
      <c r="AB25" s="32">
        <f t="shared" si="12"/>
        <v>0</v>
      </c>
      <c r="AC25" s="33">
        <f t="shared" si="13"/>
        <v>0</v>
      </c>
      <c r="AD25" s="32">
        <f t="shared" si="14"/>
        <v>0</v>
      </c>
      <c r="AE25" s="33">
        <f t="shared" si="15"/>
        <v>0</v>
      </c>
      <c r="AF25" s="32">
        <f t="shared" si="16"/>
        <v>0</v>
      </c>
      <c r="AG25" s="33">
        <f t="shared" si="17"/>
        <v>0</v>
      </c>
      <c r="AH25" s="32">
        <f t="shared" si="18"/>
        <v>0</v>
      </c>
      <c r="AI25" s="33">
        <f t="shared" si="19"/>
        <v>0</v>
      </c>
      <c r="AJ25" s="32">
        <f t="shared" si="20"/>
        <v>0</v>
      </c>
      <c r="AK25" s="33">
        <f t="shared" si="21"/>
        <v>0</v>
      </c>
      <c r="AL25" s="32">
        <f t="shared" si="22"/>
        <v>0</v>
      </c>
      <c r="AM25" s="49">
        <f t="shared" si="23"/>
        <v>0</v>
      </c>
      <c r="AN25" s="6"/>
    </row>
    <row r="26" spans="1:40" ht="26.1" customHeight="1">
      <c r="A26" s="21">
        <v>18</v>
      </c>
      <c r="B26" s="2" t="s">
        <v>39</v>
      </c>
      <c r="C26" s="25" t="s">
        <v>59</v>
      </c>
      <c r="D26" s="37"/>
      <c r="E26" s="37" t="s">
        <v>60</v>
      </c>
      <c r="F26" s="37"/>
      <c r="G26" s="37" t="s">
        <v>61</v>
      </c>
      <c r="H26" s="37" t="s">
        <v>46</v>
      </c>
      <c r="I26" s="37" t="s">
        <v>59</v>
      </c>
      <c r="J26" s="37"/>
      <c r="K26" s="37" t="s">
        <v>60</v>
      </c>
      <c r="L26" s="37"/>
      <c r="M26" s="37" t="s">
        <v>61</v>
      </c>
      <c r="N26" s="28"/>
      <c r="O26" s="29"/>
      <c r="P26" s="32">
        <f t="shared" si="0"/>
        <v>0</v>
      </c>
      <c r="Q26" s="33">
        <f t="shared" si="1"/>
        <v>0</v>
      </c>
      <c r="R26" s="32">
        <f t="shared" si="2"/>
        <v>0</v>
      </c>
      <c r="S26" s="33">
        <f t="shared" si="3"/>
        <v>0</v>
      </c>
      <c r="T26" s="32">
        <f t="shared" si="4"/>
        <v>0</v>
      </c>
      <c r="U26" s="33">
        <f t="shared" si="5"/>
        <v>0</v>
      </c>
      <c r="V26" s="32">
        <f t="shared" si="6"/>
        <v>0</v>
      </c>
      <c r="W26" s="33">
        <f t="shared" si="7"/>
        <v>0</v>
      </c>
      <c r="X26" s="32">
        <f t="shared" si="8"/>
        <v>0</v>
      </c>
      <c r="Y26" s="33">
        <f t="shared" si="9"/>
        <v>0</v>
      </c>
      <c r="Z26" s="32">
        <f t="shared" si="10"/>
        <v>0</v>
      </c>
      <c r="AA26" s="33">
        <f t="shared" si="11"/>
        <v>0</v>
      </c>
      <c r="AB26" s="32">
        <f t="shared" si="12"/>
        <v>0</v>
      </c>
      <c r="AC26" s="33">
        <f t="shared" si="13"/>
        <v>0</v>
      </c>
      <c r="AD26" s="32">
        <f t="shared" si="14"/>
        <v>0</v>
      </c>
      <c r="AE26" s="33">
        <f t="shared" si="15"/>
        <v>0</v>
      </c>
      <c r="AF26" s="32">
        <f t="shared" si="16"/>
        <v>0</v>
      </c>
      <c r="AG26" s="33">
        <f t="shared" si="17"/>
        <v>0</v>
      </c>
      <c r="AH26" s="32">
        <f t="shared" si="18"/>
        <v>0</v>
      </c>
      <c r="AI26" s="33">
        <f t="shared" si="19"/>
        <v>0</v>
      </c>
      <c r="AJ26" s="32">
        <f t="shared" si="20"/>
        <v>0</v>
      </c>
      <c r="AK26" s="33">
        <f t="shared" si="21"/>
        <v>0</v>
      </c>
      <c r="AL26" s="32">
        <f t="shared" si="22"/>
        <v>0</v>
      </c>
      <c r="AM26" s="49">
        <f t="shared" si="23"/>
        <v>0</v>
      </c>
      <c r="AN26" s="6"/>
    </row>
    <row r="27" spans="1:40" ht="26.1" customHeight="1">
      <c r="A27" s="21">
        <v>19</v>
      </c>
      <c r="B27" s="2" t="s">
        <v>40</v>
      </c>
      <c r="C27" s="25" t="s">
        <v>59</v>
      </c>
      <c r="D27" s="37"/>
      <c r="E27" s="37" t="s">
        <v>60</v>
      </c>
      <c r="F27" s="37"/>
      <c r="G27" s="37" t="s">
        <v>61</v>
      </c>
      <c r="H27" s="37" t="s">
        <v>46</v>
      </c>
      <c r="I27" s="37" t="s">
        <v>59</v>
      </c>
      <c r="J27" s="37"/>
      <c r="K27" s="37" t="s">
        <v>60</v>
      </c>
      <c r="L27" s="37"/>
      <c r="M27" s="37" t="s">
        <v>61</v>
      </c>
      <c r="N27" s="28"/>
      <c r="O27" s="29"/>
      <c r="P27" s="32">
        <f t="shared" si="0"/>
        <v>0</v>
      </c>
      <c r="Q27" s="33">
        <f t="shared" si="1"/>
        <v>0</v>
      </c>
      <c r="R27" s="32">
        <f t="shared" si="2"/>
        <v>0</v>
      </c>
      <c r="S27" s="33">
        <f t="shared" si="3"/>
        <v>0</v>
      </c>
      <c r="T27" s="32">
        <f t="shared" si="4"/>
        <v>0</v>
      </c>
      <c r="U27" s="33">
        <f t="shared" si="5"/>
        <v>0</v>
      </c>
      <c r="V27" s="32">
        <f t="shared" si="6"/>
        <v>0</v>
      </c>
      <c r="W27" s="33">
        <f t="shared" si="7"/>
        <v>0</v>
      </c>
      <c r="X27" s="32">
        <f t="shared" si="8"/>
        <v>0</v>
      </c>
      <c r="Y27" s="33">
        <f t="shared" si="9"/>
        <v>0</v>
      </c>
      <c r="Z27" s="32">
        <f t="shared" si="10"/>
        <v>0</v>
      </c>
      <c r="AA27" s="33">
        <f t="shared" si="11"/>
        <v>0</v>
      </c>
      <c r="AB27" s="32">
        <f t="shared" si="12"/>
        <v>0</v>
      </c>
      <c r="AC27" s="33">
        <f t="shared" si="13"/>
        <v>0</v>
      </c>
      <c r="AD27" s="32">
        <f t="shared" si="14"/>
        <v>0</v>
      </c>
      <c r="AE27" s="33">
        <f t="shared" si="15"/>
        <v>0</v>
      </c>
      <c r="AF27" s="32">
        <f t="shared" si="16"/>
        <v>0</v>
      </c>
      <c r="AG27" s="33">
        <f t="shared" si="17"/>
        <v>0</v>
      </c>
      <c r="AH27" s="32">
        <f t="shared" si="18"/>
        <v>0</v>
      </c>
      <c r="AI27" s="33">
        <f t="shared" si="19"/>
        <v>0</v>
      </c>
      <c r="AJ27" s="32">
        <f t="shared" si="20"/>
        <v>0</v>
      </c>
      <c r="AK27" s="33">
        <f t="shared" si="21"/>
        <v>0</v>
      </c>
      <c r="AL27" s="32">
        <f t="shared" si="22"/>
        <v>0</v>
      </c>
      <c r="AM27" s="49">
        <f t="shared" si="23"/>
        <v>0</v>
      </c>
      <c r="AN27" s="6"/>
    </row>
    <row r="28" spans="1:40" ht="26.1" customHeight="1" thickBot="1">
      <c r="A28" s="21">
        <v>20</v>
      </c>
      <c r="B28" s="2" t="s">
        <v>41</v>
      </c>
      <c r="C28" s="25" t="s">
        <v>59</v>
      </c>
      <c r="D28" s="37"/>
      <c r="E28" s="37" t="s">
        <v>60</v>
      </c>
      <c r="F28" s="37"/>
      <c r="G28" s="37" t="s">
        <v>61</v>
      </c>
      <c r="H28" s="37" t="s">
        <v>46</v>
      </c>
      <c r="I28" s="37" t="s">
        <v>59</v>
      </c>
      <c r="J28" s="37"/>
      <c r="K28" s="37" t="s">
        <v>60</v>
      </c>
      <c r="L28" s="37"/>
      <c r="M28" s="37" t="s">
        <v>61</v>
      </c>
      <c r="N28" s="30"/>
      <c r="O28" s="31"/>
      <c r="P28" s="50">
        <f t="shared" si="0"/>
        <v>0</v>
      </c>
      <c r="Q28" s="51">
        <f t="shared" si="1"/>
        <v>0</v>
      </c>
      <c r="R28" s="50">
        <f t="shared" si="2"/>
        <v>0</v>
      </c>
      <c r="S28" s="51">
        <f t="shared" si="3"/>
        <v>0</v>
      </c>
      <c r="T28" s="50">
        <f t="shared" si="4"/>
        <v>0</v>
      </c>
      <c r="U28" s="51">
        <f t="shared" si="5"/>
        <v>0</v>
      </c>
      <c r="V28" s="50">
        <f t="shared" si="6"/>
        <v>0</v>
      </c>
      <c r="W28" s="51">
        <f t="shared" si="7"/>
        <v>0</v>
      </c>
      <c r="X28" s="50">
        <f t="shared" si="8"/>
        <v>0</v>
      </c>
      <c r="Y28" s="51">
        <f t="shared" si="9"/>
        <v>0</v>
      </c>
      <c r="Z28" s="50">
        <f t="shared" si="10"/>
        <v>0</v>
      </c>
      <c r="AA28" s="51">
        <f t="shared" si="11"/>
        <v>0</v>
      </c>
      <c r="AB28" s="50">
        <f t="shared" si="12"/>
        <v>0</v>
      </c>
      <c r="AC28" s="51">
        <f t="shared" si="13"/>
        <v>0</v>
      </c>
      <c r="AD28" s="50">
        <f t="shared" si="14"/>
        <v>0</v>
      </c>
      <c r="AE28" s="51">
        <f t="shared" si="15"/>
        <v>0</v>
      </c>
      <c r="AF28" s="50">
        <f t="shared" si="16"/>
        <v>0</v>
      </c>
      <c r="AG28" s="51">
        <f t="shared" si="17"/>
        <v>0</v>
      </c>
      <c r="AH28" s="50">
        <f t="shared" si="18"/>
        <v>0</v>
      </c>
      <c r="AI28" s="51">
        <f t="shared" si="19"/>
        <v>0</v>
      </c>
      <c r="AJ28" s="50">
        <f t="shared" si="20"/>
        <v>0</v>
      </c>
      <c r="AK28" s="51">
        <f t="shared" si="21"/>
        <v>0</v>
      </c>
      <c r="AL28" s="50">
        <f t="shared" si="22"/>
        <v>0</v>
      </c>
      <c r="AM28" s="52">
        <f t="shared" si="23"/>
        <v>0</v>
      </c>
      <c r="AN28" s="6"/>
    </row>
    <row r="29" spans="1:40" ht="26.1" customHeight="1" thickBot="1">
      <c r="A29" s="978" t="s">
        <v>62</v>
      </c>
      <c r="B29" s="979"/>
      <c r="C29" s="979"/>
      <c r="D29" s="979"/>
      <c r="E29" s="979"/>
      <c r="F29" s="979"/>
      <c r="G29" s="979"/>
      <c r="H29" s="979"/>
      <c r="I29" s="979"/>
      <c r="J29" s="979"/>
      <c r="K29" s="979"/>
      <c r="L29" s="979"/>
      <c r="M29" s="980"/>
      <c r="N29" s="981">
        <f>(SUM(N9:N28)*60+SUM(O9:O28))/60</f>
        <v>0</v>
      </c>
      <c r="O29" s="982"/>
      <c r="P29" s="922">
        <f>(SUM(P9:P28)*60+SUM(Q9:Q28))/60</f>
        <v>0</v>
      </c>
      <c r="Q29" s="923"/>
      <c r="R29" s="922">
        <f>(SUM(R9:R28)*60+SUM(S9:S28))/60</f>
        <v>0</v>
      </c>
      <c r="S29" s="923"/>
      <c r="T29" s="922">
        <f>(SUM(T9:T28)*60+SUM(U9:U28))/60</f>
        <v>0</v>
      </c>
      <c r="U29" s="923"/>
      <c r="V29" s="922">
        <f>(SUM(V9:V28)*60+SUM(W9:W28))/60</f>
        <v>0</v>
      </c>
      <c r="W29" s="923"/>
      <c r="X29" s="922">
        <f>(SUM(X9:X28)*60+SUM(Y9:Y28))/60</f>
        <v>0</v>
      </c>
      <c r="Y29" s="923"/>
      <c r="Z29" s="922">
        <f>(SUM(Z9:Z28)*60+SUM(AA9:AA28))/60</f>
        <v>0</v>
      </c>
      <c r="AA29" s="923"/>
      <c r="AB29" s="922">
        <f>(SUM(AB9:AB28)*60+SUM(AC9:AC28))/60</f>
        <v>0</v>
      </c>
      <c r="AC29" s="923"/>
      <c r="AD29" s="922">
        <f>(SUM(AD9:AD28)*60+SUM(AE9:AE28))/60</f>
        <v>0</v>
      </c>
      <c r="AE29" s="923"/>
      <c r="AF29" s="922">
        <f>(SUM(AF9:AF28)*60+SUM(AG9:AG28))/60</f>
        <v>0</v>
      </c>
      <c r="AG29" s="923"/>
      <c r="AH29" s="922">
        <f>(SUM(AH9:AH28)*60+SUM(AI9:AI28))/60</f>
        <v>0</v>
      </c>
      <c r="AI29" s="923"/>
      <c r="AJ29" s="924">
        <f>(SUM(AJ9:AJ28)*60+SUM(AK9:AK28))/60</f>
        <v>0</v>
      </c>
      <c r="AK29" s="923"/>
      <c r="AL29" s="922">
        <f>(SUM(AL9:AL28)*60+SUM(AM9:AM28))/60</f>
        <v>0</v>
      </c>
      <c r="AM29" s="923"/>
      <c r="AN29" s="6"/>
    </row>
    <row r="30" spans="1:40" ht="26.1" customHeight="1" thickBot="1">
      <c r="A30" s="985" t="s">
        <v>63</v>
      </c>
      <c r="B30" s="986"/>
      <c r="C30" s="986"/>
      <c r="D30" s="986"/>
      <c r="E30" s="986"/>
      <c r="F30" s="986"/>
      <c r="G30" s="986"/>
      <c r="H30" s="986"/>
      <c r="I30" s="986"/>
      <c r="J30" s="986"/>
      <c r="K30" s="986"/>
      <c r="L30" s="986"/>
      <c r="M30" s="987"/>
      <c r="N30" s="988">
        <v>173</v>
      </c>
      <c r="O30" s="989"/>
      <c r="P30" s="990">
        <f>$N30</f>
        <v>173</v>
      </c>
      <c r="Q30" s="984"/>
      <c r="R30" s="983">
        <f>$N30</f>
        <v>173</v>
      </c>
      <c r="S30" s="984"/>
      <c r="T30" s="983">
        <f>$N30</f>
        <v>173</v>
      </c>
      <c r="U30" s="984"/>
      <c r="V30" s="983">
        <f>$N30</f>
        <v>173</v>
      </c>
      <c r="W30" s="984"/>
      <c r="X30" s="983">
        <f>$N30</f>
        <v>173</v>
      </c>
      <c r="Y30" s="984"/>
      <c r="Z30" s="983">
        <f>$N30</f>
        <v>173</v>
      </c>
      <c r="AA30" s="984"/>
      <c r="AB30" s="983">
        <f>$N30</f>
        <v>173</v>
      </c>
      <c r="AC30" s="984"/>
      <c r="AD30" s="983">
        <f>$N30</f>
        <v>173</v>
      </c>
      <c r="AE30" s="984"/>
      <c r="AF30" s="983">
        <f>$N30</f>
        <v>173</v>
      </c>
      <c r="AG30" s="984"/>
      <c r="AH30" s="983">
        <f>$N30</f>
        <v>173</v>
      </c>
      <c r="AI30" s="984"/>
      <c r="AJ30" s="990">
        <f>$N30</f>
        <v>173</v>
      </c>
      <c r="AK30" s="984"/>
      <c r="AL30" s="983">
        <f>$N30</f>
        <v>173</v>
      </c>
      <c r="AM30" s="984"/>
      <c r="AN30" s="6"/>
    </row>
    <row r="31" spans="1:40" ht="26.1" customHeight="1">
      <c r="A31" s="918" t="s">
        <v>64</v>
      </c>
      <c r="B31" s="919"/>
      <c r="C31" s="919"/>
      <c r="D31" s="919"/>
      <c r="E31" s="919"/>
      <c r="F31" s="919"/>
      <c r="G31" s="919"/>
      <c r="H31" s="919"/>
      <c r="I31" s="919"/>
      <c r="J31" s="919"/>
      <c r="K31" s="919"/>
      <c r="L31" s="919"/>
      <c r="M31" s="920"/>
      <c r="N31" s="922">
        <f>IF(ISERROR(ROUNDDOWN(N29/N30,1))=FALSE,ROUNDDOWN(N29/N30,1),0)</f>
        <v>0</v>
      </c>
      <c r="O31" s="923"/>
      <c r="P31" s="991">
        <f>IF(ISERROR(ROUNDDOWN(P29/P30,1))=FALSE,ROUNDDOWN(P29/P30,1),0)</f>
        <v>0</v>
      </c>
      <c r="Q31" s="992"/>
      <c r="R31" s="983">
        <f>IF(ISERROR(ROUNDDOWN(R29/R30,1))=FALSE,ROUNDDOWN(R29/R30,1),0)</f>
        <v>0</v>
      </c>
      <c r="S31" s="984"/>
      <c r="T31" s="983">
        <f>IF(ISERROR(ROUNDDOWN(T29/T30,1))=FALSE,ROUNDDOWN(T29/T30,1),0)</f>
        <v>0</v>
      </c>
      <c r="U31" s="984"/>
      <c r="V31" s="983">
        <f>IF(ISERROR(ROUNDDOWN(V29/V30,1))=FALSE,ROUNDDOWN(V29/V30,1),0)</f>
        <v>0</v>
      </c>
      <c r="W31" s="984"/>
      <c r="X31" s="983">
        <f>IF(ISERROR(ROUNDDOWN(X29/X30,1))=FALSE,ROUNDDOWN(X29/X30,1),0)</f>
        <v>0</v>
      </c>
      <c r="Y31" s="984"/>
      <c r="Z31" s="983">
        <f>IF(ISERROR(ROUNDDOWN(Z29/Z30,1))=FALSE,ROUNDDOWN(Z29/Z30,1),0)</f>
        <v>0</v>
      </c>
      <c r="AA31" s="984"/>
      <c r="AB31" s="983">
        <f>IF(ISERROR(ROUNDDOWN(AB29/AB30,1))=FALSE,ROUNDDOWN(AB29/AB30,1),0)</f>
        <v>0</v>
      </c>
      <c r="AC31" s="984"/>
      <c r="AD31" s="983">
        <f>IF(ISERROR(ROUNDDOWN(AD29/AD30,1))=FALSE,ROUNDDOWN(AD29/AD30,1),0)</f>
        <v>0</v>
      </c>
      <c r="AE31" s="984"/>
      <c r="AF31" s="983">
        <f>IF(ISERROR(ROUNDDOWN(AF29/AF30,1))=FALSE,ROUNDDOWN(AF29/AF30,1),0)</f>
        <v>0</v>
      </c>
      <c r="AG31" s="984"/>
      <c r="AH31" s="983">
        <f>IF(ISERROR(ROUNDDOWN(AH29/AH30,1))=FALSE,ROUNDDOWN(AH29/AH30,1),0)</f>
        <v>0</v>
      </c>
      <c r="AI31" s="984"/>
      <c r="AJ31" s="990">
        <f>IF(ISERROR(ROUNDDOWN(AJ29/AJ30,1))=FALSE,ROUNDDOWN(AJ29/AJ30,1),0)</f>
        <v>0</v>
      </c>
      <c r="AK31" s="984"/>
      <c r="AL31" s="983">
        <f>IF(ISERROR(ROUNDDOWN(AL29/AL30,1))=FALSE,ROUNDDOWN(AL29/AL30,1),0)</f>
        <v>0</v>
      </c>
      <c r="AM31" s="984"/>
      <c r="AN31" s="6"/>
    </row>
    <row r="32" spans="1:40">
      <c r="AN32" s="7"/>
    </row>
    <row r="33" spans="4:40">
      <c r="AN33" s="7"/>
    </row>
    <row r="34" spans="4:40">
      <c r="AN34" s="7"/>
    </row>
    <row r="35" spans="4:40">
      <c r="AN35" s="7"/>
    </row>
    <row r="36" spans="4:40">
      <c r="AN36" s="7"/>
    </row>
    <row r="37" spans="4:40">
      <c r="AN37" s="7"/>
    </row>
    <row r="38" spans="4:40">
      <c r="D38" s="1">
        <v>27</v>
      </c>
    </row>
    <row r="39" spans="4:40">
      <c r="D39" s="1">
        <v>28</v>
      </c>
    </row>
    <row r="41" spans="4:40">
      <c r="E41" s="1">
        <v>4</v>
      </c>
    </row>
    <row r="42" spans="4:40">
      <c r="E42" s="1">
        <v>5</v>
      </c>
    </row>
    <row r="43" spans="4:40">
      <c r="E43" s="1">
        <v>6</v>
      </c>
    </row>
    <row r="44" spans="4:40">
      <c r="E44" s="1">
        <v>7</v>
      </c>
    </row>
    <row r="45" spans="4:40">
      <c r="E45" s="1">
        <v>8</v>
      </c>
    </row>
    <row r="46" spans="4:40">
      <c r="E46" s="1">
        <v>9</v>
      </c>
    </row>
    <row r="47" spans="4:40">
      <c r="E47" s="1">
        <v>10</v>
      </c>
    </row>
    <row r="48" spans="4:40">
      <c r="E48" s="1">
        <v>11</v>
      </c>
    </row>
    <row r="49" spans="5:5">
      <c r="E49" s="1">
        <v>12</v>
      </c>
    </row>
    <row r="50" spans="5:5">
      <c r="E50" s="1">
        <v>1</v>
      </c>
    </row>
    <row r="51" spans="5:5">
      <c r="E51" s="1">
        <v>2</v>
      </c>
    </row>
    <row r="52" spans="5:5">
      <c r="E52" s="1">
        <v>3</v>
      </c>
    </row>
  </sheetData>
  <sheetProtection algorithmName="SHA-512" hashValue="nWQkYRKmNWyw9O9Dh1mA+Iripo+LP3w0Yihs/dRugPxySVY6i8ARaAYboHxoANG1lkUhl/Cttk6A464ni7XqXg==" saltValue="7z016FW6XyzO/QSCzmrHrg==" spinCount="100000" sheet="1" objects="1" scenarios="1"/>
  <mergeCells count="64">
    <mergeCell ref="AD31:AE31"/>
    <mergeCell ref="AF31:AG31"/>
    <mergeCell ref="AF30:AG30"/>
    <mergeCell ref="AH30:AI30"/>
    <mergeCell ref="AJ30:AK30"/>
    <mergeCell ref="AL30:AM30"/>
    <mergeCell ref="A31:M31"/>
    <mergeCell ref="N31:O31"/>
    <mergeCell ref="P31:Q31"/>
    <mergeCell ref="R31:S31"/>
    <mergeCell ref="T31:U31"/>
    <mergeCell ref="AH31:AI31"/>
    <mergeCell ref="AJ31:AK31"/>
    <mergeCell ref="AL31:AM31"/>
    <mergeCell ref="V31:W31"/>
    <mergeCell ref="X31:Y31"/>
    <mergeCell ref="Z31:AA31"/>
    <mergeCell ref="AB31:AC31"/>
    <mergeCell ref="V30:W30"/>
    <mergeCell ref="X30:Y30"/>
    <mergeCell ref="Z30:AA30"/>
    <mergeCell ref="AB30:AC30"/>
    <mergeCell ref="AD30:AE30"/>
    <mergeCell ref="A30:M30"/>
    <mergeCell ref="N30:O30"/>
    <mergeCell ref="P30:Q30"/>
    <mergeCell ref="R30:S30"/>
    <mergeCell ref="T30:U30"/>
    <mergeCell ref="AJ7:AK7"/>
    <mergeCell ref="AL7:AM7"/>
    <mergeCell ref="A29:M29"/>
    <mergeCell ref="N29:O29"/>
    <mergeCell ref="P29:Q29"/>
    <mergeCell ref="R29:S29"/>
    <mergeCell ref="T29:U29"/>
    <mergeCell ref="V29:W29"/>
    <mergeCell ref="X29:Y29"/>
    <mergeCell ref="Z29:AA29"/>
    <mergeCell ref="AB29:AC29"/>
    <mergeCell ref="AD29:AE29"/>
    <mergeCell ref="AF29:AG29"/>
    <mergeCell ref="AH29:AI29"/>
    <mergeCell ref="AJ29:AK29"/>
    <mergeCell ref="AL29:AM29"/>
    <mergeCell ref="Z7:AA7"/>
    <mergeCell ref="AB7:AC7"/>
    <mergeCell ref="AD7:AE7"/>
    <mergeCell ref="AF7:AG7"/>
    <mergeCell ref="AH7:AI7"/>
    <mergeCell ref="B4:Q4"/>
    <mergeCell ref="V4:Y4"/>
    <mergeCell ref="A6:A8"/>
    <mergeCell ref="B6:B8"/>
    <mergeCell ref="C6:M8"/>
    <mergeCell ref="P7:Q7"/>
    <mergeCell ref="R7:S7"/>
    <mergeCell ref="T7:U7"/>
    <mergeCell ref="V7:W7"/>
    <mergeCell ref="X7:Y7"/>
    <mergeCell ref="A2:B2"/>
    <mergeCell ref="C2:O2"/>
    <mergeCell ref="V2:Y2"/>
    <mergeCell ref="P3:S3"/>
    <mergeCell ref="V3:Y3"/>
  </mergeCells>
  <phoneticPr fontId="3"/>
  <dataValidations count="2">
    <dataValidation type="list" allowBlank="1" showInputMessage="1" showErrorMessage="1" sqref="D9:D28 J9:J28" xr:uid="{00000000-0002-0000-0700-000000000000}">
      <formula1>$D$38:$D$39</formula1>
    </dataValidation>
    <dataValidation type="list" allowBlank="1" showInputMessage="1" showErrorMessage="1" sqref="F9:F28 L9:L28" xr:uid="{00000000-0002-0000-0700-000001000000}">
      <formula1>$E$41:$E$52</formula1>
    </dataValidation>
  </dataValidations>
  <pageMargins left="0.7" right="0.7" top="0.75" bottom="0.75" header="0.3" footer="0.3"/>
  <pageSetup paperSize="9" scale="3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BL31"/>
  <sheetViews>
    <sheetView view="pageBreakPreview" zoomScale="90" zoomScaleNormal="100" zoomScaleSheetLayoutView="90" workbookViewId="0">
      <selection activeCell="D9" sqref="D9"/>
    </sheetView>
  </sheetViews>
  <sheetFormatPr defaultRowHeight="13.5"/>
  <cols>
    <col min="1" max="1" width="4" customWidth="1"/>
    <col min="2" max="3" width="3.625" customWidth="1"/>
    <col min="4" max="4" width="10.75" customWidth="1"/>
    <col min="5" max="5" width="10" customWidth="1"/>
    <col min="6" max="7" width="8.5" customWidth="1"/>
    <col min="8" max="10" width="3.875" customWidth="1"/>
    <col min="11" max="11" width="9.375" customWidth="1"/>
    <col min="12" max="13" width="4.25" customWidth="1"/>
    <col min="14" max="28" width="3.625" customWidth="1"/>
    <col min="29" max="29" width="10.875" customWidth="1"/>
    <col min="30" max="30" width="11.875" customWidth="1"/>
    <col min="31" max="33" width="9.875" customWidth="1"/>
    <col min="35" max="37" width="9" customWidth="1"/>
    <col min="38" max="38" width="11.625" customWidth="1"/>
    <col min="39" max="40" width="14.5" customWidth="1"/>
    <col min="41" max="41" width="4.625" customWidth="1"/>
    <col min="42" max="44" width="9" customWidth="1"/>
    <col min="45" max="45" width="11.125" customWidth="1"/>
    <col min="46" max="47" width="13.5" customWidth="1"/>
    <col min="48" max="49" width="9" customWidth="1"/>
  </cols>
  <sheetData>
    <row r="1" spans="1:64" ht="14.25">
      <c r="B1" s="178"/>
      <c r="C1" s="179"/>
      <c r="D1" s="179"/>
      <c r="E1" s="179"/>
      <c r="F1" s="179"/>
      <c r="G1" s="179"/>
      <c r="H1" s="179"/>
      <c r="I1" s="179"/>
      <c r="J1" s="179"/>
      <c r="K1" s="178"/>
      <c r="L1" s="178"/>
      <c r="M1" s="178"/>
      <c r="N1" s="178"/>
      <c r="O1" s="178"/>
      <c r="P1" s="178"/>
      <c r="Q1" s="178"/>
      <c r="R1" s="178"/>
      <c r="S1" s="178"/>
      <c r="T1" s="178"/>
      <c r="U1" s="178"/>
      <c r="V1" s="178"/>
      <c r="W1" s="178"/>
      <c r="X1" s="178"/>
      <c r="Y1" s="178"/>
      <c r="Z1" s="178"/>
      <c r="AA1" s="178"/>
      <c r="AB1" s="178"/>
      <c r="AC1" s="178"/>
      <c r="AD1" s="179"/>
      <c r="AE1" s="179"/>
      <c r="AF1" s="179"/>
      <c r="AG1" s="179"/>
    </row>
    <row r="2" spans="1:64" ht="22.5" customHeight="1">
      <c r="B2" s="548" t="s">
        <v>223</v>
      </c>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c r="AF2" s="548"/>
      <c r="AG2" s="548"/>
    </row>
    <row r="3" spans="1:64" ht="14.25">
      <c r="B3" s="178"/>
      <c r="C3" s="179"/>
      <c r="D3" s="179"/>
      <c r="E3" s="179"/>
      <c r="F3" s="179"/>
      <c r="G3" s="179"/>
      <c r="H3" s="179"/>
      <c r="I3" s="179"/>
      <c r="J3" s="179"/>
      <c r="K3" s="178"/>
      <c r="L3" s="178"/>
      <c r="M3" s="178"/>
      <c r="N3" s="178"/>
      <c r="O3" s="178"/>
      <c r="P3" s="178"/>
      <c r="Q3" s="178"/>
      <c r="R3" s="178"/>
      <c r="S3" s="178"/>
      <c r="T3" s="178"/>
      <c r="U3" s="178"/>
      <c r="V3" s="178"/>
      <c r="W3" s="178"/>
      <c r="X3" s="178"/>
      <c r="Y3" s="178"/>
      <c r="Z3" s="178"/>
      <c r="AB3" s="433"/>
      <c r="AC3" s="434" t="s">
        <v>153</v>
      </c>
      <c r="AD3" s="547">
        <f>様式１!C1</f>
        <v>0</v>
      </c>
      <c r="AE3" s="547"/>
      <c r="AF3" s="232"/>
      <c r="AG3" s="233"/>
    </row>
    <row r="4" spans="1:64" ht="14.25">
      <c r="B4" s="178"/>
      <c r="C4" s="179"/>
      <c r="D4" s="179"/>
      <c r="E4" s="179"/>
      <c r="F4" s="179"/>
      <c r="G4" s="179"/>
      <c r="H4" s="179"/>
      <c r="I4" s="179"/>
      <c r="J4" s="179"/>
      <c r="K4" s="178"/>
      <c r="L4" s="178"/>
      <c r="M4" s="178"/>
      <c r="N4" s="178"/>
      <c r="O4" s="178"/>
      <c r="P4" s="178"/>
      <c r="Q4" s="178"/>
      <c r="R4" s="178"/>
      <c r="S4" s="178"/>
      <c r="T4" s="178"/>
      <c r="U4" s="178"/>
      <c r="V4" s="178"/>
      <c r="W4" s="178"/>
      <c r="X4" s="178"/>
      <c r="Y4" s="178"/>
      <c r="Z4" s="178"/>
      <c r="AB4" s="433"/>
      <c r="AC4" s="434" t="s">
        <v>79</v>
      </c>
      <c r="AD4" s="547">
        <f>様式１!C2</f>
        <v>0</v>
      </c>
      <c r="AE4" s="547"/>
      <c r="AF4" s="232"/>
      <c r="AG4" s="233"/>
    </row>
    <row r="5" spans="1:64" ht="18" thickBot="1">
      <c r="B5" s="253" t="s">
        <v>220</v>
      </c>
      <c r="C5" s="254"/>
      <c r="D5" s="254"/>
      <c r="E5" s="179"/>
      <c r="F5" s="179"/>
      <c r="G5" s="179"/>
      <c r="H5" s="179"/>
      <c r="I5" s="179"/>
      <c r="J5" s="179"/>
      <c r="K5" s="178"/>
      <c r="L5" s="178"/>
      <c r="M5" s="178"/>
      <c r="N5" s="178"/>
      <c r="O5" s="178"/>
      <c r="P5" s="178"/>
      <c r="Q5" s="178"/>
      <c r="R5" s="178"/>
      <c r="S5" s="178"/>
      <c r="T5" s="178"/>
      <c r="U5" s="178"/>
      <c r="V5" s="178"/>
      <c r="W5" s="178"/>
      <c r="X5" s="178"/>
      <c r="Y5" s="178"/>
      <c r="Z5" s="178"/>
      <c r="AA5" s="178"/>
      <c r="AB5" s="178"/>
      <c r="AC5" s="432"/>
      <c r="AD5" s="179"/>
      <c r="AE5" s="179"/>
      <c r="AF5" s="179"/>
      <c r="AG5" s="179"/>
    </row>
    <row r="6" spans="1:64" ht="14.25" customHeight="1" thickBot="1">
      <c r="B6" s="552"/>
      <c r="C6" s="553"/>
      <c r="D6" s="537" t="s">
        <v>179</v>
      </c>
      <c r="E6" s="247" t="s">
        <v>76</v>
      </c>
      <c r="F6" s="504" t="s">
        <v>74</v>
      </c>
      <c r="G6" s="502"/>
      <c r="H6" s="537" t="s">
        <v>219</v>
      </c>
      <c r="I6" s="538"/>
      <c r="J6" s="538"/>
      <c r="K6" s="290" t="s">
        <v>92</v>
      </c>
      <c r="L6" s="294"/>
      <c r="M6" s="294"/>
      <c r="N6" s="294" t="s">
        <v>91</v>
      </c>
      <c r="O6" s="294"/>
      <c r="P6" s="294"/>
      <c r="Q6" s="550" t="s">
        <v>190</v>
      </c>
      <c r="R6" s="550"/>
      <c r="S6" s="550"/>
      <c r="T6" s="550" t="s">
        <v>191</v>
      </c>
      <c r="U6" s="550"/>
      <c r="V6" s="550"/>
      <c r="W6" s="550" t="s">
        <v>192</v>
      </c>
      <c r="X6" s="550"/>
      <c r="Y6" s="550"/>
      <c r="Z6" s="550" t="s">
        <v>193</v>
      </c>
      <c r="AA6" s="550"/>
      <c r="AB6" s="550"/>
      <c r="AC6" s="431" t="s">
        <v>374</v>
      </c>
      <c r="AD6" s="512" t="s">
        <v>180</v>
      </c>
      <c r="AE6" s="248" t="s">
        <v>194</v>
      </c>
      <c r="AF6" s="508" t="s">
        <v>376</v>
      </c>
      <c r="AG6" s="509"/>
      <c r="AH6" s="527"/>
      <c r="AI6" s="528" t="s">
        <v>195</v>
      </c>
      <c r="AJ6" s="528"/>
      <c r="AK6" s="528"/>
      <c r="AL6" s="528"/>
      <c r="AM6" s="528"/>
      <c r="AN6" s="528"/>
      <c r="AO6" s="528"/>
      <c r="AP6" s="528"/>
      <c r="AQ6" s="528"/>
      <c r="AR6" s="528"/>
      <c r="AS6" s="528"/>
      <c r="AT6" s="528"/>
      <c r="AU6" s="528"/>
      <c r="AV6" s="528"/>
      <c r="AW6" s="528"/>
      <c r="AX6" s="258"/>
      <c r="AY6" s="258"/>
      <c r="AZ6" s="524" t="s">
        <v>216</v>
      </c>
      <c r="BA6" s="525"/>
      <c r="BB6" s="525"/>
      <c r="BC6" s="525"/>
      <c r="BD6" s="525"/>
      <c r="BE6" s="525"/>
      <c r="BF6" s="525"/>
      <c r="BG6" s="525"/>
      <c r="BH6" s="525"/>
      <c r="BI6" s="525"/>
      <c r="BJ6" s="525"/>
      <c r="BK6" s="525"/>
      <c r="BL6" s="526"/>
    </row>
    <row r="7" spans="1:64" ht="19.5" customHeight="1" thickBot="1">
      <c r="B7" s="554"/>
      <c r="C7" s="555"/>
      <c r="D7" s="539"/>
      <c r="E7" s="543" t="s">
        <v>230</v>
      </c>
      <c r="F7" s="501" t="s">
        <v>224</v>
      </c>
      <c r="G7" s="502"/>
      <c r="H7" s="539"/>
      <c r="I7" s="540"/>
      <c r="J7" s="540"/>
      <c r="K7" s="543" t="s">
        <v>154</v>
      </c>
      <c r="L7" s="497" t="s">
        <v>155</v>
      </c>
      <c r="M7" s="498"/>
      <c r="N7" s="498"/>
      <c r="O7" s="498"/>
      <c r="P7" s="498"/>
      <c r="Q7" s="497" t="s">
        <v>156</v>
      </c>
      <c r="R7" s="498"/>
      <c r="S7" s="518"/>
      <c r="T7" s="497" t="s">
        <v>42</v>
      </c>
      <c r="U7" s="498"/>
      <c r="V7" s="518"/>
      <c r="W7" s="497" t="s">
        <v>157</v>
      </c>
      <c r="X7" s="498"/>
      <c r="Y7" s="518"/>
      <c r="Z7" s="497" t="s">
        <v>158</v>
      </c>
      <c r="AA7" s="498"/>
      <c r="AB7" s="498"/>
      <c r="AC7" s="545" t="s">
        <v>375</v>
      </c>
      <c r="AD7" s="513"/>
      <c r="AE7" s="522" t="s">
        <v>230</v>
      </c>
      <c r="AF7" s="510" t="s">
        <v>224</v>
      </c>
      <c r="AG7" s="511"/>
      <c r="AH7" s="527"/>
      <c r="AI7" s="528" t="s">
        <v>221</v>
      </c>
      <c r="AJ7" s="528"/>
      <c r="AK7" s="528"/>
      <c r="AL7" s="528"/>
      <c r="AM7" s="528"/>
      <c r="AN7" s="528"/>
      <c r="AO7" s="259"/>
      <c r="AP7" s="524" t="s">
        <v>196</v>
      </c>
      <c r="AQ7" s="525"/>
      <c r="AR7" s="525"/>
      <c r="AS7" s="525"/>
      <c r="AT7" s="525"/>
      <c r="AU7" s="525"/>
      <c r="AV7" s="525"/>
      <c r="AW7" s="529"/>
      <c r="AX7" s="258"/>
      <c r="AY7" s="258"/>
      <c r="AZ7" s="515" t="s">
        <v>189</v>
      </c>
      <c r="BA7" s="516"/>
      <c r="BB7" s="516"/>
      <c r="BC7" s="516"/>
      <c r="BD7" s="516"/>
      <c r="BE7" s="516"/>
      <c r="BF7" s="516"/>
      <c r="BG7" s="516"/>
      <c r="BH7" s="516"/>
      <c r="BI7" s="516"/>
      <c r="BJ7" s="516"/>
      <c r="BK7" s="516"/>
      <c r="BL7" s="517"/>
    </row>
    <row r="8" spans="1:64" ht="18.75" customHeight="1">
      <c r="B8" s="556"/>
      <c r="C8" s="557"/>
      <c r="D8" s="541"/>
      <c r="E8" s="544"/>
      <c r="F8" s="249" t="s">
        <v>186</v>
      </c>
      <c r="G8" s="250" t="s">
        <v>187</v>
      </c>
      <c r="H8" s="541"/>
      <c r="I8" s="542"/>
      <c r="J8" s="542"/>
      <c r="K8" s="544"/>
      <c r="L8" s="501" t="s">
        <v>188</v>
      </c>
      <c r="M8" s="502"/>
      <c r="N8" s="501" t="s">
        <v>189</v>
      </c>
      <c r="O8" s="504"/>
      <c r="P8" s="502"/>
      <c r="Q8" s="519"/>
      <c r="R8" s="520"/>
      <c r="S8" s="521"/>
      <c r="T8" s="519"/>
      <c r="U8" s="520"/>
      <c r="V8" s="521"/>
      <c r="W8" s="519"/>
      <c r="X8" s="520"/>
      <c r="Y8" s="521"/>
      <c r="Z8" s="519"/>
      <c r="AA8" s="520"/>
      <c r="AB8" s="520"/>
      <c r="AC8" s="546"/>
      <c r="AD8" s="514"/>
      <c r="AE8" s="523"/>
      <c r="AF8" s="251" t="s">
        <v>217</v>
      </c>
      <c r="AG8" s="252" t="s">
        <v>218</v>
      </c>
      <c r="AH8" s="231"/>
      <c r="AI8" s="260" t="s">
        <v>75</v>
      </c>
      <c r="AJ8" s="260" t="s">
        <v>197</v>
      </c>
      <c r="AK8" s="260" t="s">
        <v>198</v>
      </c>
      <c r="AL8" s="260" t="s">
        <v>199</v>
      </c>
      <c r="AM8" s="260" t="s">
        <v>200</v>
      </c>
      <c r="AN8" s="436" t="s">
        <v>378</v>
      </c>
      <c r="AO8" s="259"/>
      <c r="AP8" s="260" t="s">
        <v>75</v>
      </c>
      <c r="AQ8" s="260" t="s">
        <v>197</v>
      </c>
      <c r="AR8" s="260" t="s">
        <v>198</v>
      </c>
      <c r="AS8" s="260" t="s">
        <v>199</v>
      </c>
      <c r="AT8" s="260" t="s">
        <v>200</v>
      </c>
      <c r="AU8" s="436" t="s">
        <v>378</v>
      </c>
      <c r="AV8" s="261" t="s">
        <v>201</v>
      </c>
      <c r="AW8" s="262" t="s">
        <v>202</v>
      </c>
      <c r="AX8" s="258"/>
      <c r="AY8" s="258"/>
      <c r="AZ8" s="263" t="s">
        <v>203</v>
      </c>
      <c r="BA8" s="264" t="s">
        <v>204</v>
      </c>
      <c r="BB8" s="265" t="s">
        <v>205</v>
      </c>
      <c r="BC8" s="265" t="s">
        <v>206</v>
      </c>
      <c r="BD8" s="265" t="s">
        <v>207</v>
      </c>
      <c r="BE8" s="265" t="s">
        <v>208</v>
      </c>
      <c r="BF8" s="266" t="s">
        <v>209</v>
      </c>
      <c r="BG8" s="264" t="s">
        <v>210</v>
      </c>
      <c r="BH8" s="265" t="s">
        <v>211</v>
      </c>
      <c r="BI8" s="265" t="s">
        <v>212</v>
      </c>
      <c r="BJ8" s="265" t="s">
        <v>213</v>
      </c>
      <c r="BK8" s="265" t="s">
        <v>214</v>
      </c>
      <c r="BL8" s="266" t="s">
        <v>215</v>
      </c>
    </row>
    <row r="9" spans="1:64" ht="18.75" customHeight="1">
      <c r="A9">
        <f>$AD$3</f>
        <v>0</v>
      </c>
      <c r="B9" s="551" t="s">
        <v>159</v>
      </c>
      <c r="C9" s="551"/>
      <c r="D9" s="292" t="e">
        <f>様式１!BH7-様式１!BP7+ROUNDDOWN('様式２（専従の常勤）'!G91*様式１!BQ8,1)</f>
        <v>#VALUE!</v>
      </c>
      <c r="E9" s="234" t="e">
        <f>D9-SUM(F9:G9)</f>
        <v>#VALUE!</v>
      </c>
      <c r="F9" s="234" t="e">
        <f>IF(MIN(L9,D9-K9-G9)&lt;0,0,MIN(L9,D9-K9-G9))</f>
        <v>#VALUE!</v>
      </c>
      <c r="G9" s="234" t="e">
        <f>IF(MIN(N9,D9-K9)&lt;0,0,MIN(N9,D9-K9))</f>
        <v>#VALUE!</v>
      </c>
      <c r="H9" s="506" t="e">
        <f t="shared" ref="H9:H21" si="0">SUM(K9:AC9)</f>
        <v>#VALUE!</v>
      </c>
      <c r="I9" s="506"/>
      <c r="J9" s="506"/>
      <c r="K9" s="292" t="e">
        <f>様式１!Y8+様式１!AA8+様式１!AC8+様式１!AF8+様式１!AI8+様式１!AN8</f>
        <v>#VALUE!</v>
      </c>
      <c r="L9" s="499">
        <f>様式１!AP7</f>
        <v>0</v>
      </c>
      <c r="M9" s="500"/>
      <c r="N9" s="499">
        <f>様式１!AQ7</f>
        <v>0</v>
      </c>
      <c r="O9" s="503"/>
      <c r="P9" s="500"/>
      <c r="Q9" s="506">
        <f>様式１!AR7</f>
        <v>0</v>
      </c>
      <c r="R9" s="506"/>
      <c r="S9" s="506"/>
      <c r="T9" s="506">
        <f>様式１!AS7+様式１!AT7</f>
        <v>0</v>
      </c>
      <c r="U9" s="506"/>
      <c r="V9" s="506"/>
      <c r="W9" s="506">
        <f>様式１!AU7</f>
        <v>0</v>
      </c>
      <c r="X9" s="506"/>
      <c r="Y9" s="506"/>
      <c r="Z9" s="506">
        <f>様式１!AV7</f>
        <v>2</v>
      </c>
      <c r="AA9" s="506"/>
      <c r="AB9" s="507"/>
      <c r="AC9" s="427">
        <f>様式１!AW7</f>
        <v>0</v>
      </c>
      <c r="AD9" s="291" t="e">
        <f>SUM(AE9:AG9)</f>
        <v>#VALUE!</v>
      </c>
      <c r="AE9" s="239" t="e">
        <f>AW9</f>
        <v>#VALUE!</v>
      </c>
      <c r="AF9" s="239" t="e">
        <f>MIN(F9,L9)</f>
        <v>#VALUE!</v>
      </c>
      <c r="AG9" s="240" t="e">
        <f>MIN(G9,N9)</f>
        <v>#VALUE!</v>
      </c>
      <c r="AI9" s="267" t="e">
        <f>E9-K9</f>
        <v>#VALUE!</v>
      </c>
      <c r="AJ9" s="267" t="e">
        <f>E9-SUM(K9,Q9)</f>
        <v>#VALUE!</v>
      </c>
      <c r="AK9" s="267" t="e">
        <f>E9-SUM(K9,Q9:V9)</f>
        <v>#VALUE!</v>
      </c>
      <c r="AL9" s="267" t="e">
        <f>E9-SUM(K9,Q9:Y9)</f>
        <v>#VALUE!</v>
      </c>
      <c r="AM9" s="437" t="e">
        <f>E9-SUM(K9,Q9:AB9)</f>
        <v>#VALUE!</v>
      </c>
      <c r="AN9" s="437" t="e">
        <f t="shared" ref="AN9:AN20" si="1">E9-SUM(K9,Q9:AC9)</f>
        <v>#VALUE!</v>
      </c>
      <c r="AO9" s="268"/>
      <c r="AP9" s="267" t="e">
        <f>IF(AI9&lt;=0,SUM(K9),99)</f>
        <v>#VALUE!</v>
      </c>
      <c r="AQ9" s="267" t="e">
        <f>IF(AJ9&lt;=0,SUM(K9,Q9),99)</f>
        <v>#VALUE!</v>
      </c>
      <c r="AR9" s="267" t="e">
        <f>IF(AK9&lt;=0,SUM(K9,Q9:V9),99)</f>
        <v>#VALUE!</v>
      </c>
      <c r="AS9" s="267" t="e">
        <f>IF(AL9&lt;=0,SUM(K9,Q9:Y9),99)</f>
        <v>#VALUE!</v>
      </c>
      <c r="AT9" s="267" t="e">
        <f>IF(AM9&lt;=0,SUM(K9,Q9:AB9),99)</f>
        <v>#VALUE!</v>
      </c>
      <c r="AU9" s="435" t="e">
        <f t="shared" ref="AU9:AU21" si="2">IF(AN9&lt;=0,SUM(K9,Q9:AC9),99)</f>
        <v>#VALUE!</v>
      </c>
      <c r="AV9" s="279" t="e">
        <f>H9-SUM(L9:P9)</f>
        <v>#VALUE!</v>
      </c>
      <c r="AW9" s="269" t="e">
        <f>MIN(AP9:AV9)</f>
        <v>#VALUE!</v>
      </c>
      <c r="AX9" s="258"/>
      <c r="AY9" s="258"/>
      <c r="AZ9" s="270">
        <f>SUM(様式１!C8:D9)</f>
        <v>0</v>
      </c>
      <c r="BA9" s="271">
        <f>SUM('様式１－１（【本園分】標準時間対応）'!J7,'様式１－２（【分園分】標準時間対応）'!J7)</f>
        <v>0</v>
      </c>
      <c r="BB9" s="272">
        <f>SUM('様式１－１（【本園分】標準時間対応）'!R7,'様式１－２（【分園分】標準時間対応）'!R7)</f>
        <v>0</v>
      </c>
      <c r="BC9" s="272">
        <f>SUM('様式１－１（【本園分】標準時間対応）'!Z7,'様式１－２（【分園分】標準時間対応）'!Z7)</f>
        <v>0</v>
      </c>
      <c r="BD9" s="272">
        <f>SUM('様式１－１（【本園分】標準時間対応）'!AH7,'様式１－２（【分園分】標準時間対応）'!AH7)</f>
        <v>0</v>
      </c>
      <c r="BE9" s="272">
        <f>SUM('様式１－１（【本園分】標準時間対応）'!AP7,'様式１－２（【分園分】標準時間対応）'!AP7)</f>
        <v>0</v>
      </c>
      <c r="BF9" s="273">
        <f>SUM('様式１－１（【本園分】標準時間対応）'!AX7,'様式１－２（【分園分】標準時間対応）'!AX7)</f>
        <v>0</v>
      </c>
      <c r="BG9" s="271">
        <f>SUM(様式１!E9,様式１!M9)-SUM('様式１－１（【本園分】標準時間対応）'!J7,'様式１－２（【分園分】標準時間対応）'!J7)</f>
        <v>0</v>
      </c>
      <c r="BH9" s="272">
        <f>SUM(様式１!F9,様式１!N9)-SUM('様式１－１（【本園分】標準時間対応）'!R7,'様式１－２（【分園分】標準時間対応）'!R7)</f>
        <v>0</v>
      </c>
      <c r="BI9" s="272">
        <f>SUM(様式１!G9,様式１!O9)-SUM('様式１－１（【本園分】標準時間対応）'!Z7,'様式１－２（【分園分】標準時間対応）'!Z7)</f>
        <v>0</v>
      </c>
      <c r="BJ9" s="272">
        <f>SUM(様式１!I8,様式１!Q8)-SUM('様式１－１（【本園分】標準時間対応）'!AH7,'様式１－２（【分園分】標準時間対応）'!AH7)</f>
        <v>0</v>
      </c>
      <c r="BK9" s="272">
        <f>SUM(様式１!J8,様式１!R8)-SUM('様式１－１（【本園分】標準時間対応）'!AP7,'様式１－２（【分園分】標準時間対応）'!AP7)</f>
        <v>0</v>
      </c>
      <c r="BL9" s="273">
        <f>SUM(様式１!K8,様式１!S8)-SUM('様式１－１（【本園分】標準時間対応）'!AX7,'様式１－２（【分園分】標準時間対応）'!AX7)</f>
        <v>0</v>
      </c>
    </row>
    <row r="10" spans="1:64" ht="18.75" customHeight="1">
      <c r="A10">
        <f t="shared" ref="A10:A21" si="3">$AD$3</f>
        <v>0</v>
      </c>
      <c r="B10" s="536" t="s">
        <v>160</v>
      </c>
      <c r="C10" s="536"/>
      <c r="D10" s="286" t="e">
        <f>様式１!BH10-様式１!BP10+ROUNDDOWN('様式２（専従の常勤）'!H91*様式１!BQ11,1)</f>
        <v>#VALUE!</v>
      </c>
      <c r="E10" s="235" t="e">
        <f t="shared" ref="E10:E21" si="4">D10-SUM(F10:G10)</f>
        <v>#VALUE!</v>
      </c>
      <c r="F10" s="235" t="e">
        <f t="shared" ref="F10:F20" si="5">IF(MIN(L10,D10-K10-G10)&lt;0,0,MIN(L10,D10-K10-G10))</f>
        <v>#VALUE!</v>
      </c>
      <c r="G10" s="235" t="e">
        <f t="shared" ref="G10:G20" si="6">IF(MIN(N10,D10-K10)&lt;0,0,MIN(N10,D10-K10))</f>
        <v>#VALUE!</v>
      </c>
      <c r="H10" s="505" t="e">
        <f t="shared" si="0"/>
        <v>#VALUE!</v>
      </c>
      <c r="I10" s="505"/>
      <c r="J10" s="505"/>
      <c r="K10" s="286" t="e">
        <f>様式１!Y11+様式１!AA11+様式１!AC11+様式１!AF11+様式１!AI11+様式１!AN11</f>
        <v>#VALUE!</v>
      </c>
      <c r="L10" s="488">
        <f>様式１!AP10</f>
        <v>0</v>
      </c>
      <c r="M10" s="490"/>
      <c r="N10" s="488">
        <f>様式１!AQ10</f>
        <v>0</v>
      </c>
      <c r="O10" s="489"/>
      <c r="P10" s="490"/>
      <c r="Q10" s="505">
        <f>様式１!AR10</f>
        <v>0</v>
      </c>
      <c r="R10" s="505"/>
      <c r="S10" s="505"/>
      <c r="T10" s="505">
        <f>様式１!AS10+様式１!AT10</f>
        <v>0</v>
      </c>
      <c r="U10" s="505"/>
      <c r="V10" s="505"/>
      <c r="W10" s="505">
        <f>様式１!AU10</f>
        <v>0</v>
      </c>
      <c r="X10" s="505"/>
      <c r="Y10" s="505"/>
      <c r="Z10" s="505">
        <f>様式１!AV10</f>
        <v>2</v>
      </c>
      <c r="AA10" s="505"/>
      <c r="AB10" s="488"/>
      <c r="AC10" s="428">
        <f>様式１!AW10</f>
        <v>0</v>
      </c>
      <c r="AD10" s="287" t="e">
        <f t="shared" ref="AD10:AD21" si="7">SUM(AE10:AG10)</f>
        <v>#VALUE!</v>
      </c>
      <c r="AE10" s="241" t="e">
        <f t="shared" ref="AE10:AE21" si="8">AW10</f>
        <v>#VALUE!</v>
      </c>
      <c r="AF10" s="241" t="e">
        <f t="shared" ref="AF10:AF20" si="9">MIN(F10,L10)</f>
        <v>#VALUE!</v>
      </c>
      <c r="AG10" s="242" t="e">
        <f t="shared" ref="AG10:AG20" si="10">MIN(G10,N10)</f>
        <v>#VALUE!</v>
      </c>
      <c r="AI10" s="267" t="e">
        <f>E10-K10</f>
        <v>#VALUE!</v>
      </c>
      <c r="AJ10" s="267" t="e">
        <f t="shared" ref="AJ10:AJ21" si="11">E10-SUM(K10,Q10)</f>
        <v>#VALUE!</v>
      </c>
      <c r="AK10" s="267" t="e">
        <f t="shared" ref="AK10:AK21" si="12">E10-SUM(K10,Q10:V10)</f>
        <v>#VALUE!</v>
      </c>
      <c r="AL10" s="267" t="e">
        <f t="shared" ref="AL10:AL21" si="13">E10-SUM(K10,Q10:Y10)</f>
        <v>#VALUE!</v>
      </c>
      <c r="AM10" s="267" t="e">
        <f t="shared" ref="AM10:AM21" si="14">E10-SUM(K10,Q10:AB10)</f>
        <v>#VALUE!</v>
      </c>
      <c r="AN10" s="437" t="e">
        <f t="shared" si="1"/>
        <v>#VALUE!</v>
      </c>
      <c r="AO10" s="268"/>
      <c r="AP10" s="267" t="e">
        <f>IF(AI10&lt;=0,SUM(K10),99)</f>
        <v>#VALUE!</v>
      </c>
      <c r="AQ10" s="267" t="e">
        <f t="shared" ref="AQ10:AQ21" si="15">IF(AJ10&lt;=0,SUM(K10,Q10),99)</f>
        <v>#VALUE!</v>
      </c>
      <c r="AR10" s="267" t="e">
        <f t="shared" ref="AR10:AR21" si="16">IF(AK10&lt;=0,SUM(K10,Q10:V10),99)</f>
        <v>#VALUE!</v>
      </c>
      <c r="AS10" s="267" t="e">
        <f t="shared" ref="AS10:AS21" si="17">IF(AL10&lt;=0,SUM(K10,Q10:Y10),99)</f>
        <v>#VALUE!</v>
      </c>
      <c r="AT10" s="267" t="e">
        <f t="shared" ref="AT10:AT21" si="18">IF(AM10&lt;=0,SUM(K10,Q10:AB10),99)</f>
        <v>#VALUE!</v>
      </c>
      <c r="AU10" s="435" t="e">
        <f t="shared" si="2"/>
        <v>#VALUE!</v>
      </c>
      <c r="AV10" s="279" t="e">
        <f t="shared" ref="AV10:AV21" si="19">H10-SUM(L10:P10)</f>
        <v>#VALUE!</v>
      </c>
      <c r="AW10" s="269" t="e">
        <f t="shared" ref="AW10:AW20" si="20">MIN(AP10:AV10)</f>
        <v>#VALUE!</v>
      </c>
      <c r="AX10" s="258"/>
      <c r="AY10" s="258"/>
      <c r="AZ10" s="270">
        <f>SUM(様式１!C11:D12)</f>
        <v>0</v>
      </c>
      <c r="BA10" s="271">
        <f>SUM('様式１－１（【本園分】標準時間対応）'!J9,'様式１－２（【分園分】標準時間対応）'!J9)</f>
        <v>0</v>
      </c>
      <c r="BB10" s="272">
        <f>SUM('様式１－１（【本園分】標準時間対応）'!R9,'様式１－２（【分園分】標準時間対応）'!R9)</f>
        <v>0</v>
      </c>
      <c r="BC10" s="272">
        <f>SUM('様式１－１（【本園分】標準時間対応）'!Z9,'様式１－２（【分園分】標準時間対応）'!Z9)</f>
        <v>0</v>
      </c>
      <c r="BD10" s="272">
        <f>SUM('様式１－１（【本園分】標準時間対応）'!AH9,'様式１－２（【分園分】標準時間対応）'!AH9)</f>
        <v>0</v>
      </c>
      <c r="BE10" s="272">
        <f>SUM('様式１－１（【本園分】標準時間対応）'!AP9,'様式１－２（【分園分】標準時間対応）'!AP9)</f>
        <v>0</v>
      </c>
      <c r="BF10" s="273">
        <f>SUM('様式１－１（【本園分】標準時間対応）'!AX9,'様式１－２（【分園分】標準時間対応）'!AX9)</f>
        <v>0</v>
      </c>
      <c r="BG10" s="271">
        <f>SUM(様式１!E12,様式１!M12)-SUM('様式１－１（【本園分】標準時間対応）'!J9,'様式１－２（【分園分】標準時間対応）'!J9)</f>
        <v>0</v>
      </c>
      <c r="BH10" s="272">
        <f>SUM(様式１!F12,様式１!N12)-SUM('様式１－１（【本園分】標準時間対応）'!R9,'様式１－２（【分園分】標準時間対応）'!R9)</f>
        <v>0</v>
      </c>
      <c r="BI10" s="272">
        <f>SUM(様式１!G12,様式１!O12)-SUM('様式１－１（【本園分】標準時間対応）'!Z9,'様式１－２（【分園分】標準時間対応）'!Z9)</f>
        <v>0</v>
      </c>
      <c r="BJ10" s="272">
        <f>SUM(様式１!I11,様式１!Q11)-SUM('様式１－１（【本園分】標準時間対応）'!AH9,'様式１－２（【分園分】標準時間対応）'!AH9)</f>
        <v>0</v>
      </c>
      <c r="BK10" s="272">
        <f>SUM(様式１!J11,様式１!R11)-SUM('様式１－１（【本園分】標準時間対応）'!AP9,'様式１－２（【分園分】標準時間対応）'!AP9)</f>
        <v>0</v>
      </c>
      <c r="BL10" s="273">
        <f>SUM(様式１!K11,様式１!S11)-SUM('様式１－１（【本園分】標準時間対応）'!AX9,'様式１－２（【分園分】標準時間対応）'!AX9)</f>
        <v>0</v>
      </c>
    </row>
    <row r="11" spans="1:64" ht="18.75" customHeight="1">
      <c r="A11">
        <f t="shared" si="3"/>
        <v>0</v>
      </c>
      <c r="B11" s="536" t="s">
        <v>161</v>
      </c>
      <c r="C11" s="536"/>
      <c r="D11" s="286" t="e">
        <f>様式１!BH13-様式１!BP13+ROUNDDOWN('様式２（専従の常勤）'!I91*様式１!BQ14,1)</f>
        <v>#VALUE!</v>
      </c>
      <c r="E11" s="235" t="e">
        <f t="shared" si="4"/>
        <v>#VALUE!</v>
      </c>
      <c r="F11" s="235" t="e">
        <f t="shared" si="5"/>
        <v>#VALUE!</v>
      </c>
      <c r="G11" s="235" t="e">
        <f t="shared" si="6"/>
        <v>#VALUE!</v>
      </c>
      <c r="H11" s="505" t="e">
        <f t="shared" si="0"/>
        <v>#VALUE!</v>
      </c>
      <c r="I11" s="505"/>
      <c r="J11" s="505"/>
      <c r="K11" s="286" t="e">
        <f>様式１!Y14+様式１!AA14+様式１!AC14+様式１!AF14+様式１!AI14+様式１!AN14</f>
        <v>#VALUE!</v>
      </c>
      <c r="L11" s="488">
        <f>様式１!AP13</f>
        <v>0</v>
      </c>
      <c r="M11" s="490"/>
      <c r="N11" s="488">
        <f>様式１!AQ13</f>
        <v>0</v>
      </c>
      <c r="O11" s="489"/>
      <c r="P11" s="490"/>
      <c r="Q11" s="505">
        <f>様式１!AR13</f>
        <v>0</v>
      </c>
      <c r="R11" s="505"/>
      <c r="S11" s="505"/>
      <c r="T11" s="505">
        <f>様式１!AS13+様式１!AT13</f>
        <v>0</v>
      </c>
      <c r="U11" s="505"/>
      <c r="V11" s="505"/>
      <c r="W11" s="505">
        <f>様式１!AU13</f>
        <v>0</v>
      </c>
      <c r="X11" s="505"/>
      <c r="Y11" s="505"/>
      <c r="Z11" s="505">
        <f>様式１!AV13</f>
        <v>2</v>
      </c>
      <c r="AA11" s="505"/>
      <c r="AB11" s="488"/>
      <c r="AC11" s="428">
        <f>様式１!AW13</f>
        <v>0</v>
      </c>
      <c r="AD11" s="287" t="e">
        <f t="shared" si="7"/>
        <v>#VALUE!</v>
      </c>
      <c r="AE11" s="241" t="e">
        <f t="shared" si="8"/>
        <v>#VALUE!</v>
      </c>
      <c r="AF11" s="241" t="e">
        <f t="shared" si="9"/>
        <v>#VALUE!</v>
      </c>
      <c r="AG11" s="242" t="e">
        <f t="shared" si="10"/>
        <v>#VALUE!</v>
      </c>
      <c r="AI11" s="267" t="e">
        <f t="shared" ref="AI11:AI20" si="21">E11-K11</f>
        <v>#VALUE!</v>
      </c>
      <c r="AJ11" s="267" t="e">
        <f t="shared" si="11"/>
        <v>#VALUE!</v>
      </c>
      <c r="AK11" s="267" t="e">
        <f t="shared" si="12"/>
        <v>#VALUE!</v>
      </c>
      <c r="AL11" s="267" t="e">
        <f t="shared" si="13"/>
        <v>#VALUE!</v>
      </c>
      <c r="AM11" s="267" t="e">
        <f t="shared" si="14"/>
        <v>#VALUE!</v>
      </c>
      <c r="AN11" s="437" t="e">
        <f t="shared" si="1"/>
        <v>#VALUE!</v>
      </c>
      <c r="AO11" s="268"/>
      <c r="AP11" s="267" t="e">
        <f t="shared" ref="AP11:AP21" si="22">IF(AI11&lt;=0,SUM(K11),99)</f>
        <v>#VALUE!</v>
      </c>
      <c r="AQ11" s="267" t="e">
        <f t="shared" si="15"/>
        <v>#VALUE!</v>
      </c>
      <c r="AR11" s="267" t="e">
        <f t="shared" si="16"/>
        <v>#VALUE!</v>
      </c>
      <c r="AS11" s="267" t="e">
        <f t="shared" si="17"/>
        <v>#VALUE!</v>
      </c>
      <c r="AT11" s="267" t="e">
        <f t="shared" si="18"/>
        <v>#VALUE!</v>
      </c>
      <c r="AU11" s="435" t="e">
        <f t="shared" si="2"/>
        <v>#VALUE!</v>
      </c>
      <c r="AV11" s="279" t="e">
        <f t="shared" si="19"/>
        <v>#VALUE!</v>
      </c>
      <c r="AW11" s="269" t="e">
        <f t="shared" si="20"/>
        <v>#VALUE!</v>
      </c>
      <c r="AX11" s="258"/>
      <c r="AY11" s="258"/>
      <c r="AZ11" s="270">
        <f>SUM(様式１!C14:D15)</f>
        <v>0</v>
      </c>
      <c r="BA11" s="271">
        <f>SUM('様式１－１（【本園分】標準時間対応）'!J11,'様式１－２（【分園分】標準時間対応）'!J11)</f>
        <v>0</v>
      </c>
      <c r="BB11" s="272">
        <f>SUM('様式１－１（【本園分】標準時間対応）'!R11,'様式１－２（【分園分】標準時間対応）'!R11)</f>
        <v>0</v>
      </c>
      <c r="BC11" s="272">
        <f>SUM('様式１－１（【本園分】標準時間対応）'!Z11,'様式１－２（【分園分】標準時間対応）'!Z11)</f>
        <v>0</v>
      </c>
      <c r="BD11" s="272">
        <f>SUM('様式１－１（【本園分】標準時間対応）'!AH11,'様式１－２（【分園分】標準時間対応）'!AH11)</f>
        <v>0</v>
      </c>
      <c r="BE11" s="272">
        <f>SUM('様式１－１（【本園分】標準時間対応）'!AP11,'様式１－２（【分園分】標準時間対応）'!AP11)</f>
        <v>0</v>
      </c>
      <c r="BF11" s="273">
        <f>SUM('様式１－１（【本園分】標準時間対応）'!AX11,'様式１－２（【分園分】標準時間対応）'!AX11)</f>
        <v>0</v>
      </c>
      <c r="BG11" s="271">
        <f>SUM(様式１!E15,様式１!M15)-SUM('様式１－１（【本園分】標準時間対応）'!J11,'様式１－２（【分園分】標準時間対応）'!J11)</f>
        <v>0</v>
      </c>
      <c r="BH11" s="272">
        <f>SUM(様式１!F15,様式１!N15)-SUM('様式１－１（【本園分】標準時間対応）'!R11,'様式１－２（【分園分】標準時間対応）'!R11)</f>
        <v>0</v>
      </c>
      <c r="BI11" s="272">
        <f>SUM(様式１!G15,様式１!O15)-SUM('様式１－１（【本園分】標準時間対応）'!Z11,'様式１－２（【分園分】標準時間対応）'!Z11)</f>
        <v>0</v>
      </c>
      <c r="BJ11" s="272">
        <f>SUM(様式１!I14,様式１!Q14)-SUM('様式１－１（【本園分】標準時間対応）'!AH11,'様式１－２（【分園分】標準時間対応）'!AH11)</f>
        <v>0</v>
      </c>
      <c r="BK11" s="272">
        <f>SUM(様式１!J14,様式１!R14)-SUM('様式１－１（【本園分】標準時間対応）'!AP11,'様式１－２（【分園分】標準時間対応）'!AP11)</f>
        <v>0</v>
      </c>
      <c r="BL11" s="273">
        <f>SUM(様式１!K14,様式１!S14)-SUM('様式１－１（【本園分】標準時間対応）'!AX11,'様式１－２（【分園分】標準時間対応）'!AX11)</f>
        <v>0</v>
      </c>
    </row>
    <row r="12" spans="1:64" ht="18.75" customHeight="1">
      <c r="A12">
        <f t="shared" si="3"/>
        <v>0</v>
      </c>
      <c r="B12" s="536" t="s">
        <v>144</v>
      </c>
      <c r="C12" s="536"/>
      <c r="D12" s="286" t="e">
        <f>様式１!BH16-様式１!BP16+ROUNDDOWN('様式２（専従の常勤）'!J91*様式１!BQ17,1)</f>
        <v>#VALUE!</v>
      </c>
      <c r="E12" s="235" t="e">
        <f t="shared" si="4"/>
        <v>#VALUE!</v>
      </c>
      <c r="F12" s="235" t="e">
        <f t="shared" si="5"/>
        <v>#VALUE!</v>
      </c>
      <c r="G12" s="235" t="e">
        <f t="shared" si="6"/>
        <v>#VALUE!</v>
      </c>
      <c r="H12" s="505" t="e">
        <f t="shared" si="0"/>
        <v>#VALUE!</v>
      </c>
      <c r="I12" s="505"/>
      <c r="J12" s="505"/>
      <c r="K12" s="286" t="e">
        <f>様式１!Y17+様式１!AA17+様式１!AC17+様式１!AF17+様式１!AI17+様式１!AN17</f>
        <v>#VALUE!</v>
      </c>
      <c r="L12" s="488">
        <f>様式１!AP16</f>
        <v>0</v>
      </c>
      <c r="M12" s="490"/>
      <c r="N12" s="488">
        <f>様式１!AQ16</f>
        <v>0</v>
      </c>
      <c r="O12" s="489"/>
      <c r="P12" s="490"/>
      <c r="Q12" s="505">
        <f>様式１!AR16</f>
        <v>0</v>
      </c>
      <c r="R12" s="505"/>
      <c r="S12" s="505"/>
      <c r="T12" s="505">
        <f>様式１!AS16+様式１!AT16</f>
        <v>0</v>
      </c>
      <c r="U12" s="505"/>
      <c r="V12" s="505"/>
      <c r="W12" s="505">
        <f>様式１!AU16</f>
        <v>0</v>
      </c>
      <c r="X12" s="505"/>
      <c r="Y12" s="505"/>
      <c r="Z12" s="505">
        <f>様式１!AV16</f>
        <v>2</v>
      </c>
      <c r="AA12" s="505"/>
      <c r="AB12" s="488"/>
      <c r="AC12" s="428">
        <f>様式１!AW16</f>
        <v>0</v>
      </c>
      <c r="AD12" s="287" t="e">
        <f t="shared" si="7"/>
        <v>#VALUE!</v>
      </c>
      <c r="AE12" s="241" t="e">
        <f t="shared" si="8"/>
        <v>#VALUE!</v>
      </c>
      <c r="AF12" s="241" t="e">
        <f t="shared" si="9"/>
        <v>#VALUE!</v>
      </c>
      <c r="AG12" s="242" t="e">
        <f t="shared" si="10"/>
        <v>#VALUE!</v>
      </c>
      <c r="AI12" s="267" t="e">
        <f t="shared" si="21"/>
        <v>#VALUE!</v>
      </c>
      <c r="AJ12" s="267" t="e">
        <f t="shared" si="11"/>
        <v>#VALUE!</v>
      </c>
      <c r="AK12" s="267" t="e">
        <f t="shared" si="12"/>
        <v>#VALUE!</v>
      </c>
      <c r="AL12" s="267" t="e">
        <f t="shared" si="13"/>
        <v>#VALUE!</v>
      </c>
      <c r="AM12" s="267" t="e">
        <f t="shared" si="14"/>
        <v>#VALUE!</v>
      </c>
      <c r="AN12" s="437" t="e">
        <f t="shared" si="1"/>
        <v>#VALUE!</v>
      </c>
      <c r="AO12" s="268"/>
      <c r="AP12" s="267" t="e">
        <f t="shared" si="22"/>
        <v>#VALUE!</v>
      </c>
      <c r="AQ12" s="267" t="e">
        <f t="shared" si="15"/>
        <v>#VALUE!</v>
      </c>
      <c r="AR12" s="267" t="e">
        <f t="shared" si="16"/>
        <v>#VALUE!</v>
      </c>
      <c r="AS12" s="267" t="e">
        <f t="shared" si="17"/>
        <v>#VALUE!</v>
      </c>
      <c r="AT12" s="267" t="e">
        <f t="shared" si="18"/>
        <v>#VALUE!</v>
      </c>
      <c r="AU12" s="435" t="e">
        <f t="shared" si="2"/>
        <v>#VALUE!</v>
      </c>
      <c r="AV12" s="279" t="e">
        <f t="shared" si="19"/>
        <v>#VALUE!</v>
      </c>
      <c r="AW12" s="269" t="e">
        <f t="shared" si="20"/>
        <v>#VALUE!</v>
      </c>
      <c r="AX12" s="258"/>
      <c r="AY12" s="258"/>
      <c r="AZ12" s="270">
        <f>SUM(様式１!C17:D18)</f>
        <v>0</v>
      </c>
      <c r="BA12" s="271">
        <f>SUM('様式１－１（【本園分】標準時間対応）'!J13,'様式１－２（【分園分】標準時間対応）'!J13)</f>
        <v>0</v>
      </c>
      <c r="BB12" s="272">
        <f>SUM('様式１－１（【本園分】標準時間対応）'!R13,'様式１－２（【分園分】標準時間対応）'!R13)</f>
        <v>0</v>
      </c>
      <c r="BC12" s="272">
        <f>SUM('様式１－１（【本園分】標準時間対応）'!Z13,'様式１－２（【分園分】標準時間対応）'!Z13)</f>
        <v>0</v>
      </c>
      <c r="BD12" s="272">
        <f>SUM('様式１－１（【本園分】標準時間対応）'!AH13,'様式１－２（【分園分】標準時間対応）'!AH13)</f>
        <v>0</v>
      </c>
      <c r="BE12" s="272">
        <f>SUM('様式１－１（【本園分】標準時間対応）'!AP13,'様式１－２（【分園分】標準時間対応）'!AP13)</f>
        <v>0</v>
      </c>
      <c r="BF12" s="273">
        <f>SUM('様式１－１（【本園分】標準時間対応）'!AX13,'様式１－２（【分園分】標準時間対応）'!AX13)</f>
        <v>0</v>
      </c>
      <c r="BG12" s="271">
        <f>SUM(様式１!E18,様式１!M18)-SUM('様式１－１（【本園分】標準時間対応）'!J13,'様式１－２（【分園分】標準時間対応）'!J13)</f>
        <v>0</v>
      </c>
      <c r="BH12" s="272">
        <f>SUM(様式１!F18,様式１!N18)-SUM('様式１－１（【本園分】標準時間対応）'!R13,'様式１－２（【分園分】標準時間対応）'!R13)</f>
        <v>0</v>
      </c>
      <c r="BI12" s="272">
        <f>SUM(様式１!G18,様式１!O18)-SUM('様式１－１（【本園分】標準時間対応）'!Z13,'様式１－２（【分園分】標準時間対応）'!Z13)</f>
        <v>0</v>
      </c>
      <c r="BJ12" s="272">
        <f>SUM(様式１!I17,様式１!Q17)-SUM('様式１－１（【本園分】標準時間対応）'!AH13,'様式１－２（【分園分】標準時間対応）'!AH13)</f>
        <v>0</v>
      </c>
      <c r="BK12" s="272">
        <f>SUM(様式１!J17,様式１!R17)-SUM('様式１－１（【本園分】標準時間対応）'!AP13,'様式１－２（【分園分】標準時間対応）'!AP13)</f>
        <v>0</v>
      </c>
      <c r="BL12" s="273">
        <f>SUM(様式１!K17,様式１!S17)-SUM('様式１－１（【本園分】標準時間対応）'!AX13,'様式１－２（【分園分】標準時間対応）'!AX13)</f>
        <v>0</v>
      </c>
    </row>
    <row r="13" spans="1:64" ht="18.75" customHeight="1">
      <c r="A13">
        <f t="shared" si="3"/>
        <v>0</v>
      </c>
      <c r="B13" s="536" t="s">
        <v>145</v>
      </c>
      <c r="C13" s="536"/>
      <c r="D13" s="286" t="e">
        <f>様式１!BH19-様式１!BP19+ROUNDDOWN('様式２（専従の常勤）'!K91*様式１!BQ20,1)</f>
        <v>#VALUE!</v>
      </c>
      <c r="E13" s="235" t="e">
        <f t="shared" si="4"/>
        <v>#VALUE!</v>
      </c>
      <c r="F13" s="235" t="e">
        <f t="shared" si="5"/>
        <v>#VALUE!</v>
      </c>
      <c r="G13" s="235" t="e">
        <f t="shared" si="6"/>
        <v>#VALUE!</v>
      </c>
      <c r="H13" s="505" t="e">
        <f t="shared" si="0"/>
        <v>#VALUE!</v>
      </c>
      <c r="I13" s="505"/>
      <c r="J13" s="505"/>
      <c r="K13" s="286" t="e">
        <f>様式１!Y20+様式１!AA20+様式１!AC20+様式１!AF20+様式１!AI20+様式１!AN20</f>
        <v>#VALUE!</v>
      </c>
      <c r="L13" s="488">
        <f>様式１!AP19</f>
        <v>0</v>
      </c>
      <c r="M13" s="490"/>
      <c r="N13" s="488">
        <f>様式１!AQ19</f>
        <v>0</v>
      </c>
      <c r="O13" s="489"/>
      <c r="P13" s="490"/>
      <c r="Q13" s="505">
        <f>様式１!AR19</f>
        <v>0</v>
      </c>
      <c r="R13" s="505"/>
      <c r="S13" s="505"/>
      <c r="T13" s="505">
        <f>様式１!AS19+様式１!AT19</f>
        <v>0</v>
      </c>
      <c r="U13" s="505"/>
      <c r="V13" s="505"/>
      <c r="W13" s="505">
        <f>様式１!AU19</f>
        <v>0</v>
      </c>
      <c r="X13" s="505"/>
      <c r="Y13" s="505"/>
      <c r="Z13" s="505">
        <f>様式１!AV19</f>
        <v>2</v>
      </c>
      <c r="AA13" s="505"/>
      <c r="AB13" s="488"/>
      <c r="AC13" s="428">
        <f>様式１!AW19</f>
        <v>0</v>
      </c>
      <c r="AD13" s="287" t="e">
        <f t="shared" si="7"/>
        <v>#VALUE!</v>
      </c>
      <c r="AE13" s="241" t="e">
        <f t="shared" si="8"/>
        <v>#VALUE!</v>
      </c>
      <c r="AF13" s="241" t="e">
        <f t="shared" si="9"/>
        <v>#VALUE!</v>
      </c>
      <c r="AG13" s="242" t="e">
        <f t="shared" si="10"/>
        <v>#VALUE!</v>
      </c>
      <c r="AI13" s="267" t="e">
        <f t="shared" si="21"/>
        <v>#VALUE!</v>
      </c>
      <c r="AJ13" s="267" t="e">
        <f t="shared" si="11"/>
        <v>#VALUE!</v>
      </c>
      <c r="AK13" s="267" t="e">
        <f t="shared" si="12"/>
        <v>#VALUE!</v>
      </c>
      <c r="AL13" s="267" t="e">
        <f t="shared" si="13"/>
        <v>#VALUE!</v>
      </c>
      <c r="AM13" s="267" t="e">
        <f t="shared" si="14"/>
        <v>#VALUE!</v>
      </c>
      <c r="AN13" s="437" t="e">
        <f t="shared" si="1"/>
        <v>#VALUE!</v>
      </c>
      <c r="AO13" s="268"/>
      <c r="AP13" s="267" t="e">
        <f t="shared" si="22"/>
        <v>#VALUE!</v>
      </c>
      <c r="AQ13" s="267" t="e">
        <f t="shared" si="15"/>
        <v>#VALUE!</v>
      </c>
      <c r="AR13" s="267" t="e">
        <f t="shared" si="16"/>
        <v>#VALUE!</v>
      </c>
      <c r="AS13" s="267" t="e">
        <f t="shared" si="17"/>
        <v>#VALUE!</v>
      </c>
      <c r="AT13" s="267" t="e">
        <f t="shared" si="18"/>
        <v>#VALUE!</v>
      </c>
      <c r="AU13" s="435" t="e">
        <f t="shared" si="2"/>
        <v>#VALUE!</v>
      </c>
      <c r="AV13" s="279" t="e">
        <f t="shared" si="19"/>
        <v>#VALUE!</v>
      </c>
      <c r="AW13" s="269" t="e">
        <f t="shared" si="20"/>
        <v>#VALUE!</v>
      </c>
      <c r="AX13" s="258"/>
      <c r="AY13" s="258"/>
      <c r="AZ13" s="270">
        <f>SUM(様式１!C20:D21)</f>
        <v>0</v>
      </c>
      <c r="BA13" s="271">
        <f>SUM('様式１－１（【本園分】標準時間対応）'!J15,'様式１－２（【分園分】標準時間対応）'!J15)</f>
        <v>0</v>
      </c>
      <c r="BB13" s="272">
        <f>SUM('様式１－１（【本園分】標準時間対応）'!R15,'様式１－２（【分園分】標準時間対応）'!R15)</f>
        <v>0</v>
      </c>
      <c r="BC13" s="272">
        <f>SUM('様式１－１（【本園分】標準時間対応）'!Z15,'様式１－２（【分園分】標準時間対応）'!Z15)</f>
        <v>0</v>
      </c>
      <c r="BD13" s="272">
        <f>SUM('様式１－１（【本園分】標準時間対応）'!AH15,'様式１－２（【分園分】標準時間対応）'!AH15)</f>
        <v>0</v>
      </c>
      <c r="BE13" s="272">
        <f>SUM('様式１－１（【本園分】標準時間対応）'!AP15,'様式１－２（【分園分】標準時間対応）'!AP15)</f>
        <v>0</v>
      </c>
      <c r="BF13" s="273">
        <f>SUM('様式１－１（【本園分】標準時間対応）'!AX15,'様式１－２（【分園分】標準時間対応）'!AX15)</f>
        <v>0</v>
      </c>
      <c r="BG13" s="271">
        <f>SUM(様式１!E21,様式１!M21)-SUM('様式１－１（【本園分】標準時間対応）'!J15,'様式１－２（【分園分】標準時間対応）'!J15)</f>
        <v>0</v>
      </c>
      <c r="BH13" s="272">
        <f>SUM(様式１!F21,様式１!N21)-SUM('様式１－１（【本園分】標準時間対応）'!R15,'様式１－２（【分園分】標準時間対応）'!R15)</f>
        <v>0</v>
      </c>
      <c r="BI13" s="272">
        <f>SUM(様式１!G21,様式１!O21)-SUM('様式１－１（【本園分】標準時間対応）'!Z15,'様式１－２（【分園分】標準時間対応）'!Z15)</f>
        <v>0</v>
      </c>
      <c r="BJ13" s="272">
        <f>SUM(様式１!I20,様式１!Q20)-SUM('様式１－１（【本園分】標準時間対応）'!AH15,'様式１－２（【分園分】標準時間対応）'!AH15)</f>
        <v>0</v>
      </c>
      <c r="BK13" s="272">
        <f>SUM(様式１!J20,様式１!R20)-SUM('様式１－１（【本園分】標準時間対応）'!AP15,'様式１－２（【分園分】標準時間対応）'!AP15)</f>
        <v>0</v>
      </c>
      <c r="BL13" s="273">
        <f>SUM(様式１!K20,様式１!S20)-SUM('様式１－１（【本園分】標準時間対応）'!AX15,'様式１－２（【分園分】標準時間対応）'!AX15)</f>
        <v>0</v>
      </c>
    </row>
    <row r="14" spans="1:64" ht="18.75" customHeight="1">
      <c r="A14">
        <f t="shared" si="3"/>
        <v>0</v>
      </c>
      <c r="B14" s="536" t="s">
        <v>146</v>
      </c>
      <c r="C14" s="536"/>
      <c r="D14" s="286" t="e">
        <f>様式１!BH22-様式１!BP22+ROUNDDOWN('様式２（専従の常勤）'!L91*様式１!BQ23,1)</f>
        <v>#VALUE!</v>
      </c>
      <c r="E14" s="235" t="e">
        <f t="shared" si="4"/>
        <v>#VALUE!</v>
      </c>
      <c r="F14" s="235" t="e">
        <f t="shared" si="5"/>
        <v>#VALUE!</v>
      </c>
      <c r="G14" s="235" t="e">
        <f t="shared" si="6"/>
        <v>#VALUE!</v>
      </c>
      <c r="H14" s="505" t="e">
        <f t="shared" si="0"/>
        <v>#VALUE!</v>
      </c>
      <c r="I14" s="505"/>
      <c r="J14" s="505"/>
      <c r="K14" s="286" t="e">
        <f>様式１!Y23+様式１!AA23+様式１!AC23+様式１!AF23+様式１!AI23+様式１!AN23</f>
        <v>#VALUE!</v>
      </c>
      <c r="L14" s="488">
        <f>様式１!AP22</f>
        <v>0</v>
      </c>
      <c r="M14" s="490"/>
      <c r="N14" s="488">
        <f>様式１!AQ22</f>
        <v>0</v>
      </c>
      <c r="O14" s="489"/>
      <c r="P14" s="490"/>
      <c r="Q14" s="505">
        <f>様式１!AR22</f>
        <v>0</v>
      </c>
      <c r="R14" s="505"/>
      <c r="S14" s="505"/>
      <c r="T14" s="505">
        <f>様式１!AS22+様式１!AT22</f>
        <v>0</v>
      </c>
      <c r="U14" s="505"/>
      <c r="V14" s="505"/>
      <c r="W14" s="505">
        <f>様式１!AU22</f>
        <v>0</v>
      </c>
      <c r="X14" s="505"/>
      <c r="Y14" s="505"/>
      <c r="Z14" s="505">
        <f>様式１!AV22</f>
        <v>2</v>
      </c>
      <c r="AA14" s="505"/>
      <c r="AB14" s="488"/>
      <c r="AC14" s="428">
        <f>様式１!AW22</f>
        <v>0</v>
      </c>
      <c r="AD14" s="287" t="e">
        <f t="shared" si="7"/>
        <v>#VALUE!</v>
      </c>
      <c r="AE14" s="241" t="e">
        <f t="shared" si="8"/>
        <v>#VALUE!</v>
      </c>
      <c r="AF14" s="241" t="e">
        <f t="shared" si="9"/>
        <v>#VALUE!</v>
      </c>
      <c r="AG14" s="242" t="e">
        <f t="shared" si="10"/>
        <v>#VALUE!</v>
      </c>
      <c r="AI14" s="267" t="e">
        <f t="shared" si="21"/>
        <v>#VALUE!</v>
      </c>
      <c r="AJ14" s="267" t="e">
        <f t="shared" si="11"/>
        <v>#VALUE!</v>
      </c>
      <c r="AK14" s="267" t="e">
        <f t="shared" si="12"/>
        <v>#VALUE!</v>
      </c>
      <c r="AL14" s="267" t="e">
        <f t="shared" si="13"/>
        <v>#VALUE!</v>
      </c>
      <c r="AM14" s="267" t="e">
        <f t="shared" si="14"/>
        <v>#VALUE!</v>
      </c>
      <c r="AN14" s="437" t="e">
        <f t="shared" si="1"/>
        <v>#VALUE!</v>
      </c>
      <c r="AO14" s="268"/>
      <c r="AP14" s="267" t="e">
        <f t="shared" si="22"/>
        <v>#VALUE!</v>
      </c>
      <c r="AQ14" s="267" t="e">
        <f t="shared" si="15"/>
        <v>#VALUE!</v>
      </c>
      <c r="AR14" s="267" t="e">
        <f t="shared" si="16"/>
        <v>#VALUE!</v>
      </c>
      <c r="AS14" s="267" t="e">
        <f t="shared" si="17"/>
        <v>#VALUE!</v>
      </c>
      <c r="AT14" s="267" t="e">
        <f t="shared" si="18"/>
        <v>#VALUE!</v>
      </c>
      <c r="AU14" s="435" t="e">
        <f t="shared" si="2"/>
        <v>#VALUE!</v>
      </c>
      <c r="AV14" s="279" t="e">
        <f t="shared" si="19"/>
        <v>#VALUE!</v>
      </c>
      <c r="AW14" s="269" t="e">
        <f t="shared" si="20"/>
        <v>#VALUE!</v>
      </c>
      <c r="AX14" s="258"/>
      <c r="AY14" s="258"/>
      <c r="AZ14" s="270">
        <f>SUM(様式１!C23:D24)</f>
        <v>0</v>
      </c>
      <c r="BA14" s="271">
        <f>SUM('様式１－１（【本園分】標準時間対応）'!J17,'様式１－２（【分園分】標準時間対応）'!J17)</f>
        <v>0</v>
      </c>
      <c r="BB14" s="272">
        <f>SUM('様式１－１（【本園分】標準時間対応）'!R17,'様式１－２（【分園分】標準時間対応）'!R17)</f>
        <v>0</v>
      </c>
      <c r="BC14" s="272">
        <f>SUM('様式１－１（【本園分】標準時間対応）'!Z17,'様式１－２（【分園分】標準時間対応）'!Z17)</f>
        <v>0</v>
      </c>
      <c r="BD14" s="272">
        <f>SUM('様式１－１（【本園分】標準時間対応）'!AH17,'様式１－２（【分園分】標準時間対応）'!AH17)</f>
        <v>0</v>
      </c>
      <c r="BE14" s="272">
        <f>SUM('様式１－１（【本園分】標準時間対応）'!AP17,'様式１－２（【分園分】標準時間対応）'!AP17)</f>
        <v>0</v>
      </c>
      <c r="BF14" s="273">
        <f>SUM('様式１－１（【本園分】標準時間対応）'!AX17,'様式１－２（【分園分】標準時間対応）'!AX17)</f>
        <v>0</v>
      </c>
      <c r="BG14" s="271">
        <f>SUM(様式１!E24,様式１!M24)-SUM('様式１－１（【本園分】標準時間対応）'!J17,'様式１－２（【分園分】標準時間対応）'!J17)</f>
        <v>0</v>
      </c>
      <c r="BH14" s="272">
        <f>SUM(様式１!F24,様式１!N24)-SUM('様式１－１（【本園分】標準時間対応）'!R17,'様式１－２（【分園分】標準時間対応）'!R17)</f>
        <v>0</v>
      </c>
      <c r="BI14" s="272">
        <f>SUM(様式１!G24,様式１!O24)-SUM('様式１－１（【本園分】標準時間対応）'!Z17,'様式１－２（【分園分】標準時間対応）'!Z17)</f>
        <v>0</v>
      </c>
      <c r="BJ14" s="272">
        <f>SUM(様式１!I23,様式１!Q23)-SUM('様式１－１（【本園分】標準時間対応）'!AH17,'様式１－２（【分園分】標準時間対応）'!AH17)</f>
        <v>0</v>
      </c>
      <c r="BK14" s="272">
        <f>SUM(様式１!J23,様式１!R23)-SUM('様式１－１（【本園分】標準時間対応）'!AP17,'様式１－２（【分園分】標準時間対応）'!AP17)</f>
        <v>0</v>
      </c>
      <c r="BL14" s="273">
        <f>SUM(様式１!K23,様式１!S23)-SUM('様式１－１（【本園分】標準時間対応）'!AX17,'様式１－２（【分園分】標準時間対応）'!AX17)</f>
        <v>0</v>
      </c>
    </row>
    <row r="15" spans="1:64" ht="18.75" customHeight="1">
      <c r="A15">
        <f t="shared" si="3"/>
        <v>0</v>
      </c>
      <c r="B15" s="536" t="s">
        <v>147</v>
      </c>
      <c r="C15" s="536"/>
      <c r="D15" s="286" t="e">
        <f>様式１!BH25-様式１!BP25+ROUNDDOWN('様式２（専従の常勤）'!M91*様式１!BQ26,1)</f>
        <v>#VALUE!</v>
      </c>
      <c r="E15" s="235" t="e">
        <f t="shared" si="4"/>
        <v>#VALUE!</v>
      </c>
      <c r="F15" s="235" t="e">
        <f t="shared" si="5"/>
        <v>#VALUE!</v>
      </c>
      <c r="G15" s="235" t="e">
        <f t="shared" si="6"/>
        <v>#VALUE!</v>
      </c>
      <c r="H15" s="505" t="e">
        <f t="shared" si="0"/>
        <v>#VALUE!</v>
      </c>
      <c r="I15" s="505"/>
      <c r="J15" s="505"/>
      <c r="K15" s="286" t="e">
        <f>様式１!Y26+様式１!AA26+様式１!AC26+様式１!AF26+様式１!AI26+様式１!AN26</f>
        <v>#VALUE!</v>
      </c>
      <c r="L15" s="488">
        <f>様式１!AP25</f>
        <v>0</v>
      </c>
      <c r="M15" s="490"/>
      <c r="N15" s="488">
        <f>様式１!AQ25</f>
        <v>0</v>
      </c>
      <c r="O15" s="489"/>
      <c r="P15" s="490"/>
      <c r="Q15" s="505">
        <f>様式１!AR25</f>
        <v>0</v>
      </c>
      <c r="R15" s="505"/>
      <c r="S15" s="505"/>
      <c r="T15" s="505">
        <f>様式１!AS25+様式１!AT25</f>
        <v>0</v>
      </c>
      <c r="U15" s="505"/>
      <c r="V15" s="505"/>
      <c r="W15" s="505">
        <f>様式１!AU25</f>
        <v>0</v>
      </c>
      <c r="X15" s="505"/>
      <c r="Y15" s="505"/>
      <c r="Z15" s="505">
        <f>様式１!AV25</f>
        <v>2</v>
      </c>
      <c r="AA15" s="505"/>
      <c r="AB15" s="488"/>
      <c r="AC15" s="428">
        <f>様式１!AW25</f>
        <v>0</v>
      </c>
      <c r="AD15" s="287" t="e">
        <f t="shared" si="7"/>
        <v>#VALUE!</v>
      </c>
      <c r="AE15" s="241" t="e">
        <f t="shared" si="8"/>
        <v>#VALUE!</v>
      </c>
      <c r="AF15" s="241" t="e">
        <f t="shared" si="9"/>
        <v>#VALUE!</v>
      </c>
      <c r="AG15" s="242" t="e">
        <f t="shared" si="10"/>
        <v>#VALUE!</v>
      </c>
      <c r="AI15" s="267" t="e">
        <f t="shared" si="21"/>
        <v>#VALUE!</v>
      </c>
      <c r="AJ15" s="267" t="e">
        <f t="shared" si="11"/>
        <v>#VALUE!</v>
      </c>
      <c r="AK15" s="267" t="e">
        <f t="shared" si="12"/>
        <v>#VALUE!</v>
      </c>
      <c r="AL15" s="267" t="e">
        <f t="shared" si="13"/>
        <v>#VALUE!</v>
      </c>
      <c r="AM15" s="267" t="e">
        <f t="shared" si="14"/>
        <v>#VALUE!</v>
      </c>
      <c r="AN15" s="437" t="e">
        <f t="shared" si="1"/>
        <v>#VALUE!</v>
      </c>
      <c r="AO15" s="268"/>
      <c r="AP15" s="267" t="e">
        <f t="shared" si="22"/>
        <v>#VALUE!</v>
      </c>
      <c r="AQ15" s="267" t="e">
        <f t="shared" si="15"/>
        <v>#VALUE!</v>
      </c>
      <c r="AR15" s="267" t="e">
        <f t="shared" si="16"/>
        <v>#VALUE!</v>
      </c>
      <c r="AS15" s="267" t="e">
        <f t="shared" si="17"/>
        <v>#VALUE!</v>
      </c>
      <c r="AT15" s="267" t="e">
        <f t="shared" si="18"/>
        <v>#VALUE!</v>
      </c>
      <c r="AU15" s="435" t="e">
        <f t="shared" si="2"/>
        <v>#VALUE!</v>
      </c>
      <c r="AV15" s="279" t="e">
        <f t="shared" si="19"/>
        <v>#VALUE!</v>
      </c>
      <c r="AW15" s="269" t="e">
        <f t="shared" si="20"/>
        <v>#VALUE!</v>
      </c>
      <c r="AX15" s="258"/>
      <c r="AY15" s="258"/>
      <c r="AZ15" s="270">
        <f>SUM(様式１!C26:D27)</f>
        <v>0</v>
      </c>
      <c r="BA15" s="271">
        <f>SUM('様式１－１（【本園分】標準時間対応）'!J19,'様式１－２（【分園分】標準時間対応）'!J19)</f>
        <v>0</v>
      </c>
      <c r="BB15" s="272">
        <f>SUM('様式１－１（【本園分】標準時間対応）'!R19,'様式１－２（【分園分】標準時間対応）'!R19)</f>
        <v>0</v>
      </c>
      <c r="BC15" s="272">
        <f>SUM('様式１－１（【本園分】標準時間対応）'!Z19,'様式１－２（【分園分】標準時間対応）'!Z19)</f>
        <v>0</v>
      </c>
      <c r="BD15" s="272">
        <f>SUM('様式１－１（【本園分】標準時間対応）'!AH19,'様式１－２（【分園分】標準時間対応）'!AH19)</f>
        <v>0</v>
      </c>
      <c r="BE15" s="272">
        <f>SUM('様式１－１（【本園分】標準時間対応）'!AP19,'様式１－２（【分園分】標準時間対応）'!AP19)</f>
        <v>0</v>
      </c>
      <c r="BF15" s="273">
        <f>SUM('様式１－１（【本園分】標準時間対応）'!AX19,'様式１－２（【分園分】標準時間対応）'!AX19)</f>
        <v>0</v>
      </c>
      <c r="BG15" s="271">
        <f>SUM(様式１!E27,様式１!M27)-SUM('様式１－１（【本園分】標準時間対応）'!J19,'様式１－２（【分園分】標準時間対応）'!J19)</f>
        <v>0</v>
      </c>
      <c r="BH15" s="272">
        <f>SUM(様式１!F27,様式１!N27)-SUM('様式１－１（【本園分】標準時間対応）'!R19,'様式１－２（【分園分】標準時間対応）'!R19)</f>
        <v>0</v>
      </c>
      <c r="BI15" s="272">
        <f>SUM(様式１!G27,様式１!O27)-SUM('様式１－１（【本園分】標準時間対応）'!Z19,'様式１－２（【分園分】標準時間対応）'!Z19)</f>
        <v>0</v>
      </c>
      <c r="BJ15" s="272">
        <f>SUM(様式１!I26,様式１!Q26)-SUM('様式１－１（【本園分】標準時間対応）'!AH19,'様式１－２（【分園分】標準時間対応）'!AH19)</f>
        <v>0</v>
      </c>
      <c r="BK15" s="272">
        <f>SUM(様式１!J26,様式１!R26)-SUM('様式１－１（【本園分】標準時間対応）'!AP19,'様式１－２（【分園分】標準時間対応）'!AP19)</f>
        <v>0</v>
      </c>
      <c r="BL15" s="273">
        <f>SUM(様式１!K26,様式１!S26)-SUM('様式１－１（【本園分】標準時間対応）'!AX19,'様式１－２（【分園分】標準時間対応）'!AX19)</f>
        <v>0</v>
      </c>
    </row>
    <row r="16" spans="1:64" ht="18.75" customHeight="1">
      <c r="A16">
        <f t="shared" si="3"/>
        <v>0</v>
      </c>
      <c r="B16" s="536" t="s">
        <v>148</v>
      </c>
      <c r="C16" s="536"/>
      <c r="D16" s="286" t="e">
        <f>様式１!BH28-様式１!BP28+ROUNDDOWN('様式２（専従の常勤）'!N91*様式１!BQ29,1)</f>
        <v>#VALUE!</v>
      </c>
      <c r="E16" s="235" t="e">
        <f t="shared" si="4"/>
        <v>#VALUE!</v>
      </c>
      <c r="F16" s="235" t="e">
        <f t="shared" si="5"/>
        <v>#VALUE!</v>
      </c>
      <c r="G16" s="235" t="e">
        <f t="shared" si="6"/>
        <v>#VALUE!</v>
      </c>
      <c r="H16" s="505" t="e">
        <f t="shared" si="0"/>
        <v>#VALUE!</v>
      </c>
      <c r="I16" s="505"/>
      <c r="J16" s="505"/>
      <c r="K16" s="286" t="e">
        <f>様式１!Y29+様式１!AA29+様式１!AC29+様式１!AF29+様式１!AI29+様式１!AN29</f>
        <v>#VALUE!</v>
      </c>
      <c r="L16" s="488">
        <f>様式１!AP28</f>
        <v>0</v>
      </c>
      <c r="M16" s="490"/>
      <c r="N16" s="488">
        <f>様式１!AQ28</f>
        <v>0</v>
      </c>
      <c r="O16" s="489"/>
      <c r="P16" s="490"/>
      <c r="Q16" s="505">
        <f>様式１!AR28</f>
        <v>0</v>
      </c>
      <c r="R16" s="505"/>
      <c r="S16" s="505"/>
      <c r="T16" s="505">
        <f>様式１!AS28+様式１!AT28</f>
        <v>0</v>
      </c>
      <c r="U16" s="505"/>
      <c r="V16" s="505"/>
      <c r="W16" s="505">
        <f>様式１!AU28</f>
        <v>0</v>
      </c>
      <c r="X16" s="505"/>
      <c r="Y16" s="505"/>
      <c r="Z16" s="505">
        <f>様式１!AV28</f>
        <v>2</v>
      </c>
      <c r="AA16" s="505"/>
      <c r="AB16" s="488"/>
      <c r="AC16" s="428">
        <f>様式１!AW28</f>
        <v>0</v>
      </c>
      <c r="AD16" s="287" t="e">
        <f t="shared" si="7"/>
        <v>#VALUE!</v>
      </c>
      <c r="AE16" s="241" t="e">
        <f t="shared" si="8"/>
        <v>#VALUE!</v>
      </c>
      <c r="AF16" s="241" t="e">
        <f t="shared" si="9"/>
        <v>#VALUE!</v>
      </c>
      <c r="AG16" s="242" t="e">
        <f t="shared" si="10"/>
        <v>#VALUE!</v>
      </c>
      <c r="AI16" s="267" t="e">
        <f t="shared" si="21"/>
        <v>#VALUE!</v>
      </c>
      <c r="AJ16" s="267" t="e">
        <f t="shared" si="11"/>
        <v>#VALUE!</v>
      </c>
      <c r="AK16" s="267" t="e">
        <f t="shared" si="12"/>
        <v>#VALUE!</v>
      </c>
      <c r="AL16" s="267" t="e">
        <f t="shared" si="13"/>
        <v>#VALUE!</v>
      </c>
      <c r="AM16" s="267" t="e">
        <f t="shared" si="14"/>
        <v>#VALUE!</v>
      </c>
      <c r="AN16" s="437" t="e">
        <f t="shared" si="1"/>
        <v>#VALUE!</v>
      </c>
      <c r="AO16" s="268"/>
      <c r="AP16" s="267" t="e">
        <f t="shared" si="22"/>
        <v>#VALUE!</v>
      </c>
      <c r="AQ16" s="267" t="e">
        <f t="shared" si="15"/>
        <v>#VALUE!</v>
      </c>
      <c r="AR16" s="267" t="e">
        <f t="shared" si="16"/>
        <v>#VALUE!</v>
      </c>
      <c r="AS16" s="267" t="e">
        <f t="shared" si="17"/>
        <v>#VALUE!</v>
      </c>
      <c r="AT16" s="267" t="e">
        <f t="shared" si="18"/>
        <v>#VALUE!</v>
      </c>
      <c r="AU16" s="435" t="e">
        <f t="shared" si="2"/>
        <v>#VALUE!</v>
      </c>
      <c r="AV16" s="279" t="e">
        <f t="shared" si="19"/>
        <v>#VALUE!</v>
      </c>
      <c r="AW16" s="269" t="e">
        <f t="shared" si="20"/>
        <v>#VALUE!</v>
      </c>
      <c r="AX16" s="258"/>
      <c r="AY16" s="258"/>
      <c r="AZ16" s="270">
        <f>SUM(様式１!C29:D30)</f>
        <v>0</v>
      </c>
      <c r="BA16" s="271">
        <f>SUM('様式１－１（【本園分】標準時間対応）'!J21,'様式１－２（【分園分】標準時間対応）'!J21)</f>
        <v>0</v>
      </c>
      <c r="BB16" s="272">
        <f>SUM('様式１－１（【本園分】標準時間対応）'!R21,'様式１－２（【分園分】標準時間対応）'!R21)</f>
        <v>0</v>
      </c>
      <c r="BC16" s="272">
        <f>SUM('様式１－１（【本園分】標準時間対応）'!Z21,'様式１－２（【分園分】標準時間対応）'!Z21)</f>
        <v>0</v>
      </c>
      <c r="BD16" s="272">
        <f>SUM('様式１－１（【本園分】標準時間対応）'!AH21,'様式１－２（【分園分】標準時間対応）'!AH21)</f>
        <v>0</v>
      </c>
      <c r="BE16" s="272">
        <f>SUM('様式１－１（【本園分】標準時間対応）'!AP21,'様式１－２（【分園分】標準時間対応）'!AP21)</f>
        <v>0</v>
      </c>
      <c r="BF16" s="273">
        <f>SUM('様式１－１（【本園分】標準時間対応）'!AX21,'様式１－２（【分園分】標準時間対応）'!AX21)</f>
        <v>0</v>
      </c>
      <c r="BG16" s="271">
        <f>SUM(様式１!E30,様式１!M30)-SUM('様式１－１（【本園分】標準時間対応）'!J21,'様式１－２（【分園分】標準時間対応）'!J21)</f>
        <v>0</v>
      </c>
      <c r="BH16" s="272">
        <f>SUM(様式１!F30,様式１!N30)-SUM('様式１－１（【本園分】標準時間対応）'!R21,'様式１－２（【分園分】標準時間対応）'!R21)</f>
        <v>0</v>
      </c>
      <c r="BI16" s="272">
        <f>SUM(様式１!G30,様式１!O30)-SUM('様式１－１（【本園分】標準時間対応）'!Z21,'様式１－２（【分園分】標準時間対応）'!Z21)</f>
        <v>0</v>
      </c>
      <c r="BJ16" s="272">
        <f>SUM(様式１!I29,様式１!Q29)-SUM('様式１－１（【本園分】標準時間対応）'!AH21,'様式１－２（【分園分】標準時間対応）'!AH21)</f>
        <v>0</v>
      </c>
      <c r="BK16" s="272">
        <f>SUM(様式１!J29,様式１!R29)-SUM('様式１－１（【本園分】標準時間対応）'!AP21,'様式１－２（【分園分】標準時間対応）'!AP21)</f>
        <v>0</v>
      </c>
      <c r="BL16" s="273">
        <f>SUM(様式１!K29,様式１!S29)-SUM('様式１－１（【本園分】標準時間対応）'!AX21,'様式１－２（【分園分】標準時間対応）'!AX21)</f>
        <v>0</v>
      </c>
    </row>
    <row r="17" spans="1:64" ht="18.75" customHeight="1">
      <c r="A17">
        <f t="shared" si="3"/>
        <v>0</v>
      </c>
      <c r="B17" s="536" t="s">
        <v>149</v>
      </c>
      <c r="C17" s="536"/>
      <c r="D17" s="286" t="e">
        <f>様式１!BH31-様式１!BP31+ROUNDDOWN('様式２（専従の常勤）'!O91*様式１!BQ32,1)</f>
        <v>#VALUE!</v>
      </c>
      <c r="E17" s="235" t="e">
        <f t="shared" si="4"/>
        <v>#VALUE!</v>
      </c>
      <c r="F17" s="235" t="e">
        <f t="shared" si="5"/>
        <v>#VALUE!</v>
      </c>
      <c r="G17" s="235" t="e">
        <f t="shared" si="6"/>
        <v>#VALUE!</v>
      </c>
      <c r="H17" s="505" t="e">
        <f t="shared" si="0"/>
        <v>#VALUE!</v>
      </c>
      <c r="I17" s="505"/>
      <c r="J17" s="505"/>
      <c r="K17" s="286" t="e">
        <f>様式１!Y32+様式１!AA32+様式１!AC32+様式１!AF32+様式１!AI32+様式１!AN32</f>
        <v>#VALUE!</v>
      </c>
      <c r="L17" s="488">
        <f>様式１!AP31</f>
        <v>0</v>
      </c>
      <c r="M17" s="490"/>
      <c r="N17" s="488">
        <f>様式１!AQ31</f>
        <v>0</v>
      </c>
      <c r="O17" s="489"/>
      <c r="P17" s="490"/>
      <c r="Q17" s="505">
        <f>様式１!AR31</f>
        <v>0</v>
      </c>
      <c r="R17" s="505"/>
      <c r="S17" s="505"/>
      <c r="T17" s="505">
        <f>様式１!AS31+様式１!AT31</f>
        <v>0</v>
      </c>
      <c r="U17" s="505"/>
      <c r="V17" s="505"/>
      <c r="W17" s="505">
        <f>様式１!AU31</f>
        <v>0</v>
      </c>
      <c r="X17" s="505"/>
      <c r="Y17" s="505"/>
      <c r="Z17" s="505">
        <f>様式１!AV31</f>
        <v>2</v>
      </c>
      <c r="AA17" s="505"/>
      <c r="AB17" s="488"/>
      <c r="AC17" s="428">
        <f>様式１!AW31</f>
        <v>0</v>
      </c>
      <c r="AD17" s="287" t="e">
        <f t="shared" si="7"/>
        <v>#VALUE!</v>
      </c>
      <c r="AE17" s="241" t="e">
        <f t="shared" si="8"/>
        <v>#VALUE!</v>
      </c>
      <c r="AF17" s="241" t="e">
        <f t="shared" si="9"/>
        <v>#VALUE!</v>
      </c>
      <c r="AG17" s="242" t="e">
        <f t="shared" si="10"/>
        <v>#VALUE!</v>
      </c>
      <c r="AI17" s="267" t="e">
        <f t="shared" si="21"/>
        <v>#VALUE!</v>
      </c>
      <c r="AJ17" s="267" t="e">
        <f t="shared" si="11"/>
        <v>#VALUE!</v>
      </c>
      <c r="AK17" s="267" t="e">
        <f t="shared" si="12"/>
        <v>#VALUE!</v>
      </c>
      <c r="AL17" s="267" t="e">
        <f t="shared" si="13"/>
        <v>#VALUE!</v>
      </c>
      <c r="AM17" s="267" t="e">
        <f t="shared" si="14"/>
        <v>#VALUE!</v>
      </c>
      <c r="AN17" s="437" t="e">
        <f t="shared" si="1"/>
        <v>#VALUE!</v>
      </c>
      <c r="AO17" s="268"/>
      <c r="AP17" s="267" t="e">
        <f t="shared" si="22"/>
        <v>#VALUE!</v>
      </c>
      <c r="AQ17" s="267" t="e">
        <f t="shared" si="15"/>
        <v>#VALUE!</v>
      </c>
      <c r="AR17" s="267" t="e">
        <f t="shared" si="16"/>
        <v>#VALUE!</v>
      </c>
      <c r="AS17" s="267" t="e">
        <f t="shared" si="17"/>
        <v>#VALUE!</v>
      </c>
      <c r="AT17" s="267" t="e">
        <f t="shared" si="18"/>
        <v>#VALUE!</v>
      </c>
      <c r="AU17" s="435" t="e">
        <f t="shared" si="2"/>
        <v>#VALUE!</v>
      </c>
      <c r="AV17" s="279" t="e">
        <f t="shared" si="19"/>
        <v>#VALUE!</v>
      </c>
      <c r="AW17" s="269" t="e">
        <f t="shared" si="20"/>
        <v>#VALUE!</v>
      </c>
      <c r="AX17" s="258"/>
      <c r="AY17" s="258"/>
      <c r="AZ17" s="270">
        <f>SUM(様式１!C32:D33)</f>
        <v>0</v>
      </c>
      <c r="BA17" s="271">
        <f>SUM('様式１－１（【本園分】標準時間対応）'!J23,'様式１－２（【分園分】標準時間対応）'!J23)</f>
        <v>0</v>
      </c>
      <c r="BB17" s="272">
        <f>SUM('様式１－１（【本園分】標準時間対応）'!R23,'様式１－２（【分園分】標準時間対応）'!R23)</f>
        <v>0</v>
      </c>
      <c r="BC17" s="272">
        <f>SUM('様式１－１（【本園分】標準時間対応）'!Z23,'様式１－２（【分園分】標準時間対応）'!Z23)</f>
        <v>0</v>
      </c>
      <c r="BD17" s="272">
        <f>SUM('様式１－１（【本園分】標準時間対応）'!AH23,'様式１－２（【分園分】標準時間対応）'!AH23)</f>
        <v>0</v>
      </c>
      <c r="BE17" s="272">
        <f>SUM('様式１－１（【本園分】標準時間対応）'!AP23,'様式１－２（【分園分】標準時間対応）'!AP23)</f>
        <v>0</v>
      </c>
      <c r="BF17" s="273">
        <f>SUM('様式１－１（【本園分】標準時間対応）'!AX23,'様式１－２（【分園分】標準時間対応）'!AX23)</f>
        <v>0</v>
      </c>
      <c r="BG17" s="271">
        <f>SUM(様式１!E33,様式１!M33)-SUM('様式１－１（【本園分】標準時間対応）'!J23,'様式１－２（【分園分】標準時間対応）'!J23)</f>
        <v>0</v>
      </c>
      <c r="BH17" s="272">
        <f>SUM(様式１!F33,様式１!N33)-SUM('様式１－１（【本園分】標準時間対応）'!R23,'様式１－２（【分園分】標準時間対応）'!R23)</f>
        <v>0</v>
      </c>
      <c r="BI17" s="272">
        <f>SUM(様式１!G33,様式１!O33)-SUM('様式１－１（【本園分】標準時間対応）'!Z23,'様式１－２（【分園分】標準時間対応）'!Z23)</f>
        <v>0</v>
      </c>
      <c r="BJ17" s="272">
        <f>SUM(様式１!I32,様式１!Q32)-SUM('様式１－１（【本園分】標準時間対応）'!AH23,'様式１－２（【分園分】標準時間対応）'!AH23)</f>
        <v>0</v>
      </c>
      <c r="BK17" s="272">
        <f>SUM(様式１!J32,様式１!R32)-SUM('様式１－１（【本園分】標準時間対応）'!AP23,'様式１－２（【分園分】標準時間対応）'!AP23)</f>
        <v>0</v>
      </c>
      <c r="BL17" s="273">
        <f>SUM(様式１!K32,様式１!S32)-SUM('様式１－１（【本園分】標準時間対応）'!AX23,'様式１－２（【分園分】標準時間対応）'!AX23)</f>
        <v>0</v>
      </c>
    </row>
    <row r="18" spans="1:64" ht="18.75" customHeight="1">
      <c r="A18">
        <f t="shared" si="3"/>
        <v>0</v>
      </c>
      <c r="B18" s="536" t="s">
        <v>150</v>
      </c>
      <c r="C18" s="536"/>
      <c r="D18" s="286" t="e">
        <f>様式１!BH34-様式１!BP34+ROUNDDOWN('様式２（専従の常勤）'!P91*様式１!BQ35,1)</f>
        <v>#VALUE!</v>
      </c>
      <c r="E18" s="235" t="e">
        <f t="shared" si="4"/>
        <v>#VALUE!</v>
      </c>
      <c r="F18" s="235" t="e">
        <f t="shared" si="5"/>
        <v>#VALUE!</v>
      </c>
      <c r="G18" s="235" t="e">
        <f t="shared" si="6"/>
        <v>#VALUE!</v>
      </c>
      <c r="H18" s="505" t="e">
        <f t="shared" si="0"/>
        <v>#VALUE!</v>
      </c>
      <c r="I18" s="505"/>
      <c r="J18" s="505"/>
      <c r="K18" s="286" t="e">
        <f>様式１!Y35+様式１!AA35+様式１!AC35+様式１!AF35+様式１!AI35+様式１!AN35</f>
        <v>#VALUE!</v>
      </c>
      <c r="L18" s="488">
        <f>様式１!AP34</f>
        <v>0</v>
      </c>
      <c r="M18" s="490"/>
      <c r="N18" s="488">
        <f>様式１!AQ34</f>
        <v>0</v>
      </c>
      <c r="O18" s="489"/>
      <c r="P18" s="490"/>
      <c r="Q18" s="505">
        <f>様式１!AR34</f>
        <v>0</v>
      </c>
      <c r="R18" s="505"/>
      <c r="S18" s="505"/>
      <c r="T18" s="505">
        <f>様式１!AS34+様式１!AT34</f>
        <v>0</v>
      </c>
      <c r="U18" s="505"/>
      <c r="V18" s="505"/>
      <c r="W18" s="505">
        <f>様式１!AU34</f>
        <v>0</v>
      </c>
      <c r="X18" s="505"/>
      <c r="Y18" s="505"/>
      <c r="Z18" s="505">
        <f>様式１!AV34</f>
        <v>2</v>
      </c>
      <c r="AA18" s="505"/>
      <c r="AB18" s="488"/>
      <c r="AC18" s="428">
        <f>様式１!AW34</f>
        <v>0</v>
      </c>
      <c r="AD18" s="287" t="e">
        <f t="shared" si="7"/>
        <v>#VALUE!</v>
      </c>
      <c r="AE18" s="241" t="e">
        <f t="shared" si="8"/>
        <v>#VALUE!</v>
      </c>
      <c r="AF18" s="241" t="e">
        <f t="shared" si="9"/>
        <v>#VALUE!</v>
      </c>
      <c r="AG18" s="242" t="e">
        <f t="shared" si="10"/>
        <v>#VALUE!</v>
      </c>
      <c r="AI18" s="267" t="e">
        <f t="shared" si="21"/>
        <v>#VALUE!</v>
      </c>
      <c r="AJ18" s="267" t="e">
        <f t="shared" si="11"/>
        <v>#VALUE!</v>
      </c>
      <c r="AK18" s="267" t="e">
        <f t="shared" si="12"/>
        <v>#VALUE!</v>
      </c>
      <c r="AL18" s="267" t="e">
        <f t="shared" si="13"/>
        <v>#VALUE!</v>
      </c>
      <c r="AM18" s="267" t="e">
        <f t="shared" si="14"/>
        <v>#VALUE!</v>
      </c>
      <c r="AN18" s="437" t="e">
        <f t="shared" si="1"/>
        <v>#VALUE!</v>
      </c>
      <c r="AO18" s="268"/>
      <c r="AP18" s="267" t="e">
        <f t="shared" si="22"/>
        <v>#VALUE!</v>
      </c>
      <c r="AQ18" s="267" t="e">
        <f t="shared" si="15"/>
        <v>#VALUE!</v>
      </c>
      <c r="AR18" s="267" t="e">
        <f t="shared" si="16"/>
        <v>#VALUE!</v>
      </c>
      <c r="AS18" s="267" t="e">
        <f t="shared" si="17"/>
        <v>#VALUE!</v>
      </c>
      <c r="AT18" s="267" t="e">
        <f t="shared" si="18"/>
        <v>#VALUE!</v>
      </c>
      <c r="AU18" s="435" t="e">
        <f t="shared" si="2"/>
        <v>#VALUE!</v>
      </c>
      <c r="AV18" s="279" t="e">
        <f t="shared" si="19"/>
        <v>#VALUE!</v>
      </c>
      <c r="AW18" s="269" t="e">
        <f t="shared" si="20"/>
        <v>#VALUE!</v>
      </c>
      <c r="AX18" s="258"/>
      <c r="AY18" s="258"/>
      <c r="AZ18" s="270">
        <f>SUM(様式１!C35:D36)</f>
        <v>0</v>
      </c>
      <c r="BA18" s="271">
        <f>SUM('様式１－１（【本園分】標準時間対応）'!J25,'様式１－２（【分園分】標準時間対応）'!J25)</f>
        <v>0</v>
      </c>
      <c r="BB18" s="272">
        <f>SUM('様式１－１（【本園分】標準時間対応）'!R25,'様式１－２（【分園分】標準時間対応）'!R25)</f>
        <v>0</v>
      </c>
      <c r="BC18" s="272">
        <f>SUM('様式１－１（【本園分】標準時間対応）'!Z25,'様式１－２（【分園分】標準時間対応）'!Z25)</f>
        <v>0</v>
      </c>
      <c r="BD18" s="272">
        <f>SUM('様式１－１（【本園分】標準時間対応）'!AH25,'様式１－２（【分園分】標準時間対応）'!AH25)</f>
        <v>0</v>
      </c>
      <c r="BE18" s="272">
        <f>SUM('様式１－１（【本園分】標準時間対応）'!AP25,'様式１－２（【分園分】標準時間対応）'!AP25)</f>
        <v>0</v>
      </c>
      <c r="BF18" s="273">
        <f>SUM('様式１－１（【本園分】標準時間対応）'!AX25,'様式１－２（【分園分】標準時間対応）'!AX25)</f>
        <v>0</v>
      </c>
      <c r="BG18" s="271">
        <f>SUM(様式１!E36,様式１!M36)-SUM('様式１－１（【本園分】標準時間対応）'!J25,'様式１－２（【分園分】標準時間対応）'!J25)</f>
        <v>0</v>
      </c>
      <c r="BH18" s="272">
        <f>SUM(様式１!F36,様式１!N36)-SUM('様式１－１（【本園分】標準時間対応）'!R25,'様式１－２（【分園分】標準時間対応）'!R25)</f>
        <v>0</v>
      </c>
      <c r="BI18" s="272">
        <f>SUM(様式１!G36,様式１!O36)-SUM('様式１－１（【本園分】標準時間対応）'!Z25,'様式１－２（【分園分】標準時間対応）'!Z25)</f>
        <v>0</v>
      </c>
      <c r="BJ18" s="272">
        <f>SUM(様式１!I35,様式１!Q35)-SUM('様式１－１（【本園分】標準時間対応）'!AH25,'様式１－２（【分園分】標準時間対応）'!AH25)</f>
        <v>0</v>
      </c>
      <c r="BK18" s="272">
        <f>SUM(様式１!J35,様式１!R35)-SUM('様式１－１（【本園分】標準時間対応）'!AP25,'様式１－２（【分園分】標準時間対応）'!AP25)</f>
        <v>0</v>
      </c>
      <c r="BL18" s="273">
        <f>SUM(様式１!K35,様式１!S35)-SUM('様式１－１（【本園分】標準時間対応）'!AX25,'様式１－２（【分園分】標準時間対応）'!AX25)</f>
        <v>0</v>
      </c>
    </row>
    <row r="19" spans="1:64" ht="18.75" customHeight="1">
      <c r="A19">
        <f t="shared" si="3"/>
        <v>0</v>
      </c>
      <c r="B19" s="536" t="s">
        <v>15</v>
      </c>
      <c r="C19" s="536"/>
      <c r="D19" s="286" t="e">
        <f>様式１!BH37-様式１!BP37+ROUNDDOWN('様式２（専従の常勤）'!Q91*様式１!BQ38,1)</f>
        <v>#VALUE!</v>
      </c>
      <c r="E19" s="235" t="e">
        <f t="shared" si="4"/>
        <v>#VALUE!</v>
      </c>
      <c r="F19" s="235" t="e">
        <f t="shared" si="5"/>
        <v>#VALUE!</v>
      </c>
      <c r="G19" s="235" t="e">
        <f t="shared" si="6"/>
        <v>#VALUE!</v>
      </c>
      <c r="H19" s="505" t="e">
        <f t="shared" si="0"/>
        <v>#VALUE!</v>
      </c>
      <c r="I19" s="505"/>
      <c r="J19" s="505"/>
      <c r="K19" s="286" t="e">
        <f>様式１!Y38+様式１!AA38+様式１!AC38+様式１!AF38+様式１!AI38+様式１!AN38</f>
        <v>#VALUE!</v>
      </c>
      <c r="L19" s="488">
        <f>様式１!AP37</f>
        <v>0</v>
      </c>
      <c r="M19" s="490"/>
      <c r="N19" s="488">
        <f>様式１!AQ37</f>
        <v>0</v>
      </c>
      <c r="O19" s="489"/>
      <c r="P19" s="490"/>
      <c r="Q19" s="505">
        <f>様式１!AR37</f>
        <v>0</v>
      </c>
      <c r="R19" s="505"/>
      <c r="S19" s="505"/>
      <c r="T19" s="505">
        <f>様式１!AS37+様式１!AT37</f>
        <v>0</v>
      </c>
      <c r="U19" s="505"/>
      <c r="V19" s="505"/>
      <c r="W19" s="505">
        <f>様式１!AU37</f>
        <v>0</v>
      </c>
      <c r="X19" s="505"/>
      <c r="Y19" s="505"/>
      <c r="Z19" s="505">
        <f>様式１!AV37</f>
        <v>2</v>
      </c>
      <c r="AA19" s="505"/>
      <c r="AB19" s="488"/>
      <c r="AC19" s="428">
        <f>様式１!AW37</f>
        <v>0</v>
      </c>
      <c r="AD19" s="287" t="e">
        <f t="shared" si="7"/>
        <v>#VALUE!</v>
      </c>
      <c r="AE19" s="241" t="e">
        <f t="shared" si="8"/>
        <v>#VALUE!</v>
      </c>
      <c r="AF19" s="241" t="e">
        <f t="shared" si="9"/>
        <v>#VALUE!</v>
      </c>
      <c r="AG19" s="242" t="e">
        <f t="shared" si="10"/>
        <v>#VALUE!</v>
      </c>
      <c r="AI19" s="267" t="e">
        <f t="shared" si="21"/>
        <v>#VALUE!</v>
      </c>
      <c r="AJ19" s="267" t="e">
        <f t="shared" si="11"/>
        <v>#VALUE!</v>
      </c>
      <c r="AK19" s="267" t="e">
        <f t="shared" si="12"/>
        <v>#VALUE!</v>
      </c>
      <c r="AL19" s="267" t="e">
        <f t="shared" si="13"/>
        <v>#VALUE!</v>
      </c>
      <c r="AM19" s="267" t="e">
        <f t="shared" si="14"/>
        <v>#VALUE!</v>
      </c>
      <c r="AN19" s="437" t="e">
        <f t="shared" si="1"/>
        <v>#VALUE!</v>
      </c>
      <c r="AO19" s="268"/>
      <c r="AP19" s="267" t="e">
        <f t="shared" si="22"/>
        <v>#VALUE!</v>
      </c>
      <c r="AQ19" s="267" t="e">
        <f t="shared" si="15"/>
        <v>#VALUE!</v>
      </c>
      <c r="AR19" s="267" t="e">
        <f t="shared" si="16"/>
        <v>#VALUE!</v>
      </c>
      <c r="AS19" s="267" t="e">
        <f t="shared" si="17"/>
        <v>#VALUE!</v>
      </c>
      <c r="AT19" s="267" t="e">
        <f t="shared" si="18"/>
        <v>#VALUE!</v>
      </c>
      <c r="AU19" s="435" t="e">
        <f t="shared" si="2"/>
        <v>#VALUE!</v>
      </c>
      <c r="AV19" s="279" t="e">
        <f t="shared" si="19"/>
        <v>#VALUE!</v>
      </c>
      <c r="AW19" s="269" t="e">
        <f t="shared" si="20"/>
        <v>#VALUE!</v>
      </c>
      <c r="AX19" s="258"/>
      <c r="AY19" s="258"/>
      <c r="AZ19" s="270">
        <f>SUM(様式１!C38:D39)</f>
        <v>0</v>
      </c>
      <c r="BA19" s="271">
        <f>SUM('様式１－１（【本園分】標準時間対応）'!J27,'様式１－２（【分園分】標準時間対応）'!J27)</f>
        <v>0</v>
      </c>
      <c r="BB19" s="272">
        <f>SUM('様式１－１（【本園分】標準時間対応）'!R27,'様式１－２（【分園分】標準時間対応）'!R27)</f>
        <v>0</v>
      </c>
      <c r="BC19" s="272">
        <f>SUM('様式１－１（【本園分】標準時間対応）'!Z27,'様式１－２（【分園分】標準時間対応）'!Z27)</f>
        <v>0</v>
      </c>
      <c r="BD19" s="272">
        <f>SUM('様式１－１（【本園分】標準時間対応）'!AH27,'様式１－２（【分園分】標準時間対応）'!AH27)</f>
        <v>0</v>
      </c>
      <c r="BE19" s="272">
        <f>SUM('様式１－１（【本園分】標準時間対応）'!AP27,'様式１－２（【分園分】標準時間対応）'!AP27)</f>
        <v>0</v>
      </c>
      <c r="BF19" s="273">
        <f>SUM('様式１－１（【本園分】標準時間対応）'!AX27,'様式１－２（【分園分】標準時間対応）'!AX27)</f>
        <v>0</v>
      </c>
      <c r="BG19" s="271">
        <f>SUM(様式１!E39,様式１!M39)-SUM('様式１－１（【本園分】標準時間対応）'!J27,'様式１－２（【分園分】標準時間対応）'!J27)</f>
        <v>0</v>
      </c>
      <c r="BH19" s="272">
        <f>SUM(様式１!F39,様式１!N39)-SUM('様式１－１（【本園分】標準時間対応）'!R27,'様式１－２（【分園分】標準時間対応）'!R27)</f>
        <v>0</v>
      </c>
      <c r="BI19" s="272">
        <f>SUM(様式１!G39,様式１!O39)-SUM('様式１－１（【本園分】標準時間対応）'!Z27,'様式１－２（【分園分】標準時間対応）'!Z27)</f>
        <v>0</v>
      </c>
      <c r="BJ19" s="272">
        <f>SUM(様式１!I38,様式１!Q38)-SUM('様式１－１（【本園分】標準時間対応）'!AH27,'様式１－２（【分園分】標準時間対応）'!AH27)</f>
        <v>0</v>
      </c>
      <c r="BK19" s="272">
        <f>SUM(様式１!J38,様式１!R38)-SUM('様式１－１（【本園分】標準時間対応）'!AP27,'様式１－２（【分園分】標準時間対応）'!AP27)</f>
        <v>0</v>
      </c>
      <c r="BL19" s="273">
        <f>SUM(様式１!K38,様式１!S38)-SUM('様式１－１（【本園分】標準時間対応）'!AX27,'様式１－２（【分園分】標準時間対応）'!AX27)</f>
        <v>0</v>
      </c>
    </row>
    <row r="20" spans="1:64" ht="18.75" customHeight="1" thickBot="1">
      <c r="A20">
        <f t="shared" si="3"/>
        <v>0</v>
      </c>
      <c r="B20" s="533" t="s">
        <v>151</v>
      </c>
      <c r="C20" s="533"/>
      <c r="D20" s="288" t="e">
        <f>様式１!BH40-様式１!BP40+ROUNDDOWN('様式２（専従の常勤）'!R91*様式１!BQ41,1)</f>
        <v>#VALUE!</v>
      </c>
      <c r="E20" s="236" t="e">
        <f t="shared" si="4"/>
        <v>#VALUE!</v>
      </c>
      <c r="F20" s="236" t="e">
        <f t="shared" si="5"/>
        <v>#VALUE!</v>
      </c>
      <c r="G20" s="236" t="e">
        <f t="shared" si="6"/>
        <v>#VALUE!</v>
      </c>
      <c r="H20" s="534" t="e">
        <f t="shared" si="0"/>
        <v>#VALUE!</v>
      </c>
      <c r="I20" s="534"/>
      <c r="J20" s="534"/>
      <c r="K20" s="288" t="e">
        <f>様式１!Y41+様式１!AA41+様式１!AC41+様式１!AF41+様式１!AI41+様式１!AN41</f>
        <v>#VALUE!</v>
      </c>
      <c r="L20" s="491">
        <f>様式１!AP40</f>
        <v>0</v>
      </c>
      <c r="M20" s="493"/>
      <c r="N20" s="491">
        <f>様式１!AQ40</f>
        <v>0</v>
      </c>
      <c r="O20" s="492"/>
      <c r="P20" s="493"/>
      <c r="Q20" s="534">
        <f>様式１!AR40</f>
        <v>0</v>
      </c>
      <c r="R20" s="534"/>
      <c r="S20" s="534"/>
      <c r="T20" s="534">
        <f>様式１!AS40+様式１!AT40</f>
        <v>0</v>
      </c>
      <c r="U20" s="534"/>
      <c r="V20" s="534"/>
      <c r="W20" s="534">
        <f>様式１!AU40</f>
        <v>0</v>
      </c>
      <c r="X20" s="534"/>
      <c r="Y20" s="534"/>
      <c r="Z20" s="534">
        <f>様式１!AV40</f>
        <v>2</v>
      </c>
      <c r="AA20" s="534"/>
      <c r="AB20" s="535"/>
      <c r="AC20" s="429">
        <f>様式１!AW40</f>
        <v>0</v>
      </c>
      <c r="AD20" s="289" t="e">
        <f t="shared" si="7"/>
        <v>#VALUE!</v>
      </c>
      <c r="AE20" s="243" t="e">
        <f t="shared" si="8"/>
        <v>#VALUE!</v>
      </c>
      <c r="AF20" s="243" t="e">
        <f t="shared" si="9"/>
        <v>#VALUE!</v>
      </c>
      <c r="AG20" s="244" t="e">
        <f t="shared" si="10"/>
        <v>#VALUE!</v>
      </c>
      <c r="AI20" s="267" t="e">
        <f t="shared" si="21"/>
        <v>#VALUE!</v>
      </c>
      <c r="AJ20" s="267" t="e">
        <f t="shared" si="11"/>
        <v>#VALUE!</v>
      </c>
      <c r="AK20" s="267" t="e">
        <f t="shared" si="12"/>
        <v>#VALUE!</v>
      </c>
      <c r="AL20" s="267" t="e">
        <f t="shared" si="13"/>
        <v>#VALUE!</v>
      </c>
      <c r="AM20" s="267" t="e">
        <f t="shared" si="14"/>
        <v>#VALUE!</v>
      </c>
      <c r="AN20" s="437" t="e">
        <f t="shared" si="1"/>
        <v>#VALUE!</v>
      </c>
      <c r="AO20" s="268"/>
      <c r="AP20" s="267" t="e">
        <f t="shared" si="22"/>
        <v>#VALUE!</v>
      </c>
      <c r="AQ20" s="267" t="e">
        <f t="shared" si="15"/>
        <v>#VALUE!</v>
      </c>
      <c r="AR20" s="267" t="e">
        <f t="shared" si="16"/>
        <v>#VALUE!</v>
      </c>
      <c r="AS20" s="267" t="e">
        <f t="shared" si="17"/>
        <v>#VALUE!</v>
      </c>
      <c r="AT20" s="267" t="e">
        <f t="shared" si="18"/>
        <v>#VALUE!</v>
      </c>
      <c r="AU20" s="435" t="e">
        <f t="shared" si="2"/>
        <v>#VALUE!</v>
      </c>
      <c r="AV20" s="279" t="e">
        <f t="shared" si="19"/>
        <v>#VALUE!</v>
      </c>
      <c r="AW20" s="269" t="e">
        <f t="shared" si="20"/>
        <v>#VALUE!</v>
      </c>
      <c r="AX20" s="258"/>
      <c r="AY20" s="258"/>
      <c r="AZ20" s="270">
        <f>SUM(様式１!C41:D42)</f>
        <v>0</v>
      </c>
      <c r="BA20" s="271">
        <f>SUM('様式１－１（【本園分】標準時間対応）'!J29,'様式１－２（【分園分】標準時間対応）'!J29)</f>
        <v>0</v>
      </c>
      <c r="BB20" s="272">
        <f>SUM('様式１－１（【本園分】標準時間対応）'!R29,'様式１－２（【分園分】標準時間対応）'!R29)</f>
        <v>0</v>
      </c>
      <c r="BC20" s="272">
        <f>SUM('様式１－１（【本園分】標準時間対応）'!Z29,'様式１－２（【分園分】標準時間対応）'!Z29)</f>
        <v>0</v>
      </c>
      <c r="BD20" s="272">
        <f>SUM('様式１－１（【本園分】標準時間対応）'!AH29,'様式１－２（【分園分】標準時間対応）'!AH29)</f>
        <v>0</v>
      </c>
      <c r="BE20" s="272">
        <f>SUM('様式１－１（【本園分】標準時間対応）'!AP29,'様式１－２（【分園分】標準時間対応）'!AP29)</f>
        <v>0</v>
      </c>
      <c r="BF20" s="273">
        <f>SUM('様式１－１（【本園分】標準時間対応）'!AX29,'様式１－２（【分園分】標準時間対応）'!AX29)</f>
        <v>0</v>
      </c>
      <c r="BG20" s="271">
        <f>SUM(様式１!E42,様式１!M42)-SUM('様式１－１（【本園分】標準時間対応）'!J29,'様式１－２（【分園分】標準時間対応）'!J29)</f>
        <v>0</v>
      </c>
      <c r="BH20" s="272">
        <f>SUM(様式１!F42,様式１!N42)-SUM('様式１－１（【本園分】標準時間対応）'!R29,'様式１－２（【分園分】標準時間対応）'!R29)</f>
        <v>0</v>
      </c>
      <c r="BI20" s="272">
        <f>SUM(様式１!G42,様式１!O42)-SUM('様式１－１（【本園分】標準時間対応）'!Z29,'様式１－２（【分園分】標準時間対応）'!Z29)</f>
        <v>0</v>
      </c>
      <c r="BJ20" s="272">
        <f>SUM(様式１!I41,様式１!Q41)-SUM('様式１－１（【本園分】標準時間対応）'!AH29,'様式１－２（【分園分】標準時間対応）'!AH29)</f>
        <v>0</v>
      </c>
      <c r="BK20" s="272">
        <f>SUM(様式１!J41,様式１!R41)-SUM('様式１－１（【本園分】標準時間対応）'!AP29,'様式１－２（【分園分】標準時間対応）'!AP29)</f>
        <v>0</v>
      </c>
      <c r="BL20" s="273">
        <f>SUM(様式１!K41,様式１!S41)-SUM('様式１－１（【本園分】標準時間対応）'!AX29,'様式１－２（【分園分】標準時間対応）'!AX29)</f>
        <v>0</v>
      </c>
    </row>
    <row r="21" spans="1:64" ht="18.75" customHeight="1" thickTop="1" thickBot="1">
      <c r="A21">
        <f t="shared" si="3"/>
        <v>0</v>
      </c>
      <c r="B21" s="530" t="s">
        <v>152</v>
      </c>
      <c r="C21" s="530"/>
      <c r="D21" s="285">
        <f>様式１!BH43-様式１!BP43+ROUNDDOWN(SUM('様式２（専従の常勤）'!G91:R91)/12*様式１!BQ44,1)</f>
        <v>0</v>
      </c>
      <c r="E21" s="237">
        <f t="shared" si="4"/>
        <v>0</v>
      </c>
      <c r="F21" s="237">
        <f>IF(MIN(L21,D21-K21-G21)&lt;0,0,MIN(L21,D21-K21-G21))</f>
        <v>0</v>
      </c>
      <c r="G21" s="237">
        <f>IF(MIN(N21,D21-K21)&lt;0,0,MIN(N21,D21-K21))</f>
        <v>0</v>
      </c>
      <c r="H21" s="531">
        <f t="shared" si="0"/>
        <v>4</v>
      </c>
      <c r="I21" s="531"/>
      <c r="J21" s="531"/>
      <c r="K21" s="285">
        <f>様式１!Y44+様式１!AA44+様式１!AC44+様式１!AF44+様式１!AI44+様式１!AN44</f>
        <v>2</v>
      </c>
      <c r="L21" s="494">
        <f>様式１!AP43</f>
        <v>0</v>
      </c>
      <c r="M21" s="496"/>
      <c r="N21" s="494">
        <f>様式１!AQ43</f>
        <v>0</v>
      </c>
      <c r="O21" s="495"/>
      <c r="P21" s="496"/>
      <c r="Q21" s="531">
        <f>様式１!AR43</f>
        <v>0</v>
      </c>
      <c r="R21" s="531"/>
      <c r="S21" s="531"/>
      <c r="T21" s="531">
        <f>様式１!AS43+様式１!AT43</f>
        <v>0</v>
      </c>
      <c r="U21" s="531"/>
      <c r="V21" s="531"/>
      <c r="W21" s="531">
        <f>様式１!AU43</f>
        <v>0</v>
      </c>
      <c r="X21" s="531"/>
      <c r="Y21" s="531"/>
      <c r="Z21" s="531">
        <f>様式１!AV43</f>
        <v>2</v>
      </c>
      <c r="AA21" s="531"/>
      <c r="AB21" s="532"/>
      <c r="AC21" s="430">
        <f>様式１!AW43</f>
        <v>0</v>
      </c>
      <c r="AD21" s="284">
        <f t="shared" si="7"/>
        <v>2</v>
      </c>
      <c r="AE21" s="245">
        <f t="shared" si="8"/>
        <v>2</v>
      </c>
      <c r="AF21" s="278">
        <f>MIN(F21,L21)</f>
        <v>0</v>
      </c>
      <c r="AG21" s="246">
        <f>MIN(G21,N21)</f>
        <v>0</v>
      </c>
      <c r="AI21" s="267">
        <f>E21-K21</f>
        <v>-2</v>
      </c>
      <c r="AJ21" s="267">
        <f t="shared" si="11"/>
        <v>-2</v>
      </c>
      <c r="AK21" s="267">
        <f t="shared" si="12"/>
        <v>-2</v>
      </c>
      <c r="AL21" s="267">
        <f t="shared" si="13"/>
        <v>-2</v>
      </c>
      <c r="AM21" s="267">
        <f t="shared" si="14"/>
        <v>-4</v>
      </c>
      <c r="AN21" s="437">
        <f t="shared" ref="AN21" si="23">E21-SUM(K21,Q21:AC21)</f>
        <v>-4</v>
      </c>
      <c r="AO21" s="268"/>
      <c r="AP21" s="267">
        <f t="shared" si="22"/>
        <v>2</v>
      </c>
      <c r="AQ21" s="267">
        <f t="shared" si="15"/>
        <v>2</v>
      </c>
      <c r="AR21" s="267">
        <f t="shared" si="16"/>
        <v>2</v>
      </c>
      <c r="AS21" s="267">
        <f t="shared" si="17"/>
        <v>2</v>
      </c>
      <c r="AT21" s="267">
        <f t="shared" si="18"/>
        <v>4</v>
      </c>
      <c r="AU21" s="435">
        <f t="shared" si="2"/>
        <v>4</v>
      </c>
      <c r="AV21" s="279">
        <f t="shared" si="19"/>
        <v>4</v>
      </c>
      <c r="AW21" s="274">
        <f>MIN(AP21:AV21)</f>
        <v>2</v>
      </c>
      <c r="AX21" s="258"/>
      <c r="AY21" s="258"/>
      <c r="AZ21" s="270">
        <f>SUM(様式１!C44:D45)</f>
        <v>0</v>
      </c>
      <c r="BA21" s="275">
        <f>SUM('様式１－１（【本園分】標準時間対応）'!J31,'様式１－２（【分園分】標準時間対応）'!J31)</f>
        <v>0</v>
      </c>
      <c r="BB21" s="276">
        <f>SUM('様式１－１（【本園分】標準時間対応）'!R31,'様式１－２（【分園分】標準時間対応）'!R31)</f>
        <v>0</v>
      </c>
      <c r="BC21" s="276">
        <f>SUM('様式１－１（【本園分】標準時間対応）'!Z31,'様式１－２（【分園分】標準時間対応）'!Z31)</f>
        <v>0</v>
      </c>
      <c r="BD21" s="276">
        <f>SUM('様式１－１（【本園分】標準時間対応）'!AH31,'様式１－２（【分園分】標準時間対応）'!AH31)</f>
        <v>0</v>
      </c>
      <c r="BE21" s="276">
        <f>SUM('様式１－１（【本園分】標準時間対応）'!AP31,'様式１－２（【分園分】標準時間対応）'!AP31)</f>
        <v>0</v>
      </c>
      <c r="BF21" s="277">
        <f>SUM('様式１－１（【本園分】標準時間対応）'!AX31,'様式１－２（【分園分】標準時間対応）'!AX31)</f>
        <v>0</v>
      </c>
      <c r="BG21" s="275">
        <f>SUM(様式１!E45,様式１!M45)-SUM('様式１－１（【本園分】標準時間対応）'!J31,'様式１－２（【分園分】標準時間対応）'!J31)</f>
        <v>0</v>
      </c>
      <c r="BH21" s="276">
        <f>SUM(様式１!F45,様式１!N45)-SUM('様式１－１（【本園分】標準時間対応）'!R31,'様式１－２（【分園分】標準時間対応）'!R31)</f>
        <v>0</v>
      </c>
      <c r="BI21" s="276">
        <f>SUM(様式１!G45,様式１!O45)-SUM('様式１－１（【本園分】標準時間対応）'!Z31,'様式１－２（【分園分】標準時間対応）'!Z31)</f>
        <v>0</v>
      </c>
      <c r="BJ21" s="276">
        <f>SUM(様式１!I44,様式１!Q44)-SUM('様式１－１（【本園分】標準時間対応）'!AH31,'様式１－２（【分園分】標準時間対応）'!AH31)</f>
        <v>0</v>
      </c>
      <c r="BK21" s="276">
        <f>SUM(様式１!J44,様式１!R44)-SUM('様式１－１（【本園分】標準時間対応）'!AP31,'様式１－２（【分園分】標準時間対応）'!AP31)</f>
        <v>0</v>
      </c>
      <c r="BL21" s="277">
        <f>SUM(様式１!K44,様式１!S44)-SUM('様式１－１（【本園分】標準時間対応）'!AX31,'様式１－２（【分園分】標準時間対応）'!AX31)</f>
        <v>0</v>
      </c>
    </row>
    <row r="22" spans="1:64" ht="12" customHeight="1">
      <c r="B22" s="180"/>
      <c r="C22" s="180"/>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row>
    <row r="23" spans="1:64" ht="20.25" customHeight="1">
      <c r="B23" s="255" t="s">
        <v>377</v>
      </c>
      <c r="C23" s="256"/>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182"/>
      <c r="AF23" s="182"/>
      <c r="AG23" s="182"/>
    </row>
    <row r="24" spans="1:64" ht="20.100000000000001" customHeight="1">
      <c r="B24" s="549" t="s">
        <v>402</v>
      </c>
      <c r="C24" s="549"/>
      <c r="D24" s="549"/>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230"/>
      <c r="AF24" s="230"/>
      <c r="AG24" s="230"/>
    </row>
    <row r="25" spans="1:64" ht="20.100000000000001" customHeight="1">
      <c r="B25" s="549"/>
      <c r="C25" s="549"/>
      <c r="D25" s="549"/>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230"/>
      <c r="AF25" s="230"/>
      <c r="AG25" s="230"/>
    </row>
    <row r="29" spans="1:64">
      <c r="AH29" t="s">
        <v>162</v>
      </c>
      <c r="AI29" t="s">
        <v>163</v>
      </c>
    </row>
    <row r="30" spans="1:64">
      <c r="AH30" t="s">
        <v>164</v>
      </c>
      <c r="AI30" t="s">
        <v>165</v>
      </c>
    </row>
    <row r="31" spans="1:64">
      <c r="AH31" t="s">
        <v>166</v>
      </c>
      <c r="AI31" t="s">
        <v>167</v>
      </c>
    </row>
  </sheetData>
  <sheetProtection algorithmName="SHA-512" hashValue="WFBuGgXFv8Z0xppqbg4SleFTJsEq3/L9Kkx6dGVadYRRB6+uiuhLcXL/aIXk8yub1DVZCN10255weyUnl8AFHg==" saltValue="TwLzVY4C2sahdVuZ5rCvqw==" spinCount="100000" sheet="1" objects="1" scenarios="1"/>
  <mergeCells count="137">
    <mergeCell ref="AC7:AC8"/>
    <mergeCell ref="AI7:AN7"/>
    <mergeCell ref="AD3:AE3"/>
    <mergeCell ref="AD4:AE4"/>
    <mergeCell ref="B2:AG2"/>
    <mergeCell ref="B24:AD25"/>
    <mergeCell ref="Z6:AB6"/>
    <mergeCell ref="B10:C10"/>
    <mergeCell ref="H10:J10"/>
    <mergeCell ref="Q10:S10"/>
    <mergeCell ref="Q6:S6"/>
    <mergeCell ref="T6:V6"/>
    <mergeCell ref="W6:Y6"/>
    <mergeCell ref="B9:C9"/>
    <mergeCell ref="H9:J9"/>
    <mergeCell ref="Q9:S9"/>
    <mergeCell ref="W20:Y20"/>
    <mergeCell ref="B11:C11"/>
    <mergeCell ref="H11:J11"/>
    <mergeCell ref="W9:Y9"/>
    <mergeCell ref="B6:C8"/>
    <mergeCell ref="F6:G6"/>
    <mergeCell ref="E7:E8"/>
    <mergeCell ref="F7:G7"/>
    <mergeCell ref="H6:J8"/>
    <mergeCell ref="D6:D8"/>
    <mergeCell ref="B15:C15"/>
    <mergeCell ref="H15:J15"/>
    <mergeCell ref="B14:C14"/>
    <mergeCell ref="H14:J14"/>
    <mergeCell ref="Q15:S15"/>
    <mergeCell ref="Q11:S11"/>
    <mergeCell ref="W11:Y11"/>
    <mergeCell ref="K7:K8"/>
    <mergeCell ref="Z11:AB11"/>
    <mergeCell ref="T10:V10"/>
    <mergeCell ref="W10:Y10"/>
    <mergeCell ref="Z10:AB10"/>
    <mergeCell ref="B13:C13"/>
    <mergeCell ref="H13:J13"/>
    <mergeCell ref="B12:C12"/>
    <mergeCell ref="H12:J12"/>
    <mergeCell ref="Q13:S13"/>
    <mergeCell ref="T13:V13"/>
    <mergeCell ref="W13:Y13"/>
    <mergeCell ref="Z12:AB12"/>
    <mergeCell ref="Z15:AB15"/>
    <mergeCell ref="T14:V14"/>
    <mergeCell ref="W14:Y14"/>
    <mergeCell ref="Z14:AB14"/>
    <mergeCell ref="Q16:S16"/>
    <mergeCell ref="T18:V18"/>
    <mergeCell ref="W18:Y18"/>
    <mergeCell ref="Z18:AB18"/>
    <mergeCell ref="B17:C17"/>
    <mergeCell ref="H17:J17"/>
    <mergeCell ref="B16:C16"/>
    <mergeCell ref="H16:J16"/>
    <mergeCell ref="Q17:S17"/>
    <mergeCell ref="T17:V17"/>
    <mergeCell ref="W17:Y17"/>
    <mergeCell ref="Z17:AB17"/>
    <mergeCell ref="L17:M17"/>
    <mergeCell ref="B18:C18"/>
    <mergeCell ref="H18:J18"/>
    <mergeCell ref="Q18:S18"/>
    <mergeCell ref="L18:M18"/>
    <mergeCell ref="N16:P16"/>
    <mergeCell ref="T16:V16"/>
    <mergeCell ref="W16:Y16"/>
    <mergeCell ref="B21:C21"/>
    <mergeCell ref="H21:J21"/>
    <mergeCell ref="Q21:S21"/>
    <mergeCell ref="Q19:S19"/>
    <mergeCell ref="T19:V19"/>
    <mergeCell ref="W19:Y19"/>
    <mergeCell ref="Z19:AB19"/>
    <mergeCell ref="T21:V21"/>
    <mergeCell ref="W21:Y21"/>
    <mergeCell ref="Z21:AB21"/>
    <mergeCell ref="B20:C20"/>
    <mergeCell ref="H20:J20"/>
    <mergeCell ref="Q20:S20"/>
    <mergeCell ref="T20:V20"/>
    <mergeCell ref="Z20:AB20"/>
    <mergeCell ref="B19:C19"/>
    <mergeCell ref="H19:J19"/>
    <mergeCell ref="L20:M20"/>
    <mergeCell ref="L21:M21"/>
    <mergeCell ref="L19:M19"/>
    <mergeCell ref="Z16:AB16"/>
    <mergeCell ref="T15:V15"/>
    <mergeCell ref="W15:Y15"/>
    <mergeCell ref="Z9:AB9"/>
    <mergeCell ref="AF6:AG6"/>
    <mergeCell ref="AF7:AG7"/>
    <mergeCell ref="AD6:AD8"/>
    <mergeCell ref="AZ7:BL7"/>
    <mergeCell ref="Q7:S8"/>
    <mergeCell ref="T7:V8"/>
    <mergeCell ref="W7:Y8"/>
    <mergeCell ref="Z7:AB8"/>
    <mergeCell ref="AE7:AE8"/>
    <mergeCell ref="AZ6:BL6"/>
    <mergeCell ref="AH6:AH7"/>
    <mergeCell ref="Q14:S14"/>
    <mergeCell ref="Q12:S12"/>
    <mergeCell ref="AI6:AW6"/>
    <mergeCell ref="AP7:AW7"/>
    <mergeCell ref="T9:V9"/>
    <mergeCell ref="Z13:AB13"/>
    <mergeCell ref="T12:V12"/>
    <mergeCell ref="W12:Y12"/>
    <mergeCell ref="T11:V11"/>
    <mergeCell ref="N17:P17"/>
    <mergeCell ref="N18:P18"/>
    <mergeCell ref="N19:P19"/>
    <mergeCell ref="N20:P20"/>
    <mergeCell ref="N21:P21"/>
    <mergeCell ref="L7:P7"/>
    <mergeCell ref="L9:M9"/>
    <mergeCell ref="L8:M8"/>
    <mergeCell ref="L10:M10"/>
    <mergeCell ref="L11:M11"/>
    <mergeCell ref="L12:M12"/>
    <mergeCell ref="L13:M13"/>
    <mergeCell ref="N9:P9"/>
    <mergeCell ref="N8:P8"/>
    <mergeCell ref="L16:M16"/>
    <mergeCell ref="N10:P10"/>
    <mergeCell ref="N11:P11"/>
    <mergeCell ref="N12:P12"/>
    <mergeCell ref="N13:P13"/>
    <mergeCell ref="N14:P14"/>
    <mergeCell ref="N15:P15"/>
    <mergeCell ref="L14:M14"/>
    <mergeCell ref="L15:M15"/>
  </mergeCells>
  <phoneticPr fontId="3"/>
  <conditionalFormatting sqref="D9:D21">
    <cfRule type="expression" dxfId="19" priority="21">
      <formula>$N$26&lt;=#REF!</formula>
    </cfRule>
  </conditionalFormatting>
  <conditionalFormatting sqref="E9:J21">
    <cfRule type="expression" dxfId="18" priority="7">
      <formula>$Q$26&lt;=#REF!</formula>
    </cfRule>
  </conditionalFormatting>
  <conditionalFormatting sqref="K9:L21">
    <cfRule type="expression" dxfId="17" priority="10">
      <formula>$N$26&lt;=#REF!</formula>
    </cfRule>
  </conditionalFormatting>
  <conditionalFormatting sqref="N9:N21">
    <cfRule type="expression" dxfId="16" priority="3">
      <formula>$N$26&lt;=#REF!</formula>
    </cfRule>
  </conditionalFormatting>
  <conditionalFormatting sqref="Q9:S21">
    <cfRule type="expression" dxfId="15" priority="27">
      <formula>$Q$26&lt;=#REF!</formula>
    </cfRule>
  </conditionalFormatting>
  <conditionalFormatting sqref="T9:V21">
    <cfRule type="expression" dxfId="14" priority="26">
      <formula>$T$26&lt;=#REF!</formula>
    </cfRule>
  </conditionalFormatting>
  <conditionalFormatting sqref="W9:Y21">
    <cfRule type="expression" dxfId="13" priority="25">
      <formula>$W$26&lt;=#REF!</formula>
    </cfRule>
  </conditionalFormatting>
  <conditionalFormatting sqref="Z9:AD21">
    <cfRule type="expression" dxfId="12" priority="2">
      <formula>$Z$26&lt;=#REF!</formula>
    </cfRule>
  </conditionalFormatting>
  <pageMargins left="0.7" right="0.7" top="0.75" bottom="0.75" header="0.3" footer="0.3"/>
  <pageSetup paperSize="9" scale="73"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pageSetUpPr fitToPage="1"/>
  </sheetPr>
  <dimension ref="A1:CD71"/>
  <sheetViews>
    <sheetView tabSelected="1" view="pageBreakPreview" zoomScale="85" zoomScaleNormal="100" zoomScaleSheetLayoutView="85" workbookViewId="0">
      <selection activeCell="C1" sqref="C1"/>
    </sheetView>
  </sheetViews>
  <sheetFormatPr defaultRowHeight="13.5"/>
  <cols>
    <col min="1" max="19" width="7.875" style="1" customWidth="1"/>
    <col min="20" max="20" width="9" style="1" customWidth="1"/>
    <col min="21" max="31" width="7.875" style="1" customWidth="1"/>
    <col min="32" max="32" width="10.125" style="1" bestFit="1" customWidth="1"/>
    <col min="33" max="33" width="7.875" style="1" customWidth="1"/>
    <col min="34" max="34" width="10.125" style="1" bestFit="1" customWidth="1"/>
    <col min="35" max="40" width="7.875" style="1" customWidth="1"/>
    <col min="41" max="41" width="10.125" style="1" bestFit="1" customWidth="1"/>
    <col min="42" max="49" width="7.875" style="1" customWidth="1"/>
    <col min="50" max="50" width="10.125" style="1" bestFit="1" customWidth="1"/>
    <col min="51" max="51" width="0.875" style="1" customWidth="1"/>
    <col min="52" max="52" width="8.25" style="1" hidden="1" customWidth="1"/>
    <col min="53" max="53" width="1" style="1" customWidth="1"/>
    <col min="54" max="54" width="7.875" style="1" customWidth="1"/>
    <col min="55" max="55" width="8.25" style="1" customWidth="1"/>
    <col min="56" max="56" width="8.25" style="72" customWidth="1"/>
    <col min="57" max="57" width="6.375" style="72" customWidth="1"/>
    <col min="58" max="58" width="8.375" style="72" customWidth="1"/>
    <col min="59" max="59" width="6.375" style="72" customWidth="1"/>
    <col min="60" max="60" width="8.625" style="1" customWidth="1"/>
    <col min="61" max="61" width="13.125" style="1" bestFit="1" customWidth="1"/>
    <col min="62" max="62" width="3" style="1" customWidth="1"/>
    <col min="63" max="63" width="9" style="1"/>
    <col min="64" max="64" width="9.5" style="1" bestFit="1" customWidth="1"/>
    <col min="65" max="16384" width="9" style="1"/>
  </cols>
  <sheetData>
    <row r="1" spans="1:82" ht="43.5" customHeight="1" thickBot="1">
      <c r="A1" s="621" t="s">
        <v>117</v>
      </c>
      <c r="B1" s="621"/>
      <c r="C1" s="134"/>
    </row>
    <row r="2" spans="1:82" ht="43.5" customHeight="1" thickBot="1">
      <c r="A2" s="760" t="s">
        <v>79</v>
      </c>
      <c r="B2" s="760"/>
      <c r="C2" s="768"/>
      <c r="D2" s="768"/>
      <c r="E2" s="768"/>
      <c r="F2" s="768"/>
      <c r="G2" s="768"/>
      <c r="H2" s="768"/>
      <c r="I2" s="768"/>
      <c r="J2" s="768"/>
      <c r="K2" s="58"/>
      <c r="L2" s="58"/>
      <c r="M2" s="58"/>
      <c r="N2" s="58"/>
      <c r="O2" s="58"/>
      <c r="P2" s="58"/>
      <c r="Q2" s="58"/>
      <c r="R2" s="58"/>
      <c r="S2" s="58"/>
      <c r="T2" s="58"/>
      <c r="U2" s="58"/>
      <c r="V2" s="133"/>
      <c r="W2" s="133"/>
      <c r="X2" s="133"/>
      <c r="Y2" s="133"/>
      <c r="Z2" s="59"/>
      <c r="AA2" s="57"/>
      <c r="AB2" s="57"/>
      <c r="AC2" s="57"/>
      <c r="AD2" s="57"/>
      <c r="AE2" s="57"/>
      <c r="AF2" s="57"/>
      <c r="AG2" s="57"/>
      <c r="AH2" s="57"/>
      <c r="AI2" s="57"/>
      <c r="AJ2" s="57"/>
      <c r="AK2" s="57"/>
      <c r="AL2" s="57"/>
      <c r="AM2" s="57"/>
      <c r="AN2" s="57"/>
      <c r="AO2" s="57"/>
      <c r="AP2" s="229"/>
      <c r="AQ2" s="57"/>
      <c r="AR2" s="57"/>
      <c r="AS2" s="57"/>
      <c r="AT2" s="57"/>
      <c r="AU2" s="57"/>
      <c r="AV2" s="57"/>
      <c r="AW2" s="410"/>
      <c r="AX2" s="57"/>
      <c r="AY2" s="57"/>
      <c r="AZ2" s="57"/>
      <c r="BA2" s="57"/>
      <c r="BB2" s="59"/>
      <c r="BC2" s="59"/>
      <c r="BD2" s="60"/>
      <c r="BE2" s="60"/>
      <c r="BF2" s="60"/>
      <c r="BG2" s="60"/>
      <c r="BH2" s="59"/>
      <c r="BI2" s="61" t="s">
        <v>65</v>
      </c>
    </row>
    <row r="3" spans="1:82" ht="46.5" customHeight="1" thickTop="1" thickBot="1">
      <c r="A3" s="769" t="s">
        <v>1</v>
      </c>
      <c r="B3" s="648" t="s">
        <v>181</v>
      </c>
      <c r="C3" s="649"/>
      <c r="D3" s="649"/>
      <c r="E3" s="649"/>
      <c r="F3" s="649"/>
      <c r="G3" s="649"/>
      <c r="H3" s="649"/>
      <c r="I3" s="649"/>
      <c r="J3" s="649"/>
      <c r="K3" s="649"/>
      <c r="L3" s="649"/>
      <c r="M3" s="649"/>
      <c r="N3" s="649"/>
      <c r="O3" s="649"/>
      <c r="P3" s="649"/>
      <c r="Q3" s="649"/>
      <c r="R3" s="649"/>
      <c r="S3" s="649"/>
      <c r="T3" s="649"/>
      <c r="U3" s="649"/>
      <c r="V3" s="649"/>
      <c r="W3" s="649"/>
      <c r="X3" s="650"/>
      <c r="Y3" s="642" t="s">
        <v>174</v>
      </c>
      <c r="Z3" s="643"/>
      <c r="AA3" s="666" t="s">
        <v>42</v>
      </c>
      <c r="AB3" s="670"/>
      <c r="AC3" s="636" t="s">
        <v>82</v>
      </c>
      <c r="AD3" s="637"/>
      <c r="AE3" s="727" t="s">
        <v>277</v>
      </c>
      <c r="AF3" s="728"/>
      <c r="AG3" s="728"/>
      <c r="AH3" s="747" t="s">
        <v>276</v>
      </c>
      <c r="AI3" s="741" t="s">
        <v>121</v>
      </c>
      <c r="AJ3" s="742"/>
      <c r="AK3" s="742"/>
      <c r="AL3" s="742"/>
      <c r="AM3" s="742"/>
      <c r="AN3" s="743"/>
      <c r="AO3" s="750" t="s">
        <v>278</v>
      </c>
      <c r="AP3" s="715" t="s">
        <v>225</v>
      </c>
      <c r="AQ3" s="716"/>
      <c r="AR3" s="716"/>
      <c r="AS3" s="716"/>
      <c r="AT3" s="716"/>
      <c r="AU3" s="716"/>
      <c r="AV3" s="716"/>
      <c r="AW3" s="717"/>
      <c r="AX3" s="709" t="s">
        <v>372</v>
      </c>
      <c r="AY3" s="141"/>
      <c r="BA3" s="405"/>
      <c r="BB3" s="733" t="s">
        <v>83</v>
      </c>
      <c r="BC3" s="733"/>
      <c r="BD3" s="733"/>
      <c r="BE3" s="733"/>
      <c r="BF3" s="733"/>
      <c r="BG3" s="733"/>
      <c r="BH3" s="734"/>
      <c r="BI3" s="441" t="s">
        <v>43</v>
      </c>
      <c r="BJ3" s="442"/>
    </row>
    <row r="4" spans="1:82" ht="14.25" customHeight="1" thickTop="1">
      <c r="A4" s="769"/>
      <c r="B4" s="772" t="s">
        <v>78</v>
      </c>
      <c r="C4" s="653" t="s">
        <v>172</v>
      </c>
      <c r="D4" s="653" t="s">
        <v>173</v>
      </c>
      <c r="E4" s="625" t="s">
        <v>19</v>
      </c>
      <c r="F4" s="666" t="s">
        <v>156</v>
      </c>
      <c r="G4" s="627" t="s">
        <v>16</v>
      </c>
      <c r="H4" s="627" t="s">
        <v>73</v>
      </c>
      <c r="I4" s="627" t="s">
        <v>0</v>
      </c>
      <c r="J4" s="625" t="s">
        <v>17</v>
      </c>
      <c r="K4" s="627" t="s">
        <v>18</v>
      </c>
      <c r="L4" s="667" t="s">
        <v>66</v>
      </c>
      <c r="M4" s="656" t="s">
        <v>19</v>
      </c>
      <c r="N4" s="666" t="s">
        <v>156</v>
      </c>
      <c r="O4" s="627" t="s">
        <v>16</v>
      </c>
      <c r="P4" s="627" t="s">
        <v>73</v>
      </c>
      <c r="Q4" s="627" t="s">
        <v>0</v>
      </c>
      <c r="R4" s="625" t="s">
        <v>17</v>
      </c>
      <c r="S4" s="627" t="s">
        <v>18</v>
      </c>
      <c r="T4" s="629" t="s">
        <v>66</v>
      </c>
      <c r="U4" s="651" t="s">
        <v>115</v>
      </c>
      <c r="V4" s="652"/>
      <c r="W4" s="651" t="s">
        <v>116</v>
      </c>
      <c r="X4" s="652"/>
      <c r="Y4" s="644"/>
      <c r="Z4" s="645"/>
      <c r="AA4" s="671"/>
      <c r="AB4" s="672"/>
      <c r="AC4" s="638"/>
      <c r="AD4" s="639"/>
      <c r="AE4" s="729"/>
      <c r="AF4" s="730"/>
      <c r="AG4" s="730"/>
      <c r="AH4" s="748"/>
      <c r="AI4" s="744" t="s">
        <v>81</v>
      </c>
      <c r="AJ4" s="637"/>
      <c r="AK4" s="627" t="s">
        <v>112</v>
      </c>
      <c r="AL4" s="666" t="s">
        <v>88</v>
      </c>
      <c r="AM4" s="712"/>
      <c r="AN4" s="670"/>
      <c r="AO4" s="751"/>
      <c r="AP4" s="791" t="s">
        <v>185</v>
      </c>
      <c r="AQ4" s="792"/>
      <c r="AR4" s="738" t="s">
        <v>90</v>
      </c>
      <c r="AS4" s="721" t="s">
        <v>170</v>
      </c>
      <c r="AT4" s="721" t="s">
        <v>169</v>
      </c>
      <c r="AU4" s="721" t="s">
        <v>279</v>
      </c>
      <c r="AV4" s="721" t="s">
        <v>122</v>
      </c>
      <c r="AW4" s="718" t="s">
        <v>371</v>
      </c>
      <c r="AX4" s="710"/>
      <c r="AY4" s="176"/>
      <c r="BA4" s="405"/>
      <c r="BB4" s="754" t="s">
        <v>80</v>
      </c>
      <c r="BC4" s="754"/>
      <c r="BD4" s="637"/>
      <c r="BE4" s="754" t="s">
        <v>85</v>
      </c>
      <c r="BF4" s="754"/>
      <c r="BG4" s="754"/>
      <c r="BH4" s="757" t="s">
        <v>94</v>
      </c>
      <c r="BI4" s="346" t="s">
        <v>182</v>
      </c>
    </row>
    <row r="5" spans="1:82" ht="60.75" customHeight="1">
      <c r="A5" s="770"/>
      <c r="B5" s="773"/>
      <c r="C5" s="654"/>
      <c r="D5" s="654"/>
      <c r="E5" s="626"/>
      <c r="F5" s="628"/>
      <c r="G5" s="628"/>
      <c r="H5" s="628"/>
      <c r="I5" s="628"/>
      <c r="J5" s="626"/>
      <c r="K5" s="628"/>
      <c r="L5" s="668"/>
      <c r="M5" s="657"/>
      <c r="N5" s="628"/>
      <c r="O5" s="628"/>
      <c r="P5" s="628"/>
      <c r="Q5" s="628"/>
      <c r="R5" s="626"/>
      <c r="S5" s="628"/>
      <c r="T5" s="630"/>
      <c r="U5" s="652"/>
      <c r="V5" s="652"/>
      <c r="W5" s="652"/>
      <c r="X5" s="652"/>
      <c r="Y5" s="644"/>
      <c r="Z5" s="645"/>
      <c r="AA5" s="671"/>
      <c r="AB5" s="672"/>
      <c r="AC5" s="640"/>
      <c r="AD5" s="641"/>
      <c r="AE5" s="729"/>
      <c r="AF5" s="730"/>
      <c r="AG5" s="730"/>
      <c r="AH5" s="749"/>
      <c r="AI5" s="745"/>
      <c r="AJ5" s="639"/>
      <c r="AK5" s="753"/>
      <c r="AL5" s="671"/>
      <c r="AM5" s="713"/>
      <c r="AN5" s="672"/>
      <c r="AO5" s="752"/>
      <c r="AP5" s="793"/>
      <c r="AQ5" s="794"/>
      <c r="AR5" s="739"/>
      <c r="AS5" s="722"/>
      <c r="AT5" s="722"/>
      <c r="AU5" s="722"/>
      <c r="AV5" s="722"/>
      <c r="AW5" s="719"/>
      <c r="AX5" s="710"/>
      <c r="AY5" s="176"/>
      <c r="BA5" s="406"/>
      <c r="BB5" s="755"/>
      <c r="BC5" s="755"/>
      <c r="BD5" s="641"/>
      <c r="BE5" s="756"/>
      <c r="BF5" s="756"/>
      <c r="BG5" s="756"/>
      <c r="BH5" s="758"/>
      <c r="BI5" s="558" t="s">
        <v>280</v>
      </c>
      <c r="BL5" s="478"/>
      <c r="BN5"/>
      <c r="BO5" s="183" t="s">
        <v>176</v>
      </c>
      <c r="BS5"/>
      <c r="BT5" s="183" t="s">
        <v>177</v>
      </c>
      <c r="BU5"/>
      <c r="BV5"/>
      <c r="BX5"/>
      <c r="BY5" s="183" t="s">
        <v>391</v>
      </c>
      <c r="BZ5"/>
      <c r="CA5"/>
      <c r="CB5"/>
      <c r="CC5"/>
      <c r="CD5"/>
    </row>
    <row r="6" spans="1:82" ht="73.5" customHeight="1">
      <c r="A6" s="771"/>
      <c r="B6" s="774"/>
      <c r="C6" s="655"/>
      <c r="D6" s="655"/>
      <c r="E6" s="761" t="s">
        <v>113</v>
      </c>
      <c r="F6" s="633"/>
      <c r="G6" s="633"/>
      <c r="H6" s="633"/>
      <c r="I6" s="633"/>
      <c r="J6" s="633"/>
      <c r="K6" s="633"/>
      <c r="L6" s="669"/>
      <c r="M6" s="632" t="s">
        <v>114</v>
      </c>
      <c r="N6" s="633"/>
      <c r="O6" s="633"/>
      <c r="P6" s="633"/>
      <c r="Q6" s="633"/>
      <c r="R6" s="633"/>
      <c r="S6" s="633"/>
      <c r="T6" s="631"/>
      <c r="U6" s="652"/>
      <c r="V6" s="652"/>
      <c r="W6" s="652"/>
      <c r="X6" s="652"/>
      <c r="Y6" s="646"/>
      <c r="Z6" s="647"/>
      <c r="AA6" s="673"/>
      <c r="AB6" s="674"/>
      <c r="AC6" s="347" t="s">
        <v>281</v>
      </c>
      <c r="AD6" s="348" t="s">
        <v>284</v>
      </c>
      <c r="AE6" s="731"/>
      <c r="AF6" s="732"/>
      <c r="AG6" s="732"/>
      <c r="AH6" s="749"/>
      <c r="AI6" s="746"/>
      <c r="AJ6" s="641"/>
      <c r="AK6" s="628"/>
      <c r="AL6" s="673"/>
      <c r="AM6" s="714"/>
      <c r="AN6" s="674"/>
      <c r="AO6" s="752"/>
      <c r="AP6" s="238" t="s">
        <v>183</v>
      </c>
      <c r="AQ6" s="238" t="s">
        <v>184</v>
      </c>
      <c r="AR6" s="740"/>
      <c r="AS6" s="723"/>
      <c r="AT6" s="723"/>
      <c r="AU6" s="723"/>
      <c r="AV6" s="723"/>
      <c r="AW6" s="720"/>
      <c r="AX6" s="711"/>
      <c r="AY6" s="176"/>
      <c r="BA6" s="406"/>
      <c r="BB6" s="62" t="s">
        <v>226</v>
      </c>
      <c r="BC6" s="63" t="s">
        <v>227</v>
      </c>
      <c r="BD6" s="293" t="s">
        <v>228</v>
      </c>
      <c r="BE6" s="64" t="s">
        <v>86</v>
      </c>
      <c r="BF6" s="64" t="s">
        <v>84</v>
      </c>
      <c r="BG6" s="65" t="s">
        <v>87</v>
      </c>
      <c r="BH6" s="759"/>
      <c r="BI6" s="559"/>
      <c r="BN6"/>
      <c r="BO6" s="139" t="s">
        <v>168</v>
      </c>
      <c r="BP6" s="219" t="s">
        <v>222</v>
      </c>
      <c r="BQ6" s="139" t="s">
        <v>141</v>
      </c>
      <c r="BS6"/>
      <c r="BT6" s="191" t="s">
        <v>168</v>
      </c>
      <c r="BU6" s="219" t="s">
        <v>178</v>
      </c>
      <c r="BV6" s="191" t="s">
        <v>141</v>
      </c>
      <c r="BX6"/>
      <c r="BY6" s="440" t="s">
        <v>392</v>
      </c>
      <c r="BZ6" s="440" t="s">
        <v>393</v>
      </c>
      <c r="CA6" s="440" t="s">
        <v>394</v>
      </c>
      <c r="CB6" s="440" t="s">
        <v>395</v>
      </c>
      <c r="CC6" s="440" t="s">
        <v>396</v>
      </c>
      <c r="CD6" s="440" t="s">
        <v>397</v>
      </c>
    </row>
    <row r="7" spans="1:82" ht="27" customHeight="1">
      <c r="A7" s="765" t="s">
        <v>326</v>
      </c>
      <c r="B7" s="66" t="s">
        <v>70</v>
      </c>
      <c r="C7" s="223"/>
      <c r="D7" s="224"/>
      <c r="E7" s="67"/>
      <c r="F7" s="68"/>
      <c r="G7" s="68"/>
      <c r="H7" s="54"/>
      <c r="I7" s="196"/>
      <c r="J7" s="54"/>
      <c r="K7" s="54"/>
      <c r="L7" s="297"/>
      <c r="M7" s="67"/>
      <c r="N7" s="68"/>
      <c r="O7" s="68"/>
      <c r="P7" s="54"/>
      <c r="Q7" s="196"/>
      <c r="R7" s="54"/>
      <c r="S7" s="54"/>
      <c r="T7" s="300"/>
      <c r="U7" s="55">
        <f>SUM(H7:K7)</f>
        <v>0</v>
      </c>
      <c r="V7" s="658">
        <f>SUM(U7:U9)</f>
        <v>0</v>
      </c>
      <c r="W7" s="55">
        <f>SUM(P7:S7)</f>
        <v>0</v>
      </c>
      <c r="X7" s="658">
        <f>SUM(W7:W9)</f>
        <v>0</v>
      </c>
      <c r="Y7" s="184"/>
      <c r="Z7" s="611">
        <f>Y8</f>
        <v>2</v>
      </c>
      <c r="AA7" s="344"/>
      <c r="AB7" s="611">
        <f>IF('様式１－１（【本園分】標準時間対応）'!BC7&gt;0,1,0)+IF('様式１－２（【分園分】標準時間対応）'!BC7&gt;0,1,0)</f>
        <v>0</v>
      </c>
      <c r="AC7" s="343">
        <f>IF($U7&gt;0,1,0)+IF($W7&gt;0,1,0)</f>
        <v>0</v>
      </c>
      <c r="AD7" s="622">
        <f>VLOOKUP($A7,加算等適用状況!$A$14:$O$25,13,FALSE)</f>
        <v>0</v>
      </c>
      <c r="AE7" s="608" t="str">
        <f>VLOOKUP($A7,加算等適用状況!$A$14:$O$25,15,FALSE)</f>
        <v>入力未了</v>
      </c>
      <c r="AF7" s="479">
        <f>参考_歳児別配置基準!Q4</f>
        <v>0</v>
      </c>
      <c r="AG7" s="735" t="str">
        <f>IF(AE7="入力完了",参考_歳児別配置基準!H4,AE7)</f>
        <v>入力未了</v>
      </c>
      <c r="AH7" s="560" t="e">
        <f>Z7+AB7+AC7+AC8+AG7-AD7</f>
        <v>#VALUE!</v>
      </c>
      <c r="AI7" s="480">
        <f>IFERROR(ROUND(((U7+W7)/(U7+W7+U8+W8))*AJ7,1),0)</f>
        <v>0</v>
      </c>
      <c r="AJ7" s="563">
        <f>IF(VLOOKUP($A7,加算等適用状況!$A$14:$O$25,4,FALSE)="○",VLOOKUP($A7,加算等適用状況!$A$14:$O$25,5,FALSE),0)</f>
        <v>0</v>
      </c>
      <c r="AK7" s="616">
        <f>IF(VLOOKUP($A7,加算等適用状況!$A$14:$O$25,11,FALSE)="○",1,0)</f>
        <v>0</v>
      </c>
      <c r="AL7" s="724">
        <f>VLOOKUP($A7,加算等適用状況!$A$14:$O$25,12,FALSE)</f>
        <v>0</v>
      </c>
      <c r="AM7" s="591">
        <f>IF(AL7="専任",0,1)</f>
        <v>1</v>
      </c>
      <c r="AN7" s="481">
        <f>IFERROR(AM7*(ROUND((U7+W7)/(X7+V7),1)),0)</f>
        <v>0</v>
      </c>
      <c r="AO7" s="560" t="e">
        <f>AH7+CD7+AK7+AM7</f>
        <v>#VALUE!</v>
      </c>
      <c r="AP7" s="600"/>
      <c r="AQ7" s="600"/>
      <c r="AR7" s="570">
        <f>(ROUNDDOWN(F9/4,1)-ROUNDDOWN(F9/5,1))+(ROUNDDOWN(N9/4,1)-ROUNDDOWN(N9/5,1))</f>
        <v>0</v>
      </c>
      <c r="AS7" s="570">
        <f>SUM('様式１－１（【本園分】標準時間対応）'!BA7:BA8)</f>
        <v>0</v>
      </c>
      <c r="AT7" s="570">
        <f>SUM('様式１－２（【分園分】標準時間対応）'!BA7:BA8)</f>
        <v>0</v>
      </c>
      <c r="AU7" s="788">
        <f>2-Z7</f>
        <v>0</v>
      </c>
      <c r="AV7" s="706">
        <f>IF(OR(AND('様式１－１（【本園分】標準時間対応）'!J7&gt;0, '様式１－１（【本園分】標準時間対応）'!R7&gt;0), '様式１－１（【本園分】標準時間対応）'!BC7&gt;=ROUND((C8+C9)*0.3,0)),1,0) + IF(OR(AND('様式１－２（【分園分】標準時間対応）'!J7&gt;0, '様式１－２（【分園分】標準時間対応）'!R7&gt;0), '様式１－２（【分園分】標準時間対応）'!BC7&gt;=ROUND((D8+D9)*0.3,0)),1,0)</f>
        <v>2</v>
      </c>
      <c r="AW7" s="704">
        <f>(ROUNDDOWN(I8/10,1)-ROUNDDOWN(I8/15,1))+(ROUNDDOWN(Q8/10,1)-ROUNDDOWN(Q8/15,1))</f>
        <v>0</v>
      </c>
      <c r="AX7" s="588" t="e">
        <f>SUM(AO7:AW9)</f>
        <v>#VALUE!</v>
      </c>
      <c r="AY7" s="177"/>
      <c r="BA7" s="569"/>
      <c r="BB7" s="576">
        <f>'様式２（専従の常勤）'!G58</f>
        <v>0</v>
      </c>
      <c r="BC7" s="573">
        <f>COUNTIFS('様式３（非専従の常勤＋非常勤）'!$N$9:$N$38,"&gt;=1")+'様式２（専従の常勤）'!G70+'様式２（専従の常勤）'!G84</f>
        <v>0</v>
      </c>
      <c r="BD7" s="566">
        <f>'様式３（非専従の常勤＋非常勤）'!$O$41</f>
        <v>0</v>
      </c>
      <c r="BE7" s="579"/>
      <c r="BF7" s="585">
        <f>COUNTIFS('様式３（非専従の常勤＋非常勤）'!$N$48:$N$52,"&gt;=1")</f>
        <v>0</v>
      </c>
      <c r="BG7" s="582">
        <f>ROUNDDOWN('様式３（非専従の常勤＋非常勤）'!$N$54,1)</f>
        <v>0</v>
      </c>
      <c r="BH7" s="560">
        <f>BB7+BD7+IF((BE7+BG7)&gt;=CD7,CD7,(BE7+BG7))</f>
        <v>0</v>
      </c>
      <c r="BI7" s="560" t="e">
        <f>BH7-AO7</f>
        <v>#VALUE!</v>
      </c>
      <c r="BN7" s="596" t="s">
        <v>11</v>
      </c>
      <c r="BO7" s="280" t="s">
        <v>70</v>
      </c>
      <c r="BP7" s="281">
        <f>Y7+AA7+AC7+AF7+AI7+AK7+AN7</f>
        <v>0</v>
      </c>
      <c r="BQ7" s="282" t="e">
        <f>ROUND(BP7/(BP7+BP8),2)</f>
        <v>#VALUE!</v>
      </c>
      <c r="BS7" s="596" t="s">
        <v>11</v>
      </c>
      <c r="BT7" s="280" t="s">
        <v>70</v>
      </c>
      <c r="BU7" s="283">
        <f>AC7+AF7</f>
        <v>0</v>
      </c>
      <c r="BV7" s="282" t="e">
        <f>ROUND(BU7/(BU7+BU8),2)</f>
        <v>#VALUE!</v>
      </c>
      <c r="BX7" s="607" t="s">
        <v>11</v>
      </c>
      <c r="BY7" s="844">
        <f>IF(VLOOKUP($A7,加算等適用状況!$A$14:$O$25,4,FALSE)="○",VLOOKUP($A7,加算等適用状況!$A$14:$O$25,5,FALSE),0)</f>
        <v>0</v>
      </c>
      <c r="BZ7" s="845" t="e">
        <f>VLOOKUP(BY7,加算等適用状況!$E$34:$F$46,2,FALSE)</f>
        <v>#N/A</v>
      </c>
      <c r="CA7" s="845" t="e">
        <f>AH7+AK7+AM7</f>
        <v>#VALUE!</v>
      </c>
      <c r="CB7" s="846">
        <f>BB7+BD7+BE7+BG7</f>
        <v>0</v>
      </c>
      <c r="CC7" s="845" t="e">
        <f>CB7-CA7</f>
        <v>#VALUE!</v>
      </c>
      <c r="CD7" s="845">
        <f>IFERROR(IF(CC7&gt;BY7,BY7,IF(CC7&lt;BZ7,BZ7,CC7)),0)</f>
        <v>0</v>
      </c>
    </row>
    <row r="8" spans="1:82" ht="27" customHeight="1">
      <c r="A8" s="766"/>
      <c r="B8" s="66" t="s">
        <v>71</v>
      </c>
      <c r="C8" s="223"/>
      <c r="D8" s="224"/>
      <c r="E8" s="67"/>
      <c r="F8" s="68"/>
      <c r="G8" s="68"/>
      <c r="H8" s="68"/>
      <c r="I8" s="54"/>
      <c r="J8" s="54"/>
      <c r="K8" s="54"/>
      <c r="L8" s="297"/>
      <c r="M8" s="67"/>
      <c r="N8" s="68"/>
      <c r="O8" s="68"/>
      <c r="P8" s="68"/>
      <c r="Q8" s="54"/>
      <c r="R8" s="54"/>
      <c r="S8" s="54"/>
      <c r="T8" s="300"/>
      <c r="U8" s="55">
        <f>SUM(I8:K8)</f>
        <v>0</v>
      </c>
      <c r="V8" s="659"/>
      <c r="W8" s="55">
        <f>SUM(Q8:S8)</f>
        <v>0</v>
      </c>
      <c r="X8" s="659"/>
      <c r="Y8" s="634">
        <f>IF(C8+C9&lt;=90,1,0)+IF(D8+D9&lt;=90,1,0)</f>
        <v>2</v>
      </c>
      <c r="Z8" s="612"/>
      <c r="AA8" s="614">
        <f>AB7</f>
        <v>0</v>
      </c>
      <c r="AB8" s="612"/>
      <c r="AC8" s="614">
        <f>IF($U8+$U9&gt;0,1,0)+IF($W8+$W9&gt;0,1,0)</f>
        <v>0</v>
      </c>
      <c r="AD8" s="623"/>
      <c r="AE8" s="609"/>
      <c r="AF8" s="795" t="e">
        <f>AG7-AF7</f>
        <v>#VALUE!</v>
      </c>
      <c r="AG8" s="736"/>
      <c r="AH8" s="561"/>
      <c r="AI8" s="482">
        <f>AJ7-AI7</f>
        <v>0</v>
      </c>
      <c r="AJ8" s="564"/>
      <c r="AK8" s="617"/>
      <c r="AL8" s="725"/>
      <c r="AM8" s="592"/>
      <c r="AN8" s="619">
        <f>IFERROR(AM7*(ROUND((U8+U9+W8+W9)/(X7+V7),1)),0)</f>
        <v>0</v>
      </c>
      <c r="AO8" s="561"/>
      <c r="AP8" s="601"/>
      <c r="AQ8" s="601"/>
      <c r="AR8" s="571"/>
      <c r="AS8" s="571"/>
      <c r="AT8" s="571"/>
      <c r="AU8" s="789"/>
      <c r="AV8" s="692"/>
      <c r="AW8" s="702"/>
      <c r="AX8" s="589"/>
      <c r="AY8" s="177"/>
      <c r="BA8" s="569"/>
      <c r="BB8" s="577"/>
      <c r="BC8" s="574" t="e">
        <v>#VALUE!</v>
      </c>
      <c r="BD8" s="567"/>
      <c r="BE8" s="580"/>
      <c r="BF8" s="586" t="e">
        <v>#VALUE!</v>
      </c>
      <c r="BG8" s="583"/>
      <c r="BH8" s="561"/>
      <c r="BI8" s="561"/>
      <c r="BJ8"/>
      <c r="BK8">
        <v>0</v>
      </c>
      <c r="BL8">
        <v>1</v>
      </c>
      <c r="BN8" s="597"/>
      <c r="BO8" s="599" t="s">
        <v>120</v>
      </c>
      <c r="BP8" s="594" t="e">
        <f>Y8+AA8+AC8+AF8+AI8+AN8+AR7+AS7+AT7+AV7+AU7+AW7</f>
        <v>#VALUE!</v>
      </c>
      <c r="BQ8" s="603" t="e">
        <f>1-BQ7</f>
        <v>#VALUE!</v>
      </c>
      <c r="BS8" s="597"/>
      <c r="BT8" s="599" t="s">
        <v>120</v>
      </c>
      <c r="BU8" s="816" t="e">
        <f>Y8+AA8+AF8+AC8</f>
        <v>#VALUE!</v>
      </c>
      <c r="BV8" s="603" t="e">
        <f>ROUND(BU8/(BU7+BU8),2)</f>
        <v>#VALUE!</v>
      </c>
      <c r="BX8" s="607"/>
      <c r="BY8" s="844"/>
      <c r="BZ8" s="844"/>
      <c r="CA8" s="844"/>
      <c r="CB8" s="847"/>
      <c r="CC8" s="844"/>
      <c r="CD8" s="844"/>
    </row>
    <row r="9" spans="1:82" ht="27" customHeight="1">
      <c r="A9" s="767"/>
      <c r="B9" s="66" t="s">
        <v>72</v>
      </c>
      <c r="C9" s="223"/>
      <c r="D9" s="224"/>
      <c r="E9" s="54"/>
      <c r="F9" s="54"/>
      <c r="G9" s="54"/>
      <c r="H9" s="68"/>
      <c r="I9" s="68"/>
      <c r="J9" s="68"/>
      <c r="K9" s="68"/>
      <c r="L9" s="297"/>
      <c r="M9" s="54"/>
      <c r="N9" s="54"/>
      <c r="O9" s="54"/>
      <c r="P9" s="68"/>
      <c r="Q9" s="68"/>
      <c r="R9" s="68"/>
      <c r="S9" s="68"/>
      <c r="T9" s="301"/>
      <c r="U9" s="55">
        <f>SUM(E9:F9,G9)</f>
        <v>0</v>
      </c>
      <c r="V9" s="660"/>
      <c r="W9" s="55">
        <f>SUM(M9:N9,O9)</f>
        <v>0</v>
      </c>
      <c r="X9" s="660"/>
      <c r="Y9" s="635"/>
      <c r="Z9" s="613"/>
      <c r="AA9" s="615"/>
      <c r="AB9" s="613"/>
      <c r="AC9" s="615"/>
      <c r="AD9" s="624"/>
      <c r="AE9" s="610"/>
      <c r="AF9" s="776"/>
      <c r="AG9" s="737"/>
      <c r="AH9" s="562"/>
      <c r="AI9" s="483"/>
      <c r="AJ9" s="565"/>
      <c r="AK9" s="618"/>
      <c r="AL9" s="726"/>
      <c r="AM9" s="593"/>
      <c r="AN9" s="620"/>
      <c r="AO9" s="562"/>
      <c r="AP9" s="602"/>
      <c r="AQ9" s="602"/>
      <c r="AR9" s="572"/>
      <c r="AS9" s="572"/>
      <c r="AT9" s="572"/>
      <c r="AU9" s="790"/>
      <c r="AV9" s="693"/>
      <c r="AW9" s="703"/>
      <c r="AX9" s="590"/>
      <c r="AY9" s="177"/>
      <c r="BA9" s="569"/>
      <c r="BB9" s="578"/>
      <c r="BC9" s="575" t="e">
        <v>#VALUE!</v>
      </c>
      <c r="BD9" s="568"/>
      <c r="BE9" s="581"/>
      <c r="BF9" s="587" t="e">
        <v>#VALUE!</v>
      </c>
      <c r="BG9" s="584"/>
      <c r="BH9" s="562"/>
      <c r="BI9" s="562"/>
      <c r="BN9" s="598"/>
      <c r="BO9" s="599"/>
      <c r="BP9" s="595"/>
      <c r="BQ9" s="603"/>
      <c r="BS9" s="598"/>
      <c r="BT9" s="599"/>
      <c r="BU9" s="816"/>
      <c r="BV9" s="603"/>
      <c r="BX9" s="607"/>
      <c r="BY9" s="844"/>
      <c r="BZ9" s="844"/>
      <c r="CA9" s="844"/>
      <c r="CB9" s="845"/>
      <c r="CC9" s="844"/>
      <c r="CD9" s="844"/>
    </row>
    <row r="10" spans="1:82" ht="27" customHeight="1">
      <c r="A10" s="765" t="s">
        <v>327</v>
      </c>
      <c r="B10" s="69" t="s">
        <v>70</v>
      </c>
      <c r="C10" s="225">
        <f t="shared" ref="C10:C15" si="0">$C7</f>
        <v>0</v>
      </c>
      <c r="D10" s="225">
        <f t="shared" ref="D10:D15" si="1">$D7</f>
        <v>0</v>
      </c>
      <c r="E10" s="68"/>
      <c r="F10" s="68"/>
      <c r="G10" s="68"/>
      <c r="H10" s="54"/>
      <c r="I10" s="196"/>
      <c r="J10" s="54"/>
      <c r="K10" s="54"/>
      <c r="L10" s="297"/>
      <c r="M10" s="68"/>
      <c r="N10" s="68"/>
      <c r="O10" s="68"/>
      <c r="P10" s="54"/>
      <c r="Q10" s="196"/>
      <c r="R10" s="54"/>
      <c r="S10" s="54"/>
      <c r="T10" s="300"/>
      <c r="U10" s="55">
        <f>SUM(H10:K10)</f>
        <v>0</v>
      </c>
      <c r="V10" s="762">
        <f>SUM(U10:U12)</f>
        <v>0</v>
      </c>
      <c r="W10" s="55">
        <f>SUM(P10:S10)</f>
        <v>0</v>
      </c>
      <c r="X10" s="658">
        <f>SUM(W10:W12)</f>
        <v>0</v>
      </c>
      <c r="Y10" s="184"/>
      <c r="Z10" s="611">
        <f t="shared" ref="Z10" si="2">Y11</f>
        <v>2</v>
      </c>
      <c r="AA10" s="344"/>
      <c r="AB10" s="611">
        <f>IF('様式１－１（【本園分】標準時間対応）'!BC9&gt;0,1,0)+IF('様式１－２（【分園分】標準時間対応）'!BC9&gt;0,1,0)</f>
        <v>0</v>
      </c>
      <c r="AC10" s="343">
        <f>IF($U10&gt;0,1,0)+IF($W10&gt;0,1,0)</f>
        <v>0</v>
      </c>
      <c r="AD10" s="663" t="str">
        <f>VLOOKUP($A10,加算等適用状況!$A$14:$O$25,13,FALSE)</f>
        <v/>
      </c>
      <c r="AE10" s="608" t="str">
        <f>VLOOKUP($A10,加算等適用状況!$A$14:$O$25,15,FALSE)</f>
        <v>入力未了</v>
      </c>
      <c r="AF10" s="479">
        <f>参考_歳児別配置基準!Q14</f>
        <v>0</v>
      </c>
      <c r="AG10" s="735" t="str">
        <f>IF(AE10="入力完了",参考_歳児別配置基準!H14,AE10)</f>
        <v>入力未了</v>
      </c>
      <c r="AH10" s="560" t="e">
        <f t="shared" ref="AH10" si="3">Z10+AB10+AC10+AC11+AG10-AD10</f>
        <v>#VALUE!</v>
      </c>
      <c r="AI10" s="484">
        <f>IFERROR(ROUND(((U10+W10)/(U10+W10+U11+W11))*AJ10,1),0)</f>
        <v>0</v>
      </c>
      <c r="AJ10" s="563">
        <f>IF(VLOOKUP($A10,加算等適用状況!$A$14:$O$25,4,FALSE)="○",VLOOKUP($A10,加算等適用状況!$A$14:$O$25,5,FALSE),0)</f>
        <v>0</v>
      </c>
      <c r="AK10" s="616">
        <f>IF(VLOOKUP($A10,加算等適用状況!$A$14:$O$25,11,FALSE)="○",1,0)</f>
        <v>0</v>
      </c>
      <c r="AL10" s="591" t="str">
        <f>VLOOKUP($A10,加算等適用状況!$A$14:$O$25,12,FALSE)</f>
        <v/>
      </c>
      <c r="AM10" s="591">
        <f>IF(AL10="専任",0,1)</f>
        <v>1</v>
      </c>
      <c r="AN10" s="481">
        <f>IFERROR(AM10*(ROUND((U10+W10)/(X10+V10),1)),0)</f>
        <v>0</v>
      </c>
      <c r="AO10" s="560" t="e">
        <f>AH10+CD10+AK10+AM10</f>
        <v>#VALUE!</v>
      </c>
      <c r="AP10" s="600"/>
      <c r="AQ10" s="600"/>
      <c r="AR10" s="570">
        <f t="shared" ref="AR10" si="4">(ROUNDDOWN(F12/4,1)-ROUNDDOWN(F12/5,1))+(ROUNDDOWN(N12/4,1)-ROUNDDOWN(N12/5,1))</f>
        <v>0</v>
      </c>
      <c r="AS10" s="570">
        <f>SUM('様式１－１（【本園分】標準時間対応）'!BA9:BA10)</f>
        <v>0</v>
      </c>
      <c r="AT10" s="570">
        <f>SUM('様式１－２（【分園分】標準時間対応）'!BA9:BA10)</f>
        <v>0</v>
      </c>
      <c r="AU10" s="697">
        <f>2-Z10</f>
        <v>0</v>
      </c>
      <c r="AV10" s="706">
        <f>IF(OR(AND('様式１－１（【本園分】標準時間対応）'!J9&gt;0, '様式１－１（【本園分】標準時間対応）'!R9&gt;0), '様式１－１（【本園分】標準時間対応）'!BC9&gt;=ROUND((C11+C12)*0.3,0)),1,0) + IF(OR(AND('様式１－２（【分園分】標準時間対応）'!J9&gt;0, '様式１－２（【分園分】標準時間対応）'!R9&gt;0), '様式１－２（【分園分】標準時間対応）'!BC9&gt;=ROUND((D11+D12)*0.3,0)),1,0)</f>
        <v>2</v>
      </c>
      <c r="AW10" s="704">
        <f>(ROUNDDOWN(I11/10,1)-ROUNDDOWN(I11/15,1))+(ROUNDDOWN(Q11/10,1)-ROUNDDOWN(Q11/15,1))</f>
        <v>0</v>
      </c>
      <c r="AX10" s="588" t="e">
        <f>SUM(AO10:AW12)</f>
        <v>#VALUE!</v>
      </c>
      <c r="AY10" s="177"/>
      <c r="BA10" s="569"/>
      <c r="BB10" s="576">
        <f>'様式２（専従の常勤）'!H58</f>
        <v>0</v>
      </c>
      <c r="BC10" s="573">
        <f>COUNTIFS('様式３（非専従の常勤＋非常勤）'!$P$9:$P$38,"&gt;=1")+'様式２（専従の常勤）'!H70+'様式２（専従の常勤）'!H84</f>
        <v>0</v>
      </c>
      <c r="BD10" s="566">
        <f>'様式３（非専従の常勤＋非常勤）'!$Q$41</f>
        <v>0</v>
      </c>
      <c r="BE10" s="579"/>
      <c r="BF10" s="585">
        <f>COUNTIFS('様式３（非専従の常勤＋非常勤）'!$P$48:$P$52,"&gt;=1")</f>
        <v>0</v>
      </c>
      <c r="BG10" s="582">
        <f>ROUNDDOWN('様式３（非専従の常勤＋非常勤）'!$P$54,1)</f>
        <v>0</v>
      </c>
      <c r="BH10" s="560">
        <f>BB10+BD10+IF((BE10+BG10)&gt;=CD10,CD10,(BE10+BG10))</f>
        <v>0</v>
      </c>
      <c r="BI10" s="560" t="e">
        <f>BH10-AO10</f>
        <v>#VALUE!</v>
      </c>
      <c r="BN10" s="596" t="s">
        <v>2</v>
      </c>
      <c r="BO10" s="280" t="s">
        <v>70</v>
      </c>
      <c r="BP10" s="281">
        <f>Y10+AA10+AC10+AF10+AI10+AK10+AN10</f>
        <v>0</v>
      </c>
      <c r="BQ10" s="282" t="e">
        <f>ROUND(BP10/(BP10+BP11),2)</f>
        <v>#VALUE!</v>
      </c>
      <c r="BS10" s="596" t="s">
        <v>2</v>
      </c>
      <c r="BT10" s="280" t="s">
        <v>70</v>
      </c>
      <c r="BU10" s="283">
        <f>AC10+AF10</f>
        <v>0</v>
      </c>
      <c r="BV10" s="282" t="e">
        <f t="shared" ref="BV10" si="5">ROUND(BU10/(BU10+BU11),2)</f>
        <v>#VALUE!</v>
      </c>
      <c r="BX10" s="607" t="s">
        <v>2</v>
      </c>
      <c r="BY10" s="844">
        <f>IF(VLOOKUP($A10,加算等適用状況!$A$14:$O$25,4,FALSE)="○",VLOOKUP($A10,加算等適用状況!$A$14:$O$25,5,FALSE),0)</f>
        <v>0</v>
      </c>
      <c r="BZ10" s="845" t="e">
        <f>VLOOKUP(BY10,加算等適用状況!$E$34:$F$46,2,FALSE)</f>
        <v>#N/A</v>
      </c>
      <c r="CA10" s="845" t="e">
        <f>AH10+AK10+AM10</f>
        <v>#VALUE!</v>
      </c>
      <c r="CB10" s="846">
        <f>BB10+BD10+BE10+BG10</f>
        <v>0</v>
      </c>
      <c r="CC10" s="845" t="e">
        <f>CB10-CA10</f>
        <v>#VALUE!</v>
      </c>
      <c r="CD10" s="845">
        <f>IFERROR(IF(CC10&gt;BY10,BY10,IF(CC10&lt;BZ10,BZ10,CC10)),0)</f>
        <v>0</v>
      </c>
    </row>
    <row r="11" spans="1:82" ht="27" customHeight="1">
      <c r="A11" s="766"/>
      <c r="B11" s="69" t="s">
        <v>71</v>
      </c>
      <c r="C11" s="226">
        <f t="shared" si="0"/>
        <v>0</v>
      </c>
      <c r="D11" s="226">
        <f t="shared" si="1"/>
        <v>0</v>
      </c>
      <c r="E11" s="68"/>
      <c r="F11" s="68"/>
      <c r="G11" s="68"/>
      <c r="H11" s="68"/>
      <c r="I11" s="54"/>
      <c r="J11" s="54"/>
      <c r="K11" s="54"/>
      <c r="L11" s="297"/>
      <c r="M11" s="68"/>
      <c r="N11" s="68"/>
      <c r="O11" s="68"/>
      <c r="P11" s="68"/>
      <c r="Q11" s="54"/>
      <c r="R11" s="54"/>
      <c r="S11" s="54"/>
      <c r="T11" s="300"/>
      <c r="U11" s="55">
        <f>SUM(I11:K11)</f>
        <v>0</v>
      </c>
      <c r="V11" s="763"/>
      <c r="W11" s="55">
        <f>SUM(Q11:S11)</f>
        <v>0</v>
      </c>
      <c r="X11" s="659"/>
      <c r="Y11" s="634">
        <f>IF(C11+C12&lt;=90,1,0)+IF(D11+D12&lt;=90,1,0)</f>
        <v>2</v>
      </c>
      <c r="Z11" s="612"/>
      <c r="AA11" s="614">
        <f>AB10</f>
        <v>0</v>
      </c>
      <c r="AB11" s="612"/>
      <c r="AC11" s="614">
        <f>IF($U11+$U12&gt;0,1,0)+IF($W11+$W12&gt;0,1,0)</f>
        <v>0</v>
      </c>
      <c r="AD11" s="664"/>
      <c r="AE11" s="609"/>
      <c r="AF11" s="775" t="e">
        <f>AG10-AF10</f>
        <v>#VALUE!</v>
      </c>
      <c r="AG11" s="736"/>
      <c r="AH11" s="561"/>
      <c r="AI11" s="482">
        <f>AJ10-AI10</f>
        <v>0</v>
      </c>
      <c r="AJ11" s="564"/>
      <c r="AK11" s="617"/>
      <c r="AL11" s="592"/>
      <c r="AM11" s="592"/>
      <c r="AN11" s="619">
        <f>IFERROR(AM10*(ROUND((U11+U12+W11+W12)/(X10+V10),1)),0)</f>
        <v>0</v>
      </c>
      <c r="AO11" s="561"/>
      <c r="AP11" s="601"/>
      <c r="AQ11" s="601"/>
      <c r="AR11" s="571"/>
      <c r="AS11" s="571"/>
      <c r="AT11" s="571"/>
      <c r="AU11" s="698"/>
      <c r="AV11" s="692"/>
      <c r="AW11" s="702"/>
      <c r="AX11" s="589"/>
      <c r="AY11" s="177"/>
      <c r="BA11" s="569"/>
      <c r="BB11" s="577"/>
      <c r="BC11" s="574" t="e">
        <v>#VALUE!</v>
      </c>
      <c r="BD11" s="567"/>
      <c r="BE11" s="580"/>
      <c r="BF11" s="586" t="e">
        <v>#VALUE!</v>
      </c>
      <c r="BG11" s="583"/>
      <c r="BH11" s="561"/>
      <c r="BI11" s="561"/>
      <c r="BN11" s="597"/>
      <c r="BO11" s="599" t="s">
        <v>120</v>
      </c>
      <c r="BP11" s="594" t="e">
        <f>Y11+AA11+AC11+AF11+AI11+AN11+AR10+AS10+AT10+AV10+AU10+AW10</f>
        <v>#VALUE!</v>
      </c>
      <c r="BQ11" s="603" t="e">
        <f>1-BQ10</f>
        <v>#VALUE!</v>
      </c>
      <c r="BS11" s="597"/>
      <c r="BT11" s="599" t="s">
        <v>120</v>
      </c>
      <c r="BU11" s="816" t="e">
        <f>Y11+AA11+AF11+AC11</f>
        <v>#VALUE!</v>
      </c>
      <c r="BV11" s="603" t="e">
        <f t="shared" ref="BV11" si="6">ROUND(BU11/(BU10+BU11),2)</f>
        <v>#VALUE!</v>
      </c>
      <c r="BX11" s="607"/>
      <c r="BY11" s="844"/>
      <c r="BZ11" s="844"/>
      <c r="CA11" s="844"/>
      <c r="CB11" s="847"/>
      <c r="CC11" s="844"/>
      <c r="CD11" s="844"/>
    </row>
    <row r="12" spans="1:82" ht="27" customHeight="1">
      <c r="A12" s="767"/>
      <c r="B12" s="69" t="s">
        <v>72</v>
      </c>
      <c r="C12" s="226">
        <f t="shared" si="0"/>
        <v>0</v>
      </c>
      <c r="D12" s="226">
        <f t="shared" si="1"/>
        <v>0</v>
      </c>
      <c r="E12" s="54"/>
      <c r="F12" s="54"/>
      <c r="G12" s="54"/>
      <c r="H12" s="68"/>
      <c r="I12" s="68"/>
      <c r="J12" s="68"/>
      <c r="K12" s="68"/>
      <c r="L12" s="297"/>
      <c r="M12" s="54"/>
      <c r="N12" s="54"/>
      <c r="O12" s="54"/>
      <c r="P12" s="68"/>
      <c r="Q12" s="68"/>
      <c r="R12" s="68"/>
      <c r="S12" s="68"/>
      <c r="T12" s="300"/>
      <c r="U12" s="55">
        <f>SUM(E12:F12,G12)</f>
        <v>0</v>
      </c>
      <c r="V12" s="764"/>
      <c r="W12" s="55">
        <f>SUM(M12:N12,O12)</f>
        <v>0</v>
      </c>
      <c r="X12" s="660"/>
      <c r="Y12" s="635"/>
      <c r="Z12" s="613"/>
      <c r="AA12" s="615"/>
      <c r="AB12" s="613"/>
      <c r="AC12" s="615"/>
      <c r="AD12" s="786"/>
      <c r="AE12" s="610"/>
      <c r="AF12" s="776"/>
      <c r="AG12" s="737"/>
      <c r="AH12" s="562"/>
      <c r="AI12" s="485"/>
      <c r="AJ12" s="565"/>
      <c r="AK12" s="618"/>
      <c r="AL12" s="593"/>
      <c r="AM12" s="593"/>
      <c r="AN12" s="620"/>
      <c r="AO12" s="562"/>
      <c r="AP12" s="602"/>
      <c r="AQ12" s="602"/>
      <c r="AR12" s="572"/>
      <c r="AS12" s="572"/>
      <c r="AT12" s="572"/>
      <c r="AU12" s="699"/>
      <c r="AV12" s="693"/>
      <c r="AW12" s="703"/>
      <c r="AX12" s="590"/>
      <c r="AY12" s="177"/>
      <c r="BA12" s="569"/>
      <c r="BB12" s="578"/>
      <c r="BC12" s="575" t="e">
        <v>#VALUE!</v>
      </c>
      <c r="BD12" s="568"/>
      <c r="BE12" s="581"/>
      <c r="BF12" s="587" t="e">
        <v>#VALUE!</v>
      </c>
      <c r="BG12" s="584"/>
      <c r="BH12" s="562"/>
      <c r="BI12" s="562"/>
      <c r="BN12" s="598"/>
      <c r="BO12" s="599"/>
      <c r="BP12" s="595"/>
      <c r="BQ12" s="603"/>
      <c r="BS12" s="598"/>
      <c r="BT12" s="599"/>
      <c r="BU12" s="816"/>
      <c r="BV12" s="603"/>
      <c r="BX12" s="607"/>
      <c r="BY12" s="844"/>
      <c r="BZ12" s="844"/>
      <c r="CA12" s="844"/>
      <c r="CB12" s="845"/>
      <c r="CC12" s="844"/>
      <c r="CD12" s="844"/>
    </row>
    <row r="13" spans="1:82" ht="27" customHeight="1">
      <c r="A13" s="765" t="s">
        <v>328</v>
      </c>
      <c r="B13" s="69" t="s">
        <v>70</v>
      </c>
      <c r="C13" s="225">
        <f t="shared" si="0"/>
        <v>0</v>
      </c>
      <c r="D13" s="225">
        <f t="shared" si="1"/>
        <v>0</v>
      </c>
      <c r="E13" s="68"/>
      <c r="F13" s="68"/>
      <c r="G13" s="68"/>
      <c r="H13" s="54"/>
      <c r="I13" s="196"/>
      <c r="J13" s="54"/>
      <c r="K13" s="54"/>
      <c r="L13" s="297"/>
      <c r="M13" s="68"/>
      <c r="N13" s="68"/>
      <c r="O13" s="68"/>
      <c r="P13" s="54"/>
      <c r="Q13" s="196"/>
      <c r="R13" s="54"/>
      <c r="S13" s="54"/>
      <c r="T13" s="300"/>
      <c r="U13" s="55">
        <f>SUM(H13:K13)</f>
        <v>0</v>
      </c>
      <c r="V13" s="762">
        <f>SUM(U13:U15)</f>
        <v>0</v>
      </c>
      <c r="W13" s="55">
        <f>SUM(P13:S13)</f>
        <v>0</v>
      </c>
      <c r="X13" s="658">
        <f>SUM(W13:W15)</f>
        <v>0</v>
      </c>
      <c r="Y13" s="184"/>
      <c r="Z13" s="611">
        <f t="shared" ref="Z13" si="7">Y14</f>
        <v>2</v>
      </c>
      <c r="AA13" s="344"/>
      <c r="AB13" s="611">
        <f>IF('様式１－１（【本園分】標準時間対応）'!BC11&gt;0,1,0)+IF('様式１－２（【分園分】標準時間対応）'!BC11&gt;0,1,0)</f>
        <v>0</v>
      </c>
      <c r="AC13" s="343">
        <f>IF($U13&gt;0,1,0)+IF($W13&gt;0,1,0)</f>
        <v>0</v>
      </c>
      <c r="AD13" s="663" t="str">
        <f>VLOOKUP($A13,加算等適用状況!$A$14:$O$25,13,FALSE)</f>
        <v/>
      </c>
      <c r="AE13" s="608" t="str">
        <f>VLOOKUP($A13,加算等適用状況!$A$14:$O$25,15,FALSE)</f>
        <v>入力未了</v>
      </c>
      <c r="AF13" s="479">
        <f>参考_歳児別配置基準!Q24</f>
        <v>0</v>
      </c>
      <c r="AG13" s="735" t="str">
        <f>IF(AE13="入力完了",参考_歳児別配置基準!H24,AE13)</f>
        <v>入力未了</v>
      </c>
      <c r="AH13" s="560" t="e">
        <f t="shared" ref="AH13" si="8">Z13+AB13+AC13+AC14+AG13-AD13</f>
        <v>#VALUE!</v>
      </c>
      <c r="AI13" s="484">
        <f>IFERROR(ROUND(((U13+W13)/(U13+W13+U14+W14))*AJ13,1),0)</f>
        <v>0</v>
      </c>
      <c r="AJ13" s="563">
        <f>IF(VLOOKUP($A13,加算等適用状況!$A$14:$O$25,4,FALSE)="○",VLOOKUP($A13,加算等適用状況!$A$14:$O$25,5,FALSE),0)</f>
        <v>0</v>
      </c>
      <c r="AK13" s="616">
        <f>IF(VLOOKUP($A13,加算等適用状況!$A$14:$O$25,11,FALSE)="○",1,0)</f>
        <v>0</v>
      </c>
      <c r="AL13" s="591" t="str">
        <f>VLOOKUP($A13,加算等適用状況!$A$14:$O$25,12,FALSE)</f>
        <v/>
      </c>
      <c r="AM13" s="591">
        <f>IF(AL13="専任",0,1)</f>
        <v>1</v>
      </c>
      <c r="AN13" s="481">
        <f>IFERROR(AM13*(ROUND((U13+W13)/(X13+V13),1)),0)</f>
        <v>0</v>
      </c>
      <c r="AO13" s="560" t="e">
        <f>AH13+CD13+AK13+AM13</f>
        <v>#VALUE!</v>
      </c>
      <c r="AP13" s="600"/>
      <c r="AQ13" s="600"/>
      <c r="AR13" s="570">
        <f t="shared" ref="AR13" si="9">(ROUNDDOWN(F15/4,1)-ROUNDDOWN(F15/5,1))+(ROUNDDOWN(N15/4,1)-ROUNDDOWN(N15/5,1))</f>
        <v>0</v>
      </c>
      <c r="AS13" s="570">
        <f>SUM('様式１－１（【本園分】標準時間対応）'!BA11:BA12)</f>
        <v>0</v>
      </c>
      <c r="AT13" s="570">
        <f>SUM('様式１－２（【分園分】標準時間対応）'!BA11:BA12)</f>
        <v>0</v>
      </c>
      <c r="AU13" s="697">
        <f>2-Z13</f>
        <v>0</v>
      </c>
      <c r="AV13" s="706">
        <f>IF(OR(AND('様式１－１（【本園分】標準時間対応）'!J11&gt;0, '様式１－１（【本園分】標準時間対応）'!R11&gt;0), '様式１－１（【本園分】標準時間対応）'!BC11&gt;=ROUND((C14+C15)*0.3,0)),1,0) + IF(OR(AND('様式１－２（【分園分】標準時間対応）'!J11&gt;0, '様式１－２（【分園分】標準時間対応）'!R11&gt;0), '様式１－２（【分園分】標準時間対応）'!BC11&gt;=ROUND((D14+D15)*0.3,0)),1,0)</f>
        <v>2</v>
      </c>
      <c r="AW13" s="704">
        <f>(ROUNDDOWN(I14/10,1)-ROUNDDOWN(I14/15,1))+(ROUNDDOWN(Q14/10,1)-ROUNDDOWN(Q14/15,1))</f>
        <v>0</v>
      </c>
      <c r="AX13" s="588" t="e">
        <f>SUM(AO13:AW15)</f>
        <v>#VALUE!</v>
      </c>
      <c r="AY13" s="177"/>
      <c r="BA13" s="569"/>
      <c r="BB13" s="576">
        <f>'様式２（専従の常勤）'!I58</f>
        <v>0</v>
      </c>
      <c r="BC13" s="573">
        <f>COUNTIFS('様式３（非専従の常勤＋非常勤）'!$R$9:$R$38,"&gt;=1")+'様式２（専従の常勤）'!I70+'様式２（専従の常勤）'!I84</f>
        <v>0</v>
      </c>
      <c r="BD13" s="566">
        <f>'様式３（非専従の常勤＋非常勤）'!$S$41</f>
        <v>0</v>
      </c>
      <c r="BE13" s="579"/>
      <c r="BF13" s="585">
        <f>COUNTIFS('様式３（非専従の常勤＋非常勤）'!$R$48:$R$52,"&gt;=1")</f>
        <v>0</v>
      </c>
      <c r="BG13" s="582">
        <f>ROUNDDOWN('様式３（非専従の常勤＋非常勤）'!$R$54,1)</f>
        <v>0</v>
      </c>
      <c r="BH13" s="560">
        <f>BB13+BD13+IF((BE13+BG13)&gt;=CD13,CD13,(BE13+BG13))</f>
        <v>0</v>
      </c>
      <c r="BI13" s="560" t="e">
        <f>BH13-AO13</f>
        <v>#VALUE!</v>
      </c>
      <c r="BN13" s="596" t="s">
        <v>3</v>
      </c>
      <c r="BO13" s="280" t="s">
        <v>70</v>
      </c>
      <c r="BP13" s="281">
        <f>Y13+AA13+AC13+AF13+AI13+AK13+AN13</f>
        <v>0</v>
      </c>
      <c r="BQ13" s="282" t="e">
        <f>ROUND(BP13/(BP13+BP14),2)</f>
        <v>#VALUE!</v>
      </c>
      <c r="BS13" s="596" t="s">
        <v>3</v>
      </c>
      <c r="BT13" s="280" t="s">
        <v>70</v>
      </c>
      <c r="BU13" s="283">
        <f>AC13+AF13</f>
        <v>0</v>
      </c>
      <c r="BV13" s="282" t="e">
        <f t="shared" ref="BV13" si="10">ROUND(BU13/(BU13+BU14),2)</f>
        <v>#VALUE!</v>
      </c>
      <c r="BX13" s="607" t="s">
        <v>3</v>
      </c>
      <c r="BY13" s="844">
        <f>IF(VLOOKUP($A13,加算等適用状況!$A$14:$O$25,4,FALSE)="○",VLOOKUP($A13,加算等適用状況!$A$14:$O$25,5,FALSE),0)</f>
        <v>0</v>
      </c>
      <c r="BZ13" s="845" t="e">
        <f>VLOOKUP(BY13,加算等適用状況!$E$34:$F$46,2,FALSE)</f>
        <v>#N/A</v>
      </c>
      <c r="CA13" s="845" t="e">
        <f>AH13+AK13+AM13</f>
        <v>#VALUE!</v>
      </c>
      <c r="CB13" s="846">
        <f>BB13+BD13+BE13+BG13</f>
        <v>0</v>
      </c>
      <c r="CC13" s="845" t="e">
        <f>CB13-CA13</f>
        <v>#VALUE!</v>
      </c>
      <c r="CD13" s="845">
        <f>IFERROR(IF(CC13&gt;BY13,BY13,IF(CC13&lt;BZ13,BZ13,CC13)),0)</f>
        <v>0</v>
      </c>
    </row>
    <row r="14" spans="1:82" ht="27" customHeight="1">
      <c r="A14" s="766"/>
      <c r="B14" s="69" t="s">
        <v>71</v>
      </c>
      <c r="C14" s="226">
        <f t="shared" si="0"/>
        <v>0</v>
      </c>
      <c r="D14" s="226">
        <f t="shared" si="1"/>
        <v>0</v>
      </c>
      <c r="E14" s="68"/>
      <c r="F14" s="68"/>
      <c r="G14" s="68"/>
      <c r="H14" s="68"/>
      <c r="I14" s="54"/>
      <c r="J14" s="54"/>
      <c r="K14" s="54"/>
      <c r="L14" s="297"/>
      <c r="M14" s="68"/>
      <c r="N14" s="68"/>
      <c r="O14" s="68"/>
      <c r="P14" s="68"/>
      <c r="Q14" s="54"/>
      <c r="R14" s="54"/>
      <c r="S14" s="54"/>
      <c r="T14" s="300"/>
      <c r="U14" s="55">
        <f>SUM(I14:K14)</f>
        <v>0</v>
      </c>
      <c r="V14" s="763"/>
      <c r="W14" s="55">
        <f>SUM(Q14:S14)</f>
        <v>0</v>
      </c>
      <c r="X14" s="659"/>
      <c r="Y14" s="634">
        <f>IF(C14+C15&lt;=90,1,0)+IF(D14+D15&lt;=90,1,0)</f>
        <v>2</v>
      </c>
      <c r="Z14" s="612"/>
      <c r="AA14" s="614">
        <f>AB13</f>
        <v>0</v>
      </c>
      <c r="AB14" s="612"/>
      <c r="AC14" s="614">
        <f>IF($U14+$U15&gt;0,1,0)+IF($W14+$W15&gt;0,1,0)</f>
        <v>0</v>
      </c>
      <c r="AD14" s="664"/>
      <c r="AE14" s="609"/>
      <c r="AF14" s="775" t="e">
        <f>AG13-AF13</f>
        <v>#VALUE!</v>
      </c>
      <c r="AG14" s="736"/>
      <c r="AH14" s="561"/>
      <c r="AI14" s="482">
        <f>AJ13-AI13</f>
        <v>0</v>
      </c>
      <c r="AJ14" s="564"/>
      <c r="AK14" s="617"/>
      <c r="AL14" s="592"/>
      <c r="AM14" s="592"/>
      <c r="AN14" s="619">
        <f>IFERROR(AM13*(ROUND((U14+U15+W14+W15)/(X13+V13),1)),0)</f>
        <v>0</v>
      </c>
      <c r="AO14" s="561"/>
      <c r="AP14" s="601"/>
      <c r="AQ14" s="601"/>
      <c r="AR14" s="571"/>
      <c r="AS14" s="571"/>
      <c r="AT14" s="571"/>
      <c r="AU14" s="698"/>
      <c r="AV14" s="692"/>
      <c r="AW14" s="702"/>
      <c r="AX14" s="589"/>
      <c r="AY14" s="177"/>
      <c r="BA14" s="569"/>
      <c r="BB14" s="577"/>
      <c r="BC14" s="574" t="e">
        <v>#VALUE!</v>
      </c>
      <c r="BD14" s="567"/>
      <c r="BE14" s="580"/>
      <c r="BF14" s="586" t="e">
        <v>#VALUE!</v>
      </c>
      <c r="BG14" s="583"/>
      <c r="BH14" s="561"/>
      <c r="BI14" s="561"/>
      <c r="BN14" s="597"/>
      <c r="BO14" s="599" t="s">
        <v>120</v>
      </c>
      <c r="BP14" s="594" t="e">
        <f>Y14+AA14+AC14+AF14+AI14+AN14+AR13+AS13+AT13+AV13+AU13+AW13</f>
        <v>#VALUE!</v>
      </c>
      <c r="BQ14" s="603" t="e">
        <f>1-BQ13</f>
        <v>#VALUE!</v>
      </c>
      <c r="BS14" s="597"/>
      <c r="BT14" s="599" t="s">
        <v>120</v>
      </c>
      <c r="BU14" s="816" t="e">
        <f>Y14+AA14+AF14+AC14</f>
        <v>#VALUE!</v>
      </c>
      <c r="BV14" s="603" t="e">
        <f t="shared" ref="BV14" si="11">ROUND(BU14/(BU13+BU14),2)</f>
        <v>#VALUE!</v>
      </c>
      <c r="BX14" s="607"/>
      <c r="BY14" s="844"/>
      <c r="BZ14" s="844"/>
      <c r="CA14" s="844"/>
      <c r="CB14" s="847"/>
      <c r="CC14" s="844"/>
      <c r="CD14" s="844"/>
    </row>
    <row r="15" spans="1:82" ht="27" customHeight="1">
      <c r="A15" s="767"/>
      <c r="B15" s="69" t="s">
        <v>72</v>
      </c>
      <c r="C15" s="226">
        <f t="shared" si="0"/>
        <v>0</v>
      </c>
      <c r="D15" s="226">
        <f t="shared" si="1"/>
        <v>0</v>
      </c>
      <c r="E15" s="54"/>
      <c r="F15" s="54"/>
      <c r="G15" s="54"/>
      <c r="H15" s="68"/>
      <c r="I15" s="68"/>
      <c r="J15" s="68"/>
      <c r="K15" s="68"/>
      <c r="L15" s="297"/>
      <c r="M15" s="54"/>
      <c r="N15" s="54"/>
      <c r="O15" s="54"/>
      <c r="P15" s="68"/>
      <c r="Q15" s="68"/>
      <c r="R15" s="68"/>
      <c r="S15" s="68"/>
      <c r="T15" s="300"/>
      <c r="U15" s="55">
        <f>SUM(E15:F15,G15)</f>
        <v>0</v>
      </c>
      <c r="V15" s="764"/>
      <c r="W15" s="55">
        <f>SUM(M15:N15,O15)</f>
        <v>0</v>
      </c>
      <c r="X15" s="660"/>
      <c r="Y15" s="635"/>
      <c r="Z15" s="613"/>
      <c r="AA15" s="615"/>
      <c r="AB15" s="613"/>
      <c r="AC15" s="615"/>
      <c r="AD15" s="786"/>
      <c r="AE15" s="610"/>
      <c r="AF15" s="776"/>
      <c r="AG15" s="737"/>
      <c r="AH15" s="562"/>
      <c r="AI15" s="485"/>
      <c r="AJ15" s="565"/>
      <c r="AK15" s="618"/>
      <c r="AL15" s="593"/>
      <c r="AM15" s="593"/>
      <c r="AN15" s="620"/>
      <c r="AO15" s="562"/>
      <c r="AP15" s="602"/>
      <c r="AQ15" s="602"/>
      <c r="AR15" s="572"/>
      <c r="AS15" s="572"/>
      <c r="AT15" s="572"/>
      <c r="AU15" s="699"/>
      <c r="AV15" s="693"/>
      <c r="AW15" s="703"/>
      <c r="AX15" s="590"/>
      <c r="AY15" s="177"/>
      <c r="BA15" s="569"/>
      <c r="BB15" s="578"/>
      <c r="BC15" s="575" t="e">
        <v>#VALUE!</v>
      </c>
      <c r="BD15" s="568"/>
      <c r="BE15" s="581"/>
      <c r="BF15" s="587" t="e">
        <v>#VALUE!</v>
      </c>
      <c r="BG15" s="584"/>
      <c r="BH15" s="562"/>
      <c r="BI15" s="562"/>
      <c r="BN15" s="598"/>
      <c r="BO15" s="599"/>
      <c r="BP15" s="595"/>
      <c r="BQ15" s="603"/>
      <c r="BS15" s="598"/>
      <c r="BT15" s="599"/>
      <c r="BU15" s="816"/>
      <c r="BV15" s="603"/>
      <c r="BX15" s="607"/>
      <c r="BY15" s="844"/>
      <c r="BZ15" s="844"/>
      <c r="CA15" s="844"/>
      <c r="CB15" s="845"/>
      <c r="CC15" s="844"/>
      <c r="CD15" s="844"/>
    </row>
    <row r="16" spans="1:82" ht="27" customHeight="1">
      <c r="A16" s="765" t="s">
        <v>329</v>
      </c>
      <c r="B16" s="69" t="s">
        <v>70</v>
      </c>
      <c r="C16" s="225">
        <f t="shared" ref="C16:C42" si="12">$C13</f>
        <v>0</v>
      </c>
      <c r="D16" s="225">
        <f t="shared" ref="D16:D42" si="13">$D13</f>
        <v>0</v>
      </c>
      <c r="E16" s="68"/>
      <c r="F16" s="68"/>
      <c r="G16" s="68"/>
      <c r="H16" s="54"/>
      <c r="I16" s="196"/>
      <c r="J16" s="54"/>
      <c r="K16" s="54"/>
      <c r="L16" s="297"/>
      <c r="M16" s="68"/>
      <c r="N16" s="68"/>
      <c r="O16" s="68"/>
      <c r="P16" s="54"/>
      <c r="Q16" s="196"/>
      <c r="R16" s="54"/>
      <c r="S16" s="54"/>
      <c r="T16" s="300"/>
      <c r="U16" s="55">
        <f>SUM(H16:K16)</f>
        <v>0</v>
      </c>
      <c r="V16" s="762">
        <f>SUM(U16:U18)</f>
        <v>0</v>
      </c>
      <c r="W16" s="55">
        <f>SUM(P16:S16)</f>
        <v>0</v>
      </c>
      <c r="X16" s="658">
        <f>SUM(W16:W18)</f>
        <v>0</v>
      </c>
      <c r="Y16" s="184"/>
      <c r="Z16" s="611">
        <f>Y17</f>
        <v>2</v>
      </c>
      <c r="AA16" s="344"/>
      <c r="AB16" s="611">
        <f>IF('様式１－１（【本園分】標準時間対応）'!BC13&gt;0,1,0)+IF('様式１－２（【分園分】標準時間対応）'!BC13&gt;0,1,0)</f>
        <v>0</v>
      </c>
      <c r="AC16" s="343">
        <f>IF($U16&gt;0,1,0)+IF($W16&gt;0,1,0)</f>
        <v>0</v>
      </c>
      <c r="AD16" s="663" t="str">
        <f>VLOOKUP($A16,加算等適用状況!$A$14:$O$25,13,FALSE)</f>
        <v/>
      </c>
      <c r="AE16" s="608" t="str">
        <f>VLOOKUP($A16,加算等適用状況!$A$14:$O$25,15,FALSE)</f>
        <v>入力未了</v>
      </c>
      <c r="AF16" s="479">
        <f>参考_歳児別配置基準!Q34</f>
        <v>0</v>
      </c>
      <c r="AG16" s="735" t="str">
        <f>IF(AE16="入力完了",参考_歳児別配置基準!H34,AE16)</f>
        <v>入力未了</v>
      </c>
      <c r="AH16" s="560" t="e">
        <f t="shared" ref="AH16" si="14">Z16+AB16+AC16+AC17+AG16-AD16</f>
        <v>#VALUE!</v>
      </c>
      <c r="AI16" s="484">
        <f>IFERROR(ROUND(((U16+W16)/(U16+W16+U17+W17))*AJ16,1),0)</f>
        <v>0</v>
      </c>
      <c r="AJ16" s="563">
        <f>IF(VLOOKUP($A16,加算等適用状況!$A$14:$O$25,4,FALSE)="○",VLOOKUP($A16,加算等適用状況!$A$14:$O$25,5,FALSE),0)</f>
        <v>0</v>
      </c>
      <c r="AK16" s="616">
        <f>IF(VLOOKUP($A16,加算等適用状況!$A$14:$O$25,11,FALSE)="○",1,0)</f>
        <v>0</v>
      </c>
      <c r="AL16" s="591" t="str">
        <f>VLOOKUP($A16,加算等適用状況!$A$14:$O$25,12,FALSE)</f>
        <v/>
      </c>
      <c r="AM16" s="591">
        <f>IF(AL16="専任",0,1)</f>
        <v>1</v>
      </c>
      <c r="AN16" s="481">
        <f>IFERROR(AM16*(ROUND((U16+W16)/(X16+V16),1)),0)</f>
        <v>0</v>
      </c>
      <c r="AO16" s="560" t="e">
        <f>AH16+CD16+AK16+AM16</f>
        <v>#VALUE!</v>
      </c>
      <c r="AP16" s="600"/>
      <c r="AQ16" s="600"/>
      <c r="AR16" s="570">
        <f t="shared" ref="AR16" si="15">(ROUNDDOWN(F18/4,1)-ROUNDDOWN(F18/5,1))+(ROUNDDOWN(N18/4,1)-ROUNDDOWN(N18/5,1))</f>
        <v>0</v>
      </c>
      <c r="AS16" s="570">
        <f>SUM('様式１－１（【本園分】標準時間対応）'!BA13:BA14)</f>
        <v>0</v>
      </c>
      <c r="AT16" s="570">
        <f>SUM('様式１－２（【分園分】標準時間対応）'!BA13:BA14)</f>
        <v>0</v>
      </c>
      <c r="AU16" s="697">
        <f>2-Z16</f>
        <v>0</v>
      </c>
      <c r="AV16" s="706">
        <f>IF(OR(AND('様式１－１（【本園分】標準時間対応）'!J13&gt;0, '様式１－１（【本園分】標準時間対応）'!R13&gt;0), '様式１－１（【本園分】標準時間対応）'!BC13&gt;=ROUND((C17+C18)*0.3,0)),1,0) + IF(OR(AND('様式１－２（【分園分】標準時間対応）'!J13&gt;0, '様式１－２（【分園分】標準時間対応）'!R13&gt;0), '様式１－２（【分園分】標準時間対応）'!BC13&gt;=ROUND((D17+D18)*0.3,0)),1,0)</f>
        <v>2</v>
      </c>
      <c r="AW16" s="704">
        <f>(ROUNDDOWN(I17/10,1)-ROUNDDOWN(I17/15,1))+(ROUNDDOWN(Q17/10,1)-ROUNDDOWN(Q17/15,1))</f>
        <v>0</v>
      </c>
      <c r="AX16" s="588" t="e">
        <f>SUM(AO16:AW18)</f>
        <v>#VALUE!</v>
      </c>
      <c r="AY16" s="177"/>
      <c r="BA16" s="569"/>
      <c r="BB16" s="576">
        <f>'様式２（専従の常勤）'!J58</f>
        <v>0</v>
      </c>
      <c r="BC16" s="573">
        <f>COUNTIFS('様式３（非専従の常勤＋非常勤）'!$T$9:$T$38,"&gt;=1")+'様式２（専従の常勤）'!J70+'様式２（専従の常勤）'!J84</f>
        <v>0</v>
      </c>
      <c r="BD16" s="566">
        <f>'様式３（非専従の常勤＋非常勤）'!$U$41</f>
        <v>0</v>
      </c>
      <c r="BE16" s="579"/>
      <c r="BF16" s="585">
        <f>COUNTIFS('様式３（非専従の常勤＋非常勤）'!$T$48:$T$52,"&gt;=1")</f>
        <v>0</v>
      </c>
      <c r="BG16" s="582">
        <f>ROUNDDOWN('様式３（非専従の常勤＋非常勤）'!$T$54,1)</f>
        <v>0</v>
      </c>
      <c r="BH16" s="560">
        <f>BB16+BD16+IF((BE16+BG16)&gt;=CD16,CD16,(BE16+BG16))</f>
        <v>0</v>
      </c>
      <c r="BI16" s="560" t="e">
        <f>BH16-AO16</f>
        <v>#VALUE!</v>
      </c>
      <c r="BN16" s="596" t="s">
        <v>4</v>
      </c>
      <c r="BO16" s="280" t="s">
        <v>70</v>
      </c>
      <c r="BP16" s="281">
        <f>Y16+AA16+AC16+AF16+AI16+AK16+AN16</f>
        <v>0</v>
      </c>
      <c r="BQ16" s="282" t="e">
        <f>ROUND(BP16/(BP16+BP17),2)</f>
        <v>#VALUE!</v>
      </c>
      <c r="BS16" s="596" t="s">
        <v>4</v>
      </c>
      <c r="BT16" s="280" t="s">
        <v>70</v>
      </c>
      <c r="BU16" s="283">
        <f>AC16+AF16</f>
        <v>0</v>
      </c>
      <c r="BV16" s="282" t="e">
        <f t="shared" ref="BV16" si="16">ROUND(BU16/(BU16+BU17),2)</f>
        <v>#VALUE!</v>
      </c>
      <c r="BX16" s="607" t="s">
        <v>4</v>
      </c>
      <c r="BY16" s="844">
        <f>IF(VLOOKUP($A16,加算等適用状況!$A$14:$O$25,4,FALSE)="○",VLOOKUP($A16,加算等適用状況!$A$14:$O$25,5,FALSE),0)</f>
        <v>0</v>
      </c>
      <c r="BZ16" s="845" t="e">
        <f>VLOOKUP(BY16,加算等適用状況!$E$34:$F$46,2,FALSE)</f>
        <v>#N/A</v>
      </c>
      <c r="CA16" s="845" t="e">
        <f>AH16+AK16+AM16</f>
        <v>#VALUE!</v>
      </c>
      <c r="CB16" s="846">
        <f>BB16+BD16+BE16+BG16</f>
        <v>0</v>
      </c>
      <c r="CC16" s="845" t="e">
        <f>CB16-CA16</f>
        <v>#VALUE!</v>
      </c>
      <c r="CD16" s="845">
        <f>IFERROR(IF(CC16&gt;BY16,BY16,IF(CC16&lt;BZ16,BZ16,CC16)),0)</f>
        <v>0</v>
      </c>
    </row>
    <row r="17" spans="1:82" ht="27" customHeight="1">
      <c r="A17" s="766"/>
      <c r="B17" s="69" t="s">
        <v>71</v>
      </c>
      <c r="C17" s="226">
        <f t="shared" si="12"/>
        <v>0</v>
      </c>
      <c r="D17" s="226">
        <f t="shared" si="13"/>
        <v>0</v>
      </c>
      <c r="E17" s="68"/>
      <c r="F17" s="68"/>
      <c r="G17" s="68"/>
      <c r="H17" s="68"/>
      <c r="I17" s="54"/>
      <c r="J17" s="54"/>
      <c r="K17" s="54"/>
      <c r="L17" s="297"/>
      <c r="M17" s="68"/>
      <c r="N17" s="68"/>
      <c r="O17" s="68"/>
      <c r="P17" s="68"/>
      <c r="Q17" s="54"/>
      <c r="R17" s="54"/>
      <c r="S17" s="54"/>
      <c r="T17" s="300"/>
      <c r="U17" s="55">
        <f>SUM(I17:K17)</f>
        <v>0</v>
      </c>
      <c r="V17" s="763"/>
      <c r="W17" s="55">
        <f>SUM(Q17:S17)</f>
        <v>0</v>
      </c>
      <c r="X17" s="659"/>
      <c r="Y17" s="634">
        <f>IF(C17+C18&lt;=90,1,0)+IF(D17+D18&lt;=90,1,0)</f>
        <v>2</v>
      </c>
      <c r="Z17" s="612"/>
      <c r="AA17" s="614">
        <f>AB16</f>
        <v>0</v>
      </c>
      <c r="AB17" s="612"/>
      <c r="AC17" s="614">
        <f>IF($U17+$U18&gt;0,1,0)+IF($W17+$W18&gt;0,1,0)</f>
        <v>0</v>
      </c>
      <c r="AD17" s="664"/>
      <c r="AE17" s="609"/>
      <c r="AF17" s="775" t="e">
        <f>AG16-AF16</f>
        <v>#VALUE!</v>
      </c>
      <c r="AG17" s="736"/>
      <c r="AH17" s="561"/>
      <c r="AI17" s="482">
        <f>AJ16-AI16</f>
        <v>0</v>
      </c>
      <c r="AJ17" s="564"/>
      <c r="AK17" s="617"/>
      <c r="AL17" s="592"/>
      <c r="AM17" s="592"/>
      <c r="AN17" s="619">
        <f>IFERROR(AM16*(ROUND((U17+U18+W17+W18)/(X16+V16),1)),0)</f>
        <v>0</v>
      </c>
      <c r="AO17" s="561"/>
      <c r="AP17" s="601"/>
      <c r="AQ17" s="601"/>
      <c r="AR17" s="571"/>
      <c r="AS17" s="571"/>
      <c r="AT17" s="571"/>
      <c r="AU17" s="698"/>
      <c r="AV17" s="692"/>
      <c r="AW17" s="702"/>
      <c r="AX17" s="589"/>
      <c r="AY17" s="177"/>
      <c r="BA17" s="569"/>
      <c r="BB17" s="577"/>
      <c r="BC17" s="574" t="e">
        <v>#VALUE!</v>
      </c>
      <c r="BD17" s="567"/>
      <c r="BE17" s="580"/>
      <c r="BF17" s="586" t="e">
        <v>#VALUE!</v>
      </c>
      <c r="BG17" s="583"/>
      <c r="BH17" s="561"/>
      <c r="BI17" s="561"/>
      <c r="BN17" s="597"/>
      <c r="BO17" s="599" t="s">
        <v>120</v>
      </c>
      <c r="BP17" s="594" t="e">
        <f>Y17+AA17+AC17+AF17+AI17+AN17+AR16+AS16+AT16+AV16+AU16+AW16</f>
        <v>#VALUE!</v>
      </c>
      <c r="BQ17" s="603" t="e">
        <f>1-BQ16</f>
        <v>#VALUE!</v>
      </c>
      <c r="BS17" s="597"/>
      <c r="BT17" s="599" t="s">
        <v>120</v>
      </c>
      <c r="BU17" s="816" t="e">
        <f>Y17+AA17+AF17+AC17</f>
        <v>#VALUE!</v>
      </c>
      <c r="BV17" s="603" t="e">
        <f t="shared" ref="BV17" si="17">ROUND(BU17/(BU16+BU17),2)</f>
        <v>#VALUE!</v>
      </c>
      <c r="BX17" s="607"/>
      <c r="BY17" s="844"/>
      <c r="BZ17" s="844"/>
      <c r="CA17" s="844"/>
      <c r="CB17" s="847"/>
      <c r="CC17" s="844"/>
      <c r="CD17" s="844"/>
    </row>
    <row r="18" spans="1:82" ht="27" customHeight="1">
      <c r="A18" s="767"/>
      <c r="B18" s="69" t="s">
        <v>72</v>
      </c>
      <c r="C18" s="226">
        <f t="shared" si="12"/>
        <v>0</v>
      </c>
      <c r="D18" s="226">
        <f t="shared" si="13"/>
        <v>0</v>
      </c>
      <c r="E18" s="54"/>
      <c r="F18" s="54"/>
      <c r="G18" s="54"/>
      <c r="H18" s="68"/>
      <c r="I18" s="68"/>
      <c r="J18" s="68"/>
      <c r="K18" s="68"/>
      <c r="L18" s="297"/>
      <c r="M18" s="54"/>
      <c r="N18" s="54"/>
      <c r="O18" s="54"/>
      <c r="P18" s="68"/>
      <c r="Q18" s="68"/>
      <c r="R18" s="68"/>
      <c r="S18" s="68"/>
      <c r="T18" s="300"/>
      <c r="U18" s="55">
        <f>SUM(E18:F18,G18)</f>
        <v>0</v>
      </c>
      <c r="V18" s="764"/>
      <c r="W18" s="55">
        <f>SUM(M18:N18,O18)</f>
        <v>0</v>
      </c>
      <c r="X18" s="660"/>
      <c r="Y18" s="635"/>
      <c r="Z18" s="613"/>
      <c r="AA18" s="615"/>
      <c r="AB18" s="613"/>
      <c r="AC18" s="615"/>
      <c r="AD18" s="786"/>
      <c r="AE18" s="610"/>
      <c r="AF18" s="776"/>
      <c r="AG18" s="737"/>
      <c r="AH18" s="562"/>
      <c r="AI18" s="485"/>
      <c r="AJ18" s="565"/>
      <c r="AK18" s="618"/>
      <c r="AL18" s="593"/>
      <c r="AM18" s="593"/>
      <c r="AN18" s="620"/>
      <c r="AO18" s="562"/>
      <c r="AP18" s="602"/>
      <c r="AQ18" s="602"/>
      <c r="AR18" s="572"/>
      <c r="AS18" s="572"/>
      <c r="AT18" s="572"/>
      <c r="AU18" s="699"/>
      <c r="AV18" s="693"/>
      <c r="AW18" s="703"/>
      <c r="AX18" s="590"/>
      <c r="AY18" s="177"/>
      <c r="BA18" s="569"/>
      <c r="BB18" s="578"/>
      <c r="BC18" s="575" t="e">
        <v>#VALUE!</v>
      </c>
      <c r="BD18" s="568"/>
      <c r="BE18" s="581"/>
      <c r="BF18" s="587" t="e">
        <v>#VALUE!</v>
      </c>
      <c r="BG18" s="584"/>
      <c r="BH18" s="562"/>
      <c r="BI18" s="562"/>
      <c r="BN18" s="598"/>
      <c r="BO18" s="599"/>
      <c r="BP18" s="595"/>
      <c r="BQ18" s="603"/>
      <c r="BS18" s="598"/>
      <c r="BT18" s="599"/>
      <c r="BU18" s="816"/>
      <c r="BV18" s="603"/>
      <c r="BX18" s="607"/>
      <c r="BY18" s="844"/>
      <c r="BZ18" s="844"/>
      <c r="CA18" s="844"/>
      <c r="CB18" s="845"/>
      <c r="CC18" s="844"/>
      <c r="CD18" s="844"/>
    </row>
    <row r="19" spans="1:82" ht="27" customHeight="1">
      <c r="A19" s="765" t="s">
        <v>330</v>
      </c>
      <c r="B19" s="69" t="s">
        <v>70</v>
      </c>
      <c r="C19" s="225">
        <f t="shared" si="12"/>
        <v>0</v>
      </c>
      <c r="D19" s="225">
        <f t="shared" si="13"/>
        <v>0</v>
      </c>
      <c r="E19" s="68"/>
      <c r="F19" s="68"/>
      <c r="G19" s="68"/>
      <c r="H19" s="54"/>
      <c r="I19" s="196"/>
      <c r="J19" s="54"/>
      <c r="K19" s="54"/>
      <c r="L19" s="297"/>
      <c r="M19" s="68"/>
      <c r="N19" s="68"/>
      <c r="O19" s="68"/>
      <c r="P19" s="54"/>
      <c r="Q19" s="196"/>
      <c r="R19" s="54"/>
      <c r="S19" s="54"/>
      <c r="T19" s="300"/>
      <c r="U19" s="55">
        <f>SUM(H19:K19)</f>
        <v>0</v>
      </c>
      <c r="V19" s="762">
        <f>SUM(U19:U21)</f>
        <v>0</v>
      </c>
      <c r="W19" s="55">
        <f>SUM(P19:S19)</f>
        <v>0</v>
      </c>
      <c r="X19" s="658">
        <f>SUM(W19:W21)</f>
        <v>0</v>
      </c>
      <c r="Y19" s="184"/>
      <c r="Z19" s="611">
        <f t="shared" ref="Z19" si="18">Y20</f>
        <v>2</v>
      </c>
      <c r="AA19" s="344"/>
      <c r="AB19" s="611">
        <f>IF('様式１－１（【本園分】標準時間対応）'!BC15&gt;0,1,0)+IF('様式１－２（【分園分】標準時間対応）'!BC15&gt;0,1,0)</f>
        <v>0</v>
      </c>
      <c r="AC19" s="343">
        <f>IF($U19&gt;0,1,0)+IF($W19&gt;0,1,0)</f>
        <v>0</v>
      </c>
      <c r="AD19" s="663" t="str">
        <f>VLOOKUP($A19,加算等適用状況!$A$14:$O$25,13,FALSE)</f>
        <v/>
      </c>
      <c r="AE19" s="608" t="str">
        <f>VLOOKUP($A19,加算等適用状況!$A$14:$O$25,15,FALSE)</f>
        <v>入力未了</v>
      </c>
      <c r="AF19" s="479">
        <f>参考_歳児別配置基準!Q44</f>
        <v>0</v>
      </c>
      <c r="AG19" s="735" t="str">
        <f>IF(AE19="入力完了",参考_歳児別配置基準!H44,AE19)</f>
        <v>入力未了</v>
      </c>
      <c r="AH19" s="560" t="e">
        <f t="shared" ref="AH19" si="19">Z19+AB19+AC19+AC20+AG19-AD19</f>
        <v>#VALUE!</v>
      </c>
      <c r="AI19" s="484">
        <f>IFERROR(ROUND(((U19+W19)/(U19+W19+U20+W20))*AJ19,1),0)</f>
        <v>0</v>
      </c>
      <c r="AJ19" s="563">
        <f>IF(VLOOKUP($A19,加算等適用状況!$A$14:$O$25,4,FALSE)="○",VLOOKUP($A19,加算等適用状況!$A$14:$O$25,5,FALSE),0)</f>
        <v>0</v>
      </c>
      <c r="AK19" s="616">
        <f>IF(VLOOKUP($A19,加算等適用状況!$A$14:$O$25,11,FALSE)="○",1,0)</f>
        <v>0</v>
      </c>
      <c r="AL19" s="591" t="str">
        <f>VLOOKUP($A19,加算等適用状況!$A$14:$O$25,12,FALSE)</f>
        <v/>
      </c>
      <c r="AM19" s="591">
        <f>IF(AL19="専任",0,1)</f>
        <v>1</v>
      </c>
      <c r="AN19" s="481">
        <f>IFERROR(AM19*(ROUND((U19+W19)/(X19+V19),1)),0)</f>
        <v>0</v>
      </c>
      <c r="AO19" s="560" t="e">
        <f>AH19+CD19+AK19+AM19</f>
        <v>#VALUE!</v>
      </c>
      <c r="AP19" s="600"/>
      <c r="AQ19" s="600"/>
      <c r="AR19" s="570">
        <f t="shared" ref="AR19" si="20">(ROUNDDOWN(F21/4,1)-ROUNDDOWN(F21/5,1))+(ROUNDDOWN(N21/4,1)-ROUNDDOWN(N21/5,1))</f>
        <v>0</v>
      </c>
      <c r="AS19" s="570">
        <f>SUM('様式１－１（【本園分】標準時間対応）'!BA15:BA16)</f>
        <v>0</v>
      </c>
      <c r="AT19" s="570">
        <f>SUM('様式１－２（【分園分】標準時間対応）'!BA15:BA16)</f>
        <v>0</v>
      </c>
      <c r="AU19" s="697">
        <f>2-Z19</f>
        <v>0</v>
      </c>
      <c r="AV19" s="706">
        <f>IF(OR(AND('様式１－１（【本園分】標準時間対応）'!J15&gt;0, '様式１－１（【本園分】標準時間対応）'!R15&gt;0), '様式１－１（【本園分】標準時間対応）'!BC15&gt;=ROUND((C20+C21)*0.3,0)),1,0) + IF(OR(AND('様式１－２（【分園分】標準時間対応）'!J15&gt;0, '様式１－２（【分園分】標準時間対応）'!R15&gt;0), '様式１－２（【分園分】標準時間対応）'!BC15&gt;=ROUND((D20+D21)*0.3,0)),1,0)</f>
        <v>2</v>
      </c>
      <c r="AW19" s="704">
        <f>(ROUNDDOWN(I20/10,1)-ROUNDDOWN(I20/15,1))+(ROUNDDOWN(Q20/10,1)-ROUNDDOWN(Q20/15,1))</f>
        <v>0</v>
      </c>
      <c r="AX19" s="588" t="e">
        <f>SUM(AO19:AW21)</f>
        <v>#VALUE!</v>
      </c>
      <c r="AY19" s="177"/>
      <c r="BA19" s="569"/>
      <c r="BB19" s="576">
        <f>'様式２（専従の常勤）'!K58</f>
        <v>0</v>
      </c>
      <c r="BC19" s="573">
        <f>COUNTIFS('様式３（非専従の常勤＋非常勤）'!$V$9:$V$38,"&gt;=1")+'様式２（専従の常勤）'!K70+'様式２（専従の常勤）'!K84</f>
        <v>0</v>
      </c>
      <c r="BD19" s="566">
        <f>'様式３（非専従の常勤＋非常勤）'!$W$41</f>
        <v>0</v>
      </c>
      <c r="BE19" s="579"/>
      <c r="BF19" s="585">
        <f>COUNTIFS('様式３（非専従の常勤＋非常勤）'!$V$48:$V$52,"&gt;=1")</f>
        <v>0</v>
      </c>
      <c r="BG19" s="582">
        <f>ROUNDDOWN('様式３（非専従の常勤＋非常勤）'!$V$54,1)</f>
        <v>0</v>
      </c>
      <c r="BH19" s="560">
        <f>BB19+BD19+IF((BE19+BG19)&gt;=CD19,CD19,(BE19+BG19))</f>
        <v>0</v>
      </c>
      <c r="BI19" s="560" t="e">
        <f>BH19-AO19</f>
        <v>#VALUE!</v>
      </c>
      <c r="BN19" s="596" t="s">
        <v>5</v>
      </c>
      <c r="BO19" s="280" t="s">
        <v>70</v>
      </c>
      <c r="BP19" s="281">
        <f>Y19+AA19+AC19+AF19+AI19+AK19+AN19</f>
        <v>0</v>
      </c>
      <c r="BQ19" s="282" t="e">
        <f>ROUND(BP19/(BP19+BP20),2)</f>
        <v>#VALUE!</v>
      </c>
      <c r="BS19" s="596" t="s">
        <v>5</v>
      </c>
      <c r="BT19" s="280" t="s">
        <v>70</v>
      </c>
      <c r="BU19" s="283">
        <f>AC19+AF19</f>
        <v>0</v>
      </c>
      <c r="BV19" s="282" t="e">
        <f>ROUND(BU19/(BU19+BU20),2)</f>
        <v>#VALUE!</v>
      </c>
      <c r="BX19" s="607" t="s">
        <v>5</v>
      </c>
      <c r="BY19" s="844">
        <f>IF(VLOOKUP($A19,加算等適用状況!$A$14:$O$25,4,FALSE)="○",VLOOKUP($A19,加算等適用状況!$A$14:$O$25,5,FALSE),0)</f>
        <v>0</v>
      </c>
      <c r="BZ19" s="845" t="e">
        <f>VLOOKUP(BY19,加算等適用状況!$E$34:$F$46,2,FALSE)</f>
        <v>#N/A</v>
      </c>
      <c r="CA19" s="845" t="e">
        <f>AH19+AK19+AM19</f>
        <v>#VALUE!</v>
      </c>
      <c r="CB19" s="846">
        <f>BB19+BD19+BE19+BG19</f>
        <v>0</v>
      </c>
      <c r="CC19" s="845" t="e">
        <f>CB19-CA19</f>
        <v>#VALUE!</v>
      </c>
      <c r="CD19" s="845">
        <f>IFERROR(IF(CC19&gt;BY19,BY19,IF(CC19&lt;BZ19,BZ19,CC19)),0)</f>
        <v>0</v>
      </c>
    </row>
    <row r="20" spans="1:82" ht="27" customHeight="1">
      <c r="A20" s="766"/>
      <c r="B20" s="69" t="s">
        <v>71</v>
      </c>
      <c r="C20" s="226">
        <f t="shared" si="12"/>
        <v>0</v>
      </c>
      <c r="D20" s="226">
        <f t="shared" si="13"/>
        <v>0</v>
      </c>
      <c r="E20" s="68"/>
      <c r="F20" s="68"/>
      <c r="G20" s="68"/>
      <c r="H20" s="68"/>
      <c r="I20" s="54"/>
      <c r="J20" s="54"/>
      <c r="K20" s="54"/>
      <c r="L20" s="297"/>
      <c r="M20" s="68"/>
      <c r="N20" s="68"/>
      <c r="O20" s="68"/>
      <c r="P20" s="68"/>
      <c r="Q20" s="54"/>
      <c r="R20" s="54"/>
      <c r="S20" s="54"/>
      <c r="T20" s="300"/>
      <c r="U20" s="55">
        <f>SUM(I20:K20)</f>
        <v>0</v>
      </c>
      <c r="V20" s="763"/>
      <c r="W20" s="55">
        <f>SUM(Q20:S20)</f>
        <v>0</v>
      </c>
      <c r="X20" s="659"/>
      <c r="Y20" s="634">
        <f>IF(C20+C21&lt;=90,1,0)+IF(D20+D21&lt;=90,1,0)</f>
        <v>2</v>
      </c>
      <c r="Z20" s="612"/>
      <c r="AA20" s="614">
        <f>AB19</f>
        <v>0</v>
      </c>
      <c r="AB20" s="612"/>
      <c r="AC20" s="614">
        <f>IF($U20+$U21&gt;0,1,0)+IF($W20+$W21&gt;0,1,0)</f>
        <v>0</v>
      </c>
      <c r="AD20" s="664"/>
      <c r="AE20" s="609"/>
      <c r="AF20" s="775" t="e">
        <f>AG19-AF19</f>
        <v>#VALUE!</v>
      </c>
      <c r="AG20" s="736"/>
      <c r="AH20" s="561"/>
      <c r="AI20" s="482">
        <f>AJ19-AI19</f>
        <v>0</v>
      </c>
      <c r="AJ20" s="564"/>
      <c r="AK20" s="617"/>
      <c r="AL20" s="592"/>
      <c r="AM20" s="592"/>
      <c r="AN20" s="619">
        <f>IFERROR(AM19*(ROUND((U20+U21+W20+W21)/(X19+V19),1)),0)</f>
        <v>0</v>
      </c>
      <c r="AO20" s="561"/>
      <c r="AP20" s="601"/>
      <c r="AQ20" s="601"/>
      <c r="AR20" s="571"/>
      <c r="AS20" s="571"/>
      <c r="AT20" s="571"/>
      <c r="AU20" s="698"/>
      <c r="AV20" s="692"/>
      <c r="AW20" s="702"/>
      <c r="AX20" s="589"/>
      <c r="AY20" s="177"/>
      <c r="BA20" s="569"/>
      <c r="BB20" s="577"/>
      <c r="BC20" s="574" t="e">
        <v>#VALUE!</v>
      </c>
      <c r="BD20" s="567"/>
      <c r="BE20" s="580"/>
      <c r="BF20" s="586" t="e">
        <v>#VALUE!</v>
      </c>
      <c r="BG20" s="583"/>
      <c r="BH20" s="561"/>
      <c r="BI20" s="561"/>
      <c r="BN20" s="597"/>
      <c r="BO20" s="599" t="s">
        <v>120</v>
      </c>
      <c r="BP20" s="594" t="e">
        <f>Y20+AA20+AC20+AF20+AI20+AN20+AR19+AS19+AT19+AV19+AU19+AW19</f>
        <v>#VALUE!</v>
      </c>
      <c r="BQ20" s="603" t="e">
        <f>1-BQ19</f>
        <v>#VALUE!</v>
      </c>
      <c r="BS20" s="597"/>
      <c r="BT20" s="599" t="s">
        <v>120</v>
      </c>
      <c r="BU20" s="816" t="e">
        <f>Y20+AA20+AF20+AC20</f>
        <v>#VALUE!</v>
      </c>
      <c r="BV20" s="603" t="e">
        <f>ROUND(BU20/(BU19+BU20),2)</f>
        <v>#VALUE!</v>
      </c>
      <c r="BX20" s="607"/>
      <c r="BY20" s="844"/>
      <c r="BZ20" s="844"/>
      <c r="CA20" s="844"/>
      <c r="CB20" s="847"/>
      <c r="CC20" s="844"/>
      <c r="CD20" s="844"/>
    </row>
    <row r="21" spans="1:82" ht="27" customHeight="1">
      <c r="A21" s="767"/>
      <c r="B21" s="69" t="s">
        <v>72</v>
      </c>
      <c r="C21" s="226">
        <f t="shared" si="12"/>
        <v>0</v>
      </c>
      <c r="D21" s="226">
        <f t="shared" si="13"/>
        <v>0</v>
      </c>
      <c r="E21" s="54"/>
      <c r="F21" s="54"/>
      <c r="G21" s="54"/>
      <c r="H21" s="68"/>
      <c r="I21" s="68"/>
      <c r="J21" s="68"/>
      <c r="K21" s="68"/>
      <c r="L21" s="298"/>
      <c r="M21" s="54"/>
      <c r="N21" s="54"/>
      <c r="O21" s="54"/>
      <c r="P21" s="68"/>
      <c r="Q21" s="68"/>
      <c r="R21" s="68"/>
      <c r="S21" s="68"/>
      <c r="T21" s="301"/>
      <c r="U21" s="56">
        <f>SUM(E21:F21,G21)</f>
        <v>0</v>
      </c>
      <c r="V21" s="764"/>
      <c r="W21" s="55">
        <f>SUM(M21:N21,O21)</f>
        <v>0</v>
      </c>
      <c r="X21" s="660"/>
      <c r="Y21" s="635"/>
      <c r="Z21" s="613"/>
      <c r="AA21" s="615"/>
      <c r="AB21" s="613"/>
      <c r="AC21" s="615"/>
      <c r="AD21" s="786"/>
      <c r="AE21" s="610"/>
      <c r="AF21" s="776"/>
      <c r="AG21" s="737"/>
      <c r="AH21" s="562"/>
      <c r="AI21" s="485"/>
      <c r="AJ21" s="565"/>
      <c r="AK21" s="618"/>
      <c r="AL21" s="593"/>
      <c r="AM21" s="593"/>
      <c r="AN21" s="620"/>
      <c r="AO21" s="562"/>
      <c r="AP21" s="602"/>
      <c r="AQ21" s="602"/>
      <c r="AR21" s="572"/>
      <c r="AS21" s="572"/>
      <c r="AT21" s="572"/>
      <c r="AU21" s="699"/>
      <c r="AV21" s="693"/>
      <c r="AW21" s="703"/>
      <c r="AX21" s="590"/>
      <c r="AY21" s="177"/>
      <c r="BA21" s="569"/>
      <c r="BB21" s="578"/>
      <c r="BC21" s="575" t="e">
        <v>#VALUE!</v>
      </c>
      <c r="BD21" s="568"/>
      <c r="BE21" s="581"/>
      <c r="BF21" s="587" t="e">
        <v>#VALUE!</v>
      </c>
      <c r="BG21" s="584"/>
      <c r="BH21" s="562"/>
      <c r="BI21" s="562"/>
      <c r="BN21" s="598"/>
      <c r="BO21" s="599"/>
      <c r="BP21" s="595"/>
      <c r="BQ21" s="603"/>
      <c r="BS21" s="598"/>
      <c r="BT21" s="599"/>
      <c r="BU21" s="816"/>
      <c r="BV21" s="603"/>
      <c r="BX21" s="607"/>
      <c r="BY21" s="844"/>
      <c r="BZ21" s="844"/>
      <c r="CA21" s="844"/>
      <c r="CB21" s="845"/>
      <c r="CC21" s="844"/>
      <c r="CD21" s="844"/>
    </row>
    <row r="22" spans="1:82" ht="27" customHeight="1">
      <c r="A22" s="765" t="s">
        <v>331</v>
      </c>
      <c r="B22" s="69" t="s">
        <v>70</v>
      </c>
      <c r="C22" s="225">
        <f t="shared" si="12"/>
        <v>0</v>
      </c>
      <c r="D22" s="225">
        <f t="shared" si="13"/>
        <v>0</v>
      </c>
      <c r="E22" s="68"/>
      <c r="F22" s="68"/>
      <c r="G22" s="68"/>
      <c r="H22" s="54"/>
      <c r="I22" s="196"/>
      <c r="J22" s="54"/>
      <c r="K22" s="54"/>
      <c r="L22" s="297"/>
      <c r="M22" s="68"/>
      <c r="N22" s="68"/>
      <c r="O22" s="68"/>
      <c r="P22" s="54"/>
      <c r="Q22" s="196"/>
      <c r="R22" s="54"/>
      <c r="S22" s="54"/>
      <c r="T22" s="300"/>
      <c r="U22" s="55">
        <f>SUM(H22:K22)</f>
        <v>0</v>
      </c>
      <c r="V22" s="762">
        <f>SUM(U22:U24)</f>
        <v>0</v>
      </c>
      <c r="W22" s="55">
        <f>SUM(P22:S22)</f>
        <v>0</v>
      </c>
      <c r="X22" s="658">
        <f>SUM(W22:W24)</f>
        <v>0</v>
      </c>
      <c r="Y22" s="184"/>
      <c r="Z22" s="611">
        <f t="shared" ref="Z22" si="21">Y23</f>
        <v>2</v>
      </c>
      <c r="AA22" s="344"/>
      <c r="AB22" s="611">
        <f>IF('様式１－１（【本園分】標準時間対応）'!BC17&gt;0,1,0)+IF('様式１－２（【分園分】標準時間対応）'!BC17&gt;0,1,0)</f>
        <v>0</v>
      </c>
      <c r="AC22" s="343">
        <f>IF($U22&gt;0,1,0)+IF($W22&gt;0,1,0)</f>
        <v>0</v>
      </c>
      <c r="AD22" s="663" t="str">
        <f>VLOOKUP($A22,加算等適用状況!$A$14:$O$25,13,FALSE)</f>
        <v/>
      </c>
      <c r="AE22" s="608" t="str">
        <f>VLOOKUP($A22,加算等適用状況!$A$14:$O$25,15,FALSE)</f>
        <v>入力未了</v>
      </c>
      <c r="AF22" s="479">
        <f>参考_歳児別配置基準!Q54</f>
        <v>0</v>
      </c>
      <c r="AG22" s="735" t="str">
        <f>IF(AE22="入力完了",参考_歳児別配置基準!H54,AE22)</f>
        <v>入力未了</v>
      </c>
      <c r="AH22" s="560" t="e">
        <f t="shared" ref="AH22" si="22">Z22+AB22+AC22+AC23+AG22-AD22</f>
        <v>#VALUE!</v>
      </c>
      <c r="AI22" s="484">
        <f>IFERROR(ROUND(((U22+W22)/(U22+W22+U23+W23))*AJ22,1),0)</f>
        <v>0</v>
      </c>
      <c r="AJ22" s="563">
        <f>IF(VLOOKUP($A22,加算等適用状況!$A$14:$O$25,4,FALSE)="○",VLOOKUP($A22,加算等適用状況!$A$14:$O$25,5,FALSE),0)</f>
        <v>0</v>
      </c>
      <c r="AK22" s="616">
        <f>IF(VLOOKUP($A22,加算等適用状況!$A$14:$O$25,11,FALSE)="○",1,0)</f>
        <v>0</v>
      </c>
      <c r="AL22" s="591" t="str">
        <f>VLOOKUP($A22,加算等適用状況!$A$14:$O$25,12,FALSE)</f>
        <v/>
      </c>
      <c r="AM22" s="591">
        <f>IF(AL22="専任",0,1)</f>
        <v>1</v>
      </c>
      <c r="AN22" s="481">
        <f>IFERROR(AM22*(ROUND((U22+W22)/(X22+V22),1)),0)</f>
        <v>0</v>
      </c>
      <c r="AO22" s="560" t="e">
        <f>AH22+CD22+AK22+AM22</f>
        <v>#VALUE!</v>
      </c>
      <c r="AP22" s="600"/>
      <c r="AQ22" s="600"/>
      <c r="AR22" s="570">
        <f t="shared" ref="AR22" si="23">(ROUNDDOWN(F24/4,1)-ROUNDDOWN(F24/5,1))+(ROUNDDOWN(N24/4,1)-ROUNDDOWN(N24/5,1))</f>
        <v>0</v>
      </c>
      <c r="AS22" s="570">
        <f>SUM('様式１－１（【本園分】標準時間対応）'!BA17:BA18)</f>
        <v>0</v>
      </c>
      <c r="AT22" s="570">
        <f>SUM('様式１－２（【分園分】標準時間対応）'!BA17:BA18)</f>
        <v>0</v>
      </c>
      <c r="AU22" s="697">
        <f>2-Z22</f>
        <v>0</v>
      </c>
      <c r="AV22" s="706">
        <f>IF(OR(AND('様式１－１（【本園分】標準時間対応）'!J17&gt;0, '様式１－１（【本園分】標準時間対応）'!R17&gt;0), '様式１－１（【本園分】標準時間対応）'!BC17&gt;=ROUND((C23+C24)*0.3,0)),1,0) + IF(OR(AND('様式１－２（【分園分】標準時間対応）'!J17&gt;0, '様式１－２（【分園分】標準時間対応）'!R17&gt;0), '様式１－２（【分園分】標準時間対応）'!BC17&gt;=ROUND((D23+D24)*0.3,0)),1,0)</f>
        <v>2</v>
      </c>
      <c r="AW22" s="704">
        <f>(ROUNDDOWN(I23/10,1)-ROUNDDOWN(I23/15,1))+(ROUNDDOWN(Q23/10,1)-ROUNDDOWN(Q23/15,1))</f>
        <v>0</v>
      </c>
      <c r="AX22" s="588" t="e">
        <f>SUM(AO22:AW24)</f>
        <v>#VALUE!</v>
      </c>
      <c r="AY22" s="177"/>
      <c r="BA22" s="569"/>
      <c r="BB22" s="576">
        <f>'様式２（専従の常勤）'!L58</f>
        <v>0</v>
      </c>
      <c r="BC22" s="573">
        <f>COUNTIFS('様式３（非専従の常勤＋非常勤）'!$X$9:$X$38,"&gt;=1")+'様式２（専従の常勤）'!L70+'様式２（専従の常勤）'!L84</f>
        <v>0</v>
      </c>
      <c r="BD22" s="566">
        <f>'様式３（非専従の常勤＋非常勤）'!$Y$41</f>
        <v>0</v>
      </c>
      <c r="BE22" s="579"/>
      <c r="BF22" s="585">
        <f>COUNTIFS('様式３（非専従の常勤＋非常勤）'!$X$48:$X$52,"&gt;=1")</f>
        <v>0</v>
      </c>
      <c r="BG22" s="582">
        <f>ROUNDDOWN('様式３（非専従の常勤＋非常勤）'!$X$54,1)</f>
        <v>0</v>
      </c>
      <c r="BH22" s="560">
        <f>BB22+BD22+IF((BE22+BG22)&gt;=CD22,CD22,(BE22+BG22))</f>
        <v>0</v>
      </c>
      <c r="BI22" s="560" t="e">
        <f>BH22-AO22</f>
        <v>#VALUE!</v>
      </c>
      <c r="BN22" s="596" t="s">
        <v>6</v>
      </c>
      <c r="BO22" s="280" t="s">
        <v>70</v>
      </c>
      <c r="BP22" s="281">
        <f>Y22+AA22+AC22+AF22+AI22+AK22+AN22</f>
        <v>0</v>
      </c>
      <c r="BQ22" s="282" t="e">
        <f>ROUND(BP22/(BP22+BP23),2)</f>
        <v>#VALUE!</v>
      </c>
      <c r="BS22" s="596" t="s">
        <v>6</v>
      </c>
      <c r="BT22" s="280" t="s">
        <v>70</v>
      </c>
      <c r="BU22" s="283">
        <f>AC22+AF22</f>
        <v>0</v>
      </c>
      <c r="BV22" s="282" t="e">
        <f>ROUND(BU22/(BU22+BU23),2)</f>
        <v>#VALUE!</v>
      </c>
      <c r="BX22" s="607" t="s">
        <v>6</v>
      </c>
      <c r="BY22" s="844">
        <f>IF(VLOOKUP($A22,加算等適用状況!$A$14:$O$25,4,FALSE)="○",VLOOKUP($A22,加算等適用状況!$A$14:$O$25,5,FALSE),0)</f>
        <v>0</v>
      </c>
      <c r="BZ22" s="845" t="e">
        <f>VLOOKUP(BY22,加算等適用状況!$E$34:$F$46,2,FALSE)</f>
        <v>#N/A</v>
      </c>
      <c r="CA22" s="845" t="e">
        <f>AH22+AK22+AM22</f>
        <v>#VALUE!</v>
      </c>
      <c r="CB22" s="846">
        <f>BB22+BD22+BE22+BG22</f>
        <v>0</v>
      </c>
      <c r="CC22" s="845" t="e">
        <f>CB22-CA22</f>
        <v>#VALUE!</v>
      </c>
      <c r="CD22" s="845">
        <f>IFERROR(IF(CC22&gt;BY22,BY22,IF(CC22&lt;BZ22,BZ22,CC22)),0)</f>
        <v>0</v>
      </c>
    </row>
    <row r="23" spans="1:82" ht="27" customHeight="1">
      <c r="A23" s="766"/>
      <c r="B23" s="69" t="s">
        <v>71</v>
      </c>
      <c r="C23" s="226">
        <f t="shared" si="12"/>
        <v>0</v>
      </c>
      <c r="D23" s="226">
        <f t="shared" si="13"/>
        <v>0</v>
      </c>
      <c r="E23" s="68"/>
      <c r="F23" s="68"/>
      <c r="G23" s="68"/>
      <c r="H23" s="68"/>
      <c r="I23" s="54"/>
      <c r="J23" s="54"/>
      <c r="K23" s="54"/>
      <c r="L23" s="297"/>
      <c r="M23" s="68"/>
      <c r="N23" s="68"/>
      <c r="O23" s="68"/>
      <c r="P23" s="68"/>
      <c r="Q23" s="54"/>
      <c r="R23" s="54"/>
      <c r="S23" s="54"/>
      <c r="T23" s="300"/>
      <c r="U23" s="55">
        <f>SUM(I23:K23)</f>
        <v>0</v>
      </c>
      <c r="V23" s="763"/>
      <c r="W23" s="55">
        <f>SUM(Q23:S23)</f>
        <v>0</v>
      </c>
      <c r="X23" s="659"/>
      <c r="Y23" s="634">
        <f>IF(C23+C24&lt;=90,1,0)+IF(D23+D24&lt;=90,1,0)</f>
        <v>2</v>
      </c>
      <c r="Z23" s="612"/>
      <c r="AA23" s="614">
        <f>AB22</f>
        <v>0</v>
      </c>
      <c r="AB23" s="612"/>
      <c r="AC23" s="614">
        <f>IF($U23+$U24&gt;0,1,0)+IF($W23+$W24&gt;0,1,0)</f>
        <v>0</v>
      </c>
      <c r="AD23" s="664"/>
      <c r="AE23" s="609"/>
      <c r="AF23" s="775" t="e">
        <f>AG22-AF22</f>
        <v>#VALUE!</v>
      </c>
      <c r="AG23" s="736"/>
      <c r="AH23" s="561"/>
      <c r="AI23" s="482">
        <f>AJ22-AI22</f>
        <v>0</v>
      </c>
      <c r="AJ23" s="564"/>
      <c r="AK23" s="617"/>
      <c r="AL23" s="592"/>
      <c r="AM23" s="592"/>
      <c r="AN23" s="619">
        <f>IFERROR(AM22*(ROUND((U23+U24+W23+W24)/(X22+V22),1)),0)</f>
        <v>0</v>
      </c>
      <c r="AO23" s="561"/>
      <c r="AP23" s="601"/>
      <c r="AQ23" s="601"/>
      <c r="AR23" s="571"/>
      <c r="AS23" s="571"/>
      <c r="AT23" s="571"/>
      <c r="AU23" s="698"/>
      <c r="AV23" s="692"/>
      <c r="AW23" s="702"/>
      <c r="AX23" s="589"/>
      <c r="AY23" s="177"/>
      <c r="BA23" s="569"/>
      <c r="BB23" s="577"/>
      <c r="BC23" s="574" t="e">
        <v>#VALUE!</v>
      </c>
      <c r="BD23" s="567"/>
      <c r="BE23" s="580"/>
      <c r="BF23" s="586" t="e">
        <v>#VALUE!</v>
      </c>
      <c r="BG23" s="583"/>
      <c r="BH23" s="561"/>
      <c r="BI23" s="561"/>
      <c r="BN23" s="597"/>
      <c r="BO23" s="599" t="s">
        <v>120</v>
      </c>
      <c r="BP23" s="594" t="e">
        <f>Y23+AA23+AC23+AF23+AI23+AN23+AR22+AS22+AT22+AV22+AU22+AW22</f>
        <v>#VALUE!</v>
      </c>
      <c r="BQ23" s="603" t="e">
        <f>1-BQ22</f>
        <v>#VALUE!</v>
      </c>
      <c r="BS23" s="597"/>
      <c r="BT23" s="599" t="s">
        <v>120</v>
      </c>
      <c r="BU23" s="816" t="e">
        <f>Y23+AA23+AF23+AC23</f>
        <v>#VALUE!</v>
      </c>
      <c r="BV23" s="603" t="e">
        <f>ROUND(BU23/(BU22+BU23),2)</f>
        <v>#VALUE!</v>
      </c>
      <c r="BX23" s="607"/>
      <c r="BY23" s="844"/>
      <c r="BZ23" s="844"/>
      <c r="CA23" s="844"/>
      <c r="CB23" s="847"/>
      <c r="CC23" s="844"/>
      <c r="CD23" s="844"/>
    </row>
    <row r="24" spans="1:82" ht="27" customHeight="1">
      <c r="A24" s="767"/>
      <c r="B24" s="69" t="s">
        <v>72</v>
      </c>
      <c r="C24" s="226">
        <f t="shared" si="12"/>
        <v>0</v>
      </c>
      <c r="D24" s="226">
        <f t="shared" si="13"/>
        <v>0</v>
      </c>
      <c r="E24" s="54"/>
      <c r="F24" s="54"/>
      <c r="G24" s="54"/>
      <c r="H24" s="68"/>
      <c r="I24" s="68"/>
      <c r="J24" s="68"/>
      <c r="K24" s="68"/>
      <c r="L24" s="298"/>
      <c r="M24" s="54"/>
      <c r="N24" s="54"/>
      <c r="O24" s="54"/>
      <c r="P24" s="68"/>
      <c r="Q24" s="68"/>
      <c r="R24" s="68"/>
      <c r="S24" s="68"/>
      <c r="T24" s="301"/>
      <c r="U24" s="56">
        <f>SUM(E24:F24,G24)</f>
        <v>0</v>
      </c>
      <c r="V24" s="764"/>
      <c r="W24" s="55">
        <f>SUM(M24:N24,O24)</f>
        <v>0</v>
      </c>
      <c r="X24" s="660"/>
      <c r="Y24" s="635"/>
      <c r="Z24" s="613"/>
      <c r="AA24" s="615"/>
      <c r="AB24" s="613"/>
      <c r="AC24" s="615"/>
      <c r="AD24" s="786"/>
      <c r="AE24" s="610"/>
      <c r="AF24" s="776"/>
      <c r="AG24" s="737"/>
      <c r="AH24" s="562"/>
      <c r="AI24" s="485"/>
      <c r="AJ24" s="565"/>
      <c r="AK24" s="618"/>
      <c r="AL24" s="593"/>
      <c r="AM24" s="593"/>
      <c r="AN24" s="620"/>
      <c r="AO24" s="562"/>
      <c r="AP24" s="602"/>
      <c r="AQ24" s="602"/>
      <c r="AR24" s="572"/>
      <c r="AS24" s="572"/>
      <c r="AT24" s="572"/>
      <c r="AU24" s="699"/>
      <c r="AV24" s="693"/>
      <c r="AW24" s="703"/>
      <c r="AX24" s="590"/>
      <c r="AY24" s="177"/>
      <c r="BA24" s="569"/>
      <c r="BB24" s="578"/>
      <c r="BC24" s="575" t="e">
        <v>#VALUE!</v>
      </c>
      <c r="BD24" s="568"/>
      <c r="BE24" s="581"/>
      <c r="BF24" s="587" t="e">
        <v>#VALUE!</v>
      </c>
      <c r="BG24" s="584"/>
      <c r="BH24" s="562"/>
      <c r="BI24" s="562"/>
      <c r="BN24" s="598"/>
      <c r="BO24" s="599"/>
      <c r="BP24" s="595"/>
      <c r="BQ24" s="603"/>
      <c r="BS24" s="598"/>
      <c r="BT24" s="599"/>
      <c r="BU24" s="816"/>
      <c r="BV24" s="603"/>
      <c r="BX24" s="607"/>
      <c r="BY24" s="844"/>
      <c r="BZ24" s="844"/>
      <c r="CA24" s="844"/>
      <c r="CB24" s="845"/>
      <c r="CC24" s="844"/>
      <c r="CD24" s="844"/>
    </row>
    <row r="25" spans="1:82" ht="27" customHeight="1">
      <c r="A25" s="765" t="s">
        <v>332</v>
      </c>
      <c r="B25" s="69" t="s">
        <v>70</v>
      </c>
      <c r="C25" s="225">
        <f t="shared" si="12"/>
        <v>0</v>
      </c>
      <c r="D25" s="225">
        <f t="shared" si="13"/>
        <v>0</v>
      </c>
      <c r="E25" s="68"/>
      <c r="F25" s="68"/>
      <c r="G25" s="68"/>
      <c r="H25" s="54"/>
      <c r="I25" s="196"/>
      <c r="J25" s="54"/>
      <c r="K25" s="54"/>
      <c r="L25" s="297"/>
      <c r="M25" s="68"/>
      <c r="N25" s="68"/>
      <c r="O25" s="68"/>
      <c r="P25" s="54"/>
      <c r="Q25" s="196"/>
      <c r="R25" s="54"/>
      <c r="S25" s="54"/>
      <c r="T25" s="300"/>
      <c r="U25" s="55">
        <f>SUM(H25:K25)</f>
        <v>0</v>
      </c>
      <c r="V25" s="762">
        <f>SUM(U25:U27)</f>
        <v>0</v>
      </c>
      <c r="W25" s="55">
        <f>SUM(P25:S25)</f>
        <v>0</v>
      </c>
      <c r="X25" s="658">
        <f>SUM(W25:W27)</f>
        <v>0</v>
      </c>
      <c r="Y25" s="184"/>
      <c r="Z25" s="611">
        <f t="shared" ref="Z25" si="24">Y26</f>
        <v>2</v>
      </c>
      <c r="AA25" s="344"/>
      <c r="AB25" s="611">
        <f>IF('様式１－１（【本園分】標準時間対応）'!BC19&gt;0,1,0)+IF('様式１－２（【分園分】標準時間対応）'!BC19&gt;0,1,0)</f>
        <v>0</v>
      </c>
      <c r="AC25" s="343">
        <f>IF($U25&gt;0,1,0)+IF($W25&gt;0,1,0)</f>
        <v>0</v>
      </c>
      <c r="AD25" s="663" t="str">
        <f>VLOOKUP($A25,加算等適用状況!$A$14:$O$25,13,FALSE)</f>
        <v/>
      </c>
      <c r="AE25" s="608" t="str">
        <f>VLOOKUP($A25,加算等適用状況!$A$14:$O$25,15,FALSE)</f>
        <v>入力未了</v>
      </c>
      <c r="AF25" s="479">
        <f>参考_歳児別配置基準!Q64</f>
        <v>0</v>
      </c>
      <c r="AG25" s="735" t="str">
        <f>IF(AE25="入力完了",参考_歳児別配置基準!H64,AE25)</f>
        <v>入力未了</v>
      </c>
      <c r="AH25" s="560" t="e">
        <f t="shared" ref="AH25" si="25">Z25+AB25+AC25+AC26+AG25-AD25</f>
        <v>#VALUE!</v>
      </c>
      <c r="AI25" s="484">
        <f>IFERROR(ROUND(((U25+W25)/(U25+W25+U26+W26))*AJ25,1),0)</f>
        <v>0</v>
      </c>
      <c r="AJ25" s="563">
        <f>IF(VLOOKUP($A25,加算等適用状況!$A$14:$O$25,4,FALSE)="○",VLOOKUP($A25,加算等適用状況!$A$14:$O$25,5,FALSE),0)</f>
        <v>0</v>
      </c>
      <c r="AK25" s="616">
        <f>IF(VLOOKUP($A25,加算等適用状況!$A$14:$O$25,11,FALSE)="○",1,0)</f>
        <v>0</v>
      </c>
      <c r="AL25" s="591" t="str">
        <f>VLOOKUP($A25,加算等適用状況!$A$14:$O$25,12,FALSE)</f>
        <v/>
      </c>
      <c r="AM25" s="591">
        <f>IF(AL25="専任",0,1)</f>
        <v>1</v>
      </c>
      <c r="AN25" s="481">
        <f>IFERROR(AM25*(ROUND((U25+W25)/(X25+V25),1)),0)</f>
        <v>0</v>
      </c>
      <c r="AO25" s="560" t="e">
        <f>AH25+CD25+AK25+AM25</f>
        <v>#VALUE!</v>
      </c>
      <c r="AP25" s="600"/>
      <c r="AQ25" s="600"/>
      <c r="AR25" s="570">
        <f t="shared" ref="AR25" si="26">(ROUNDDOWN(F27/4,1)-ROUNDDOWN(F27/5,1))+(ROUNDDOWN(N27/4,1)-ROUNDDOWN(N27/5,1))</f>
        <v>0</v>
      </c>
      <c r="AS25" s="570">
        <f>SUM('様式１－１（【本園分】標準時間対応）'!BA19:BA20)</f>
        <v>0</v>
      </c>
      <c r="AT25" s="570">
        <f>SUM('様式１－２（【分園分】標準時間対応）'!BA19:BA20)</f>
        <v>0</v>
      </c>
      <c r="AU25" s="697">
        <f>2-Z25</f>
        <v>0</v>
      </c>
      <c r="AV25" s="706">
        <f>IF(OR(AND('様式１－１（【本園分】標準時間対応）'!J19&gt;0, '様式１－１（【本園分】標準時間対応）'!R19&gt;0), '様式１－１（【本園分】標準時間対応）'!BC19&gt;=ROUND((C26+C27)*0.3,0)),1,0) + IF(OR(AND('様式１－２（【分園分】標準時間対応）'!J19&gt;0, '様式１－２（【分園分】標準時間対応）'!R19&gt;0), '様式１－２（【分園分】標準時間対応）'!BC19&gt;=ROUND((D26+D27)*0.3,0)),1,0)</f>
        <v>2</v>
      </c>
      <c r="AW25" s="704">
        <f>(ROUNDDOWN(I26/10,1)-ROUNDDOWN(I26/15,1))+(ROUNDDOWN(Q26/10,1)-ROUNDDOWN(Q26/15,1))</f>
        <v>0</v>
      </c>
      <c r="AX25" s="588" t="e">
        <f>SUM(AO25:AW27)</f>
        <v>#VALUE!</v>
      </c>
      <c r="AY25" s="177"/>
      <c r="BA25" s="569"/>
      <c r="BB25" s="576">
        <f>'様式２（専従の常勤）'!M58</f>
        <v>0</v>
      </c>
      <c r="BC25" s="573">
        <f>COUNTIFS('様式３（非専従の常勤＋非常勤）'!$Z$9:$Z$38,"&gt;=1")+'様式２（専従の常勤）'!M70+'様式２（専従の常勤）'!M84</f>
        <v>0</v>
      </c>
      <c r="BD25" s="566">
        <f>'様式３（非専従の常勤＋非常勤）'!$AA$41</f>
        <v>0</v>
      </c>
      <c r="BE25" s="579"/>
      <c r="BF25" s="585">
        <f>COUNTIFS('様式３（非専従の常勤＋非常勤）'!$Z$48:$Z$52,"&gt;=1")</f>
        <v>0</v>
      </c>
      <c r="BG25" s="582">
        <f>ROUNDDOWN('様式３（非専従の常勤＋非常勤）'!$Z$54,1)</f>
        <v>0</v>
      </c>
      <c r="BH25" s="560">
        <f>BB25+BD25+IF((BE25+BG25)&gt;=CD25,CD25,(BE25+BG25))</f>
        <v>0</v>
      </c>
      <c r="BI25" s="560" t="e">
        <f>BH25-AO25</f>
        <v>#VALUE!</v>
      </c>
      <c r="BN25" s="596" t="s">
        <v>7</v>
      </c>
      <c r="BO25" s="280" t="s">
        <v>70</v>
      </c>
      <c r="BP25" s="281">
        <f>Y25+AA25+AC25+AF25+AI25+AK25+AN25</f>
        <v>0</v>
      </c>
      <c r="BQ25" s="282" t="e">
        <f>ROUND(BP25/(BP25+BP26),2)</f>
        <v>#VALUE!</v>
      </c>
      <c r="BS25" s="596" t="s">
        <v>7</v>
      </c>
      <c r="BT25" s="280" t="s">
        <v>70</v>
      </c>
      <c r="BU25" s="283">
        <f>AC25+AF25</f>
        <v>0</v>
      </c>
      <c r="BV25" s="282" t="e">
        <f>ROUND(BU25/(BU25+BU26),2)</f>
        <v>#VALUE!</v>
      </c>
      <c r="BX25" s="607" t="s">
        <v>7</v>
      </c>
      <c r="BY25" s="844">
        <f>IF(VLOOKUP($A25,加算等適用状況!$A$14:$O$25,4,FALSE)="○",VLOOKUP($A25,加算等適用状況!$A$14:$O$25,5,FALSE),0)</f>
        <v>0</v>
      </c>
      <c r="BZ25" s="845" t="e">
        <f>VLOOKUP(BY25,加算等適用状況!$E$34:$F$46,2,FALSE)</f>
        <v>#N/A</v>
      </c>
      <c r="CA25" s="845" t="e">
        <f>AH25+AK25+AM25</f>
        <v>#VALUE!</v>
      </c>
      <c r="CB25" s="846">
        <f>BB25+BD25+BE25+BG25</f>
        <v>0</v>
      </c>
      <c r="CC25" s="845" t="e">
        <f>CB25-CA25</f>
        <v>#VALUE!</v>
      </c>
      <c r="CD25" s="845">
        <f>IFERROR(IF(CC25&gt;BY25,BY25,IF(CC25&lt;BZ25,BZ25,CC25)),0)</f>
        <v>0</v>
      </c>
    </row>
    <row r="26" spans="1:82" ht="27" customHeight="1">
      <c r="A26" s="766"/>
      <c r="B26" s="69" t="s">
        <v>71</v>
      </c>
      <c r="C26" s="226">
        <f t="shared" si="12"/>
        <v>0</v>
      </c>
      <c r="D26" s="226">
        <f t="shared" si="13"/>
        <v>0</v>
      </c>
      <c r="E26" s="68"/>
      <c r="F26" s="68"/>
      <c r="G26" s="68"/>
      <c r="H26" s="68"/>
      <c r="I26" s="54"/>
      <c r="J26" s="54"/>
      <c r="K26" s="54"/>
      <c r="L26" s="297"/>
      <c r="M26" s="68"/>
      <c r="N26" s="68"/>
      <c r="O26" s="68"/>
      <c r="P26" s="68"/>
      <c r="Q26" s="54"/>
      <c r="R26" s="54"/>
      <c r="S26" s="54"/>
      <c r="T26" s="300"/>
      <c r="U26" s="55">
        <f>SUM(I26:K26)</f>
        <v>0</v>
      </c>
      <c r="V26" s="763"/>
      <c r="W26" s="55">
        <f>SUM(Q26:S26)</f>
        <v>0</v>
      </c>
      <c r="X26" s="659"/>
      <c r="Y26" s="634">
        <f>IF(C26+C27&lt;=90,1,0)+IF(D26+D27&lt;=90,1,0)</f>
        <v>2</v>
      </c>
      <c r="Z26" s="612"/>
      <c r="AA26" s="614">
        <f>AB25</f>
        <v>0</v>
      </c>
      <c r="AB26" s="612"/>
      <c r="AC26" s="614">
        <f>IF($U26+$U27&gt;0,1,0)+IF($W26+$W27&gt;0,1,0)</f>
        <v>0</v>
      </c>
      <c r="AD26" s="664"/>
      <c r="AE26" s="609"/>
      <c r="AF26" s="775" t="e">
        <f>AG25-AF25</f>
        <v>#VALUE!</v>
      </c>
      <c r="AG26" s="736"/>
      <c r="AH26" s="561"/>
      <c r="AI26" s="482">
        <f>AJ25-AI25</f>
        <v>0</v>
      </c>
      <c r="AJ26" s="564"/>
      <c r="AK26" s="617"/>
      <c r="AL26" s="592"/>
      <c r="AM26" s="592"/>
      <c r="AN26" s="619">
        <f>IFERROR(AM25*(ROUND((U26+U27+W26+W27)/(X25+V25),1)),0)</f>
        <v>0</v>
      </c>
      <c r="AO26" s="561"/>
      <c r="AP26" s="601"/>
      <c r="AQ26" s="601"/>
      <c r="AR26" s="571"/>
      <c r="AS26" s="571"/>
      <c r="AT26" s="571"/>
      <c r="AU26" s="698"/>
      <c r="AV26" s="692"/>
      <c r="AW26" s="702"/>
      <c r="AX26" s="589"/>
      <c r="AY26" s="177"/>
      <c r="BA26" s="569"/>
      <c r="BB26" s="577"/>
      <c r="BC26" s="574" t="e">
        <v>#VALUE!</v>
      </c>
      <c r="BD26" s="567"/>
      <c r="BE26" s="580"/>
      <c r="BF26" s="586" t="e">
        <v>#VALUE!</v>
      </c>
      <c r="BG26" s="583"/>
      <c r="BH26" s="561"/>
      <c r="BI26" s="561"/>
      <c r="BN26" s="597"/>
      <c r="BO26" s="599" t="s">
        <v>120</v>
      </c>
      <c r="BP26" s="594" t="e">
        <f>Y26+AA26+AC26+AF26+AI26+AN26+AR25+AS25+AT25+AV25+AU25+AW25</f>
        <v>#VALUE!</v>
      </c>
      <c r="BQ26" s="603" t="e">
        <f>1-BQ25</f>
        <v>#VALUE!</v>
      </c>
      <c r="BS26" s="597"/>
      <c r="BT26" s="599" t="s">
        <v>120</v>
      </c>
      <c r="BU26" s="816" t="e">
        <f>Y26+AA26+AF26+AC26</f>
        <v>#VALUE!</v>
      </c>
      <c r="BV26" s="603" t="e">
        <f t="shared" ref="BV26" si="27">ROUND(BU26/(BU25+BU26),2)</f>
        <v>#VALUE!</v>
      </c>
      <c r="BX26" s="607"/>
      <c r="BY26" s="844"/>
      <c r="BZ26" s="844"/>
      <c r="CA26" s="844"/>
      <c r="CB26" s="847"/>
      <c r="CC26" s="844"/>
      <c r="CD26" s="844"/>
    </row>
    <row r="27" spans="1:82" ht="27" customHeight="1">
      <c r="A27" s="767"/>
      <c r="B27" s="69" t="s">
        <v>72</v>
      </c>
      <c r="C27" s="226">
        <f t="shared" si="12"/>
        <v>0</v>
      </c>
      <c r="D27" s="226">
        <f t="shared" si="13"/>
        <v>0</v>
      </c>
      <c r="E27" s="54"/>
      <c r="F27" s="54"/>
      <c r="G27" s="54"/>
      <c r="H27" s="68"/>
      <c r="I27" s="68"/>
      <c r="J27" s="68"/>
      <c r="K27" s="68"/>
      <c r="L27" s="297"/>
      <c r="M27" s="54"/>
      <c r="N27" s="54"/>
      <c r="O27" s="54"/>
      <c r="P27" s="68"/>
      <c r="Q27" s="68"/>
      <c r="R27" s="68"/>
      <c r="S27" s="68"/>
      <c r="T27" s="300"/>
      <c r="U27" s="55">
        <f>SUM(E27:F27,G27)</f>
        <v>0</v>
      </c>
      <c r="V27" s="764"/>
      <c r="W27" s="55">
        <f>SUM(M27:N27,O27)</f>
        <v>0</v>
      </c>
      <c r="X27" s="660"/>
      <c r="Y27" s="635"/>
      <c r="Z27" s="613"/>
      <c r="AA27" s="615"/>
      <c r="AB27" s="613"/>
      <c r="AC27" s="615"/>
      <c r="AD27" s="786"/>
      <c r="AE27" s="610"/>
      <c r="AF27" s="776"/>
      <c r="AG27" s="737"/>
      <c r="AH27" s="562"/>
      <c r="AI27" s="485"/>
      <c r="AJ27" s="565"/>
      <c r="AK27" s="618"/>
      <c r="AL27" s="593"/>
      <c r="AM27" s="593"/>
      <c r="AN27" s="620"/>
      <c r="AO27" s="562"/>
      <c r="AP27" s="602"/>
      <c r="AQ27" s="602"/>
      <c r="AR27" s="572"/>
      <c r="AS27" s="572"/>
      <c r="AT27" s="572"/>
      <c r="AU27" s="699"/>
      <c r="AV27" s="693"/>
      <c r="AW27" s="703"/>
      <c r="AX27" s="590"/>
      <c r="AY27" s="177"/>
      <c r="BA27" s="569"/>
      <c r="BB27" s="578"/>
      <c r="BC27" s="575" t="e">
        <v>#VALUE!</v>
      </c>
      <c r="BD27" s="568"/>
      <c r="BE27" s="581"/>
      <c r="BF27" s="587" t="e">
        <v>#VALUE!</v>
      </c>
      <c r="BG27" s="584"/>
      <c r="BH27" s="562"/>
      <c r="BI27" s="562"/>
      <c r="BN27" s="598"/>
      <c r="BO27" s="599"/>
      <c r="BP27" s="595"/>
      <c r="BQ27" s="603"/>
      <c r="BS27" s="598"/>
      <c r="BT27" s="599"/>
      <c r="BU27" s="816"/>
      <c r="BV27" s="603"/>
      <c r="BX27" s="607"/>
      <c r="BY27" s="844"/>
      <c r="BZ27" s="844"/>
      <c r="CA27" s="844"/>
      <c r="CB27" s="845"/>
      <c r="CC27" s="844"/>
      <c r="CD27" s="844"/>
    </row>
    <row r="28" spans="1:82" ht="27" customHeight="1">
      <c r="A28" s="765" t="s">
        <v>333</v>
      </c>
      <c r="B28" s="69" t="s">
        <v>70</v>
      </c>
      <c r="C28" s="225">
        <f t="shared" si="12"/>
        <v>0</v>
      </c>
      <c r="D28" s="225">
        <f t="shared" si="13"/>
        <v>0</v>
      </c>
      <c r="E28" s="68"/>
      <c r="F28" s="68"/>
      <c r="G28" s="68"/>
      <c r="H28" s="54"/>
      <c r="I28" s="196"/>
      <c r="J28" s="54"/>
      <c r="K28" s="54"/>
      <c r="L28" s="297"/>
      <c r="M28" s="68"/>
      <c r="N28" s="68"/>
      <c r="O28" s="68"/>
      <c r="P28" s="54"/>
      <c r="Q28" s="196"/>
      <c r="R28" s="54"/>
      <c r="S28" s="54"/>
      <c r="T28" s="300"/>
      <c r="U28" s="55">
        <f>SUM(H28:K28)</f>
        <v>0</v>
      </c>
      <c r="V28" s="762">
        <f>SUM(U28:U30)</f>
        <v>0</v>
      </c>
      <c r="W28" s="55">
        <f>SUM(P28:S28)</f>
        <v>0</v>
      </c>
      <c r="X28" s="658">
        <f>SUM(W28:W30)</f>
        <v>0</v>
      </c>
      <c r="Y28" s="184"/>
      <c r="Z28" s="611">
        <f t="shared" ref="Z28" si="28">Y29</f>
        <v>2</v>
      </c>
      <c r="AA28" s="344"/>
      <c r="AB28" s="611">
        <f>IF('様式１－１（【本園分】標準時間対応）'!BC21&gt;0,1,0)+IF('様式１－２（【分園分】標準時間対応）'!BC21&gt;0,1,0)</f>
        <v>0</v>
      </c>
      <c r="AC28" s="343">
        <f>IF($U28&gt;0,1,0)+IF($W28&gt;0,1,0)</f>
        <v>0</v>
      </c>
      <c r="AD28" s="663" t="str">
        <f>VLOOKUP($A28,加算等適用状況!$A$14:$O$25,13,FALSE)</f>
        <v/>
      </c>
      <c r="AE28" s="608" t="str">
        <f>VLOOKUP($A28,加算等適用状況!$A$14:$O$25,15,FALSE)</f>
        <v>入力未了</v>
      </c>
      <c r="AF28" s="479">
        <f>参考_歳児別配置基準!Q74</f>
        <v>0</v>
      </c>
      <c r="AG28" s="735" t="str">
        <f>IF(AE28="入力完了",参考_歳児別配置基準!H74,AE28)</f>
        <v>入力未了</v>
      </c>
      <c r="AH28" s="560" t="e">
        <f t="shared" ref="AH28" si="29">Z28+AB28+AC28+AC29+AG28-AD28</f>
        <v>#VALUE!</v>
      </c>
      <c r="AI28" s="484">
        <f>IFERROR(ROUND(((U28+W28)/(U28+W28+U29+W29))*AJ28,1),0)</f>
        <v>0</v>
      </c>
      <c r="AJ28" s="563">
        <f>IF(VLOOKUP($A28,加算等適用状況!$A$14:$O$25,4,FALSE)="○",VLOOKUP($A28,加算等適用状況!$A$14:$O$25,5,FALSE),0)</f>
        <v>0</v>
      </c>
      <c r="AK28" s="616">
        <f>IF(VLOOKUP($A28,加算等適用状況!$A$14:$O$25,11,FALSE)="○",1,0)</f>
        <v>0</v>
      </c>
      <c r="AL28" s="591" t="str">
        <f>VLOOKUP($A28,加算等適用状況!$A$14:$O$25,12,FALSE)</f>
        <v/>
      </c>
      <c r="AM28" s="591">
        <f>IF(AL28="専任",0,1)</f>
        <v>1</v>
      </c>
      <c r="AN28" s="481">
        <f>IFERROR(AM28*(ROUND((U28+W28)/(X28+V28),1)),0)</f>
        <v>0</v>
      </c>
      <c r="AO28" s="560" t="e">
        <f>AH28+CD28+AK28+AM28</f>
        <v>#VALUE!</v>
      </c>
      <c r="AP28" s="600"/>
      <c r="AQ28" s="600"/>
      <c r="AR28" s="570">
        <f t="shared" ref="AR28" si="30">(ROUNDDOWN(F30/4,1)-ROUNDDOWN(F30/5,1))+(ROUNDDOWN(N30/4,1)-ROUNDDOWN(N30/5,1))</f>
        <v>0</v>
      </c>
      <c r="AS28" s="570">
        <f>SUM('様式１－１（【本園分】標準時間対応）'!BA21:BA22)</f>
        <v>0</v>
      </c>
      <c r="AT28" s="570">
        <f>SUM('様式１－２（【分園分】標準時間対応）'!BA21:BA22)</f>
        <v>0</v>
      </c>
      <c r="AU28" s="697">
        <f>2-Z28</f>
        <v>0</v>
      </c>
      <c r="AV28" s="706">
        <f>IF(OR(AND('様式１－１（【本園分】標準時間対応）'!J21&gt;0, '様式１－１（【本園分】標準時間対応）'!R21&gt;0), '様式１－１（【本園分】標準時間対応）'!BC21&gt;=ROUND((C29+C30)*0.3,0)),1,0) + IF(OR(AND('様式１－２（【分園分】標準時間対応）'!J21&gt;0, '様式１－２（【分園分】標準時間対応）'!R21&gt;0), '様式１－２（【分園分】標準時間対応）'!BC21&gt;=ROUND((D29+D30)*0.3,0)),1,0)</f>
        <v>2</v>
      </c>
      <c r="AW28" s="704">
        <f>(ROUNDDOWN(I29/10,1)-ROUNDDOWN(I29/15,1))+(ROUNDDOWN(Q29/10,1)-ROUNDDOWN(Q29/15,1))</f>
        <v>0</v>
      </c>
      <c r="AX28" s="588" t="e">
        <f>SUM(AO28:AW30)</f>
        <v>#VALUE!</v>
      </c>
      <c r="AY28" s="177"/>
      <c r="BA28" s="569"/>
      <c r="BB28" s="576">
        <f>'様式２（専従の常勤）'!N58</f>
        <v>0</v>
      </c>
      <c r="BC28" s="573">
        <f>COUNTIFS('様式３（非専従の常勤＋非常勤）'!$AB$9:$AB$38,"&gt;=1")+'様式２（専従の常勤）'!N70+'様式２（専従の常勤）'!N84</f>
        <v>0</v>
      </c>
      <c r="BD28" s="566">
        <f>'様式３（非専従の常勤＋非常勤）'!$AC$41</f>
        <v>0</v>
      </c>
      <c r="BE28" s="579"/>
      <c r="BF28" s="585">
        <f>COUNTIFS('様式３（非専従の常勤＋非常勤）'!$AB$48:$AB$52,"&gt;=1")</f>
        <v>0</v>
      </c>
      <c r="BG28" s="582">
        <f>ROUNDDOWN('様式３（非専従の常勤＋非常勤）'!$AB$54,1)</f>
        <v>0</v>
      </c>
      <c r="BH28" s="560">
        <f>BB28+BD28+IF((BE28+BG28)&gt;=CD28,CD28,(BE28+BG28))</f>
        <v>0</v>
      </c>
      <c r="BI28" s="560" t="e">
        <f>BH28-AO28</f>
        <v>#VALUE!</v>
      </c>
      <c r="BN28" s="596" t="s">
        <v>8</v>
      </c>
      <c r="BO28" s="280" t="s">
        <v>70</v>
      </c>
      <c r="BP28" s="281">
        <f>Y28+AA28+AC28+AF28+AI28+AK28+AN28</f>
        <v>0</v>
      </c>
      <c r="BQ28" s="282" t="e">
        <f>ROUND(BP28/(BP28+BP29),2)</f>
        <v>#VALUE!</v>
      </c>
      <c r="BS28" s="596" t="s">
        <v>8</v>
      </c>
      <c r="BT28" s="280" t="s">
        <v>70</v>
      </c>
      <c r="BU28" s="283">
        <f>AC28+AF28</f>
        <v>0</v>
      </c>
      <c r="BV28" s="282" t="e">
        <f>ROUND(BU28/(BU28+BU29),2)</f>
        <v>#VALUE!</v>
      </c>
      <c r="BX28" s="607" t="s">
        <v>8</v>
      </c>
      <c r="BY28" s="844">
        <f>IF(VLOOKUP($A28,加算等適用状況!$A$14:$O$25,4,FALSE)="○",VLOOKUP($A28,加算等適用状況!$A$14:$O$25,5,FALSE),0)</f>
        <v>0</v>
      </c>
      <c r="BZ28" s="845" t="e">
        <f>VLOOKUP(BY28,加算等適用状況!$E$34:$F$46,2,FALSE)</f>
        <v>#N/A</v>
      </c>
      <c r="CA28" s="845" t="e">
        <f>AH28+AK28+AM28</f>
        <v>#VALUE!</v>
      </c>
      <c r="CB28" s="846">
        <f>BB28+BD28+BE28+BG28</f>
        <v>0</v>
      </c>
      <c r="CC28" s="845" t="e">
        <f>CB28-CA28</f>
        <v>#VALUE!</v>
      </c>
      <c r="CD28" s="845">
        <f>IFERROR(IF(CC28&gt;BY28,BY28,IF(CC28&lt;BZ28,BZ28,CC28)),0)</f>
        <v>0</v>
      </c>
    </row>
    <row r="29" spans="1:82" ht="27" customHeight="1">
      <c r="A29" s="766"/>
      <c r="B29" s="69" t="s">
        <v>71</v>
      </c>
      <c r="C29" s="226">
        <f t="shared" si="12"/>
        <v>0</v>
      </c>
      <c r="D29" s="226">
        <f t="shared" si="13"/>
        <v>0</v>
      </c>
      <c r="E29" s="68"/>
      <c r="F29" s="68"/>
      <c r="G29" s="68"/>
      <c r="H29" s="68"/>
      <c r="I29" s="54"/>
      <c r="J29" s="54"/>
      <c r="K29" s="54"/>
      <c r="L29" s="297"/>
      <c r="M29" s="68"/>
      <c r="N29" s="68"/>
      <c r="O29" s="68"/>
      <c r="P29" s="68"/>
      <c r="Q29" s="54"/>
      <c r="R29" s="54"/>
      <c r="S29" s="54"/>
      <c r="T29" s="300"/>
      <c r="U29" s="55">
        <f>SUM(I29:K29)</f>
        <v>0</v>
      </c>
      <c r="V29" s="763"/>
      <c r="W29" s="55">
        <f>SUM(Q29:S29)</f>
        <v>0</v>
      </c>
      <c r="X29" s="659"/>
      <c r="Y29" s="634">
        <f>IF(C29+C30&lt;=90,1,0)+IF(D29+D30&lt;=90,1,0)</f>
        <v>2</v>
      </c>
      <c r="Z29" s="612"/>
      <c r="AA29" s="614">
        <f>AB28</f>
        <v>0</v>
      </c>
      <c r="AB29" s="612"/>
      <c r="AC29" s="614">
        <f>IF($U29+$U30&gt;0,1,0)+IF($W29+$W30&gt;0,1,0)</f>
        <v>0</v>
      </c>
      <c r="AD29" s="664"/>
      <c r="AE29" s="609"/>
      <c r="AF29" s="775" t="e">
        <f>AG28-AF28</f>
        <v>#VALUE!</v>
      </c>
      <c r="AG29" s="736"/>
      <c r="AH29" s="561"/>
      <c r="AI29" s="482">
        <f>AJ28-AI28</f>
        <v>0</v>
      </c>
      <c r="AJ29" s="564"/>
      <c r="AK29" s="617"/>
      <c r="AL29" s="592"/>
      <c r="AM29" s="592"/>
      <c r="AN29" s="619">
        <f>IFERROR(AM28*(ROUND((U29+U30+W29+W30)/(X28+V28),1)),0)</f>
        <v>0</v>
      </c>
      <c r="AO29" s="561"/>
      <c r="AP29" s="601"/>
      <c r="AQ29" s="601"/>
      <c r="AR29" s="571"/>
      <c r="AS29" s="571"/>
      <c r="AT29" s="571"/>
      <c r="AU29" s="698"/>
      <c r="AV29" s="692"/>
      <c r="AW29" s="702"/>
      <c r="AX29" s="589"/>
      <c r="AY29" s="177"/>
      <c r="BA29" s="569"/>
      <c r="BB29" s="577"/>
      <c r="BC29" s="574" t="e">
        <v>#VALUE!</v>
      </c>
      <c r="BD29" s="567"/>
      <c r="BE29" s="580"/>
      <c r="BF29" s="586" t="e">
        <v>#VALUE!</v>
      </c>
      <c r="BG29" s="583"/>
      <c r="BH29" s="561"/>
      <c r="BI29" s="561"/>
      <c r="BN29" s="597"/>
      <c r="BO29" s="599" t="s">
        <v>120</v>
      </c>
      <c r="BP29" s="594" t="e">
        <f>Y29+AA29+AC29+AF29+AI29+AN29+AR28+AS28+AT28+AV28+AU28+AW28</f>
        <v>#VALUE!</v>
      </c>
      <c r="BQ29" s="603" t="e">
        <f>1-BQ28</f>
        <v>#VALUE!</v>
      </c>
      <c r="BS29" s="597"/>
      <c r="BT29" s="599" t="s">
        <v>120</v>
      </c>
      <c r="BU29" s="816" t="e">
        <f>Y29+AA29+AF29+AC29</f>
        <v>#VALUE!</v>
      </c>
      <c r="BV29" s="603" t="e">
        <f t="shared" ref="BV29" si="31">ROUND(BU29/(BU28+BU29),2)</f>
        <v>#VALUE!</v>
      </c>
      <c r="BX29" s="607"/>
      <c r="BY29" s="844"/>
      <c r="BZ29" s="844"/>
      <c r="CA29" s="844"/>
      <c r="CB29" s="847"/>
      <c r="CC29" s="844"/>
      <c r="CD29" s="844"/>
    </row>
    <row r="30" spans="1:82" ht="27" customHeight="1">
      <c r="A30" s="767"/>
      <c r="B30" s="69" t="s">
        <v>72</v>
      </c>
      <c r="C30" s="226">
        <f t="shared" si="12"/>
        <v>0</v>
      </c>
      <c r="D30" s="226">
        <f t="shared" si="13"/>
        <v>0</v>
      </c>
      <c r="E30" s="54"/>
      <c r="F30" s="54"/>
      <c r="G30" s="54"/>
      <c r="H30" s="68"/>
      <c r="I30" s="68"/>
      <c r="J30" s="68"/>
      <c r="K30" s="68"/>
      <c r="L30" s="297"/>
      <c r="M30" s="54"/>
      <c r="N30" s="54"/>
      <c r="O30" s="54"/>
      <c r="P30" s="68"/>
      <c r="Q30" s="68"/>
      <c r="R30" s="68"/>
      <c r="S30" s="68"/>
      <c r="T30" s="300"/>
      <c r="U30" s="55">
        <f>SUM(E30:F30,G30)</f>
        <v>0</v>
      </c>
      <c r="V30" s="764"/>
      <c r="W30" s="55">
        <f>SUM(M30:N30,O30)</f>
        <v>0</v>
      </c>
      <c r="X30" s="660"/>
      <c r="Y30" s="635"/>
      <c r="Z30" s="613"/>
      <c r="AA30" s="615"/>
      <c r="AB30" s="613"/>
      <c r="AC30" s="615"/>
      <c r="AD30" s="786"/>
      <c r="AE30" s="610"/>
      <c r="AF30" s="776"/>
      <c r="AG30" s="737"/>
      <c r="AH30" s="562"/>
      <c r="AI30" s="485"/>
      <c r="AJ30" s="565"/>
      <c r="AK30" s="618"/>
      <c r="AL30" s="593"/>
      <c r="AM30" s="593"/>
      <c r="AN30" s="620"/>
      <c r="AO30" s="562"/>
      <c r="AP30" s="602"/>
      <c r="AQ30" s="602"/>
      <c r="AR30" s="572"/>
      <c r="AS30" s="572"/>
      <c r="AT30" s="572"/>
      <c r="AU30" s="699"/>
      <c r="AV30" s="693"/>
      <c r="AW30" s="703"/>
      <c r="AX30" s="590"/>
      <c r="AY30" s="177"/>
      <c r="BA30" s="569"/>
      <c r="BB30" s="578"/>
      <c r="BC30" s="575" t="e">
        <v>#VALUE!</v>
      </c>
      <c r="BD30" s="568"/>
      <c r="BE30" s="581"/>
      <c r="BF30" s="587" t="e">
        <v>#VALUE!</v>
      </c>
      <c r="BG30" s="584"/>
      <c r="BH30" s="562"/>
      <c r="BI30" s="562"/>
      <c r="BN30" s="598"/>
      <c r="BO30" s="599"/>
      <c r="BP30" s="595"/>
      <c r="BQ30" s="603"/>
      <c r="BS30" s="598"/>
      <c r="BT30" s="599"/>
      <c r="BU30" s="816"/>
      <c r="BV30" s="603"/>
      <c r="BX30" s="607"/>
      <c r="BY30" s="844"/>
      <c r="BZ30" s="844"/>
      <c r="CA30" s="844"/>
      <c r="CB30" s="845"/>
      <c r="CC30" s="844"/>
      <c r="CD30" s="844"/>
    </row>
    <row r="31" spans="1:82" ht="27" customHeight="1">
      <c r="A31" s="765" t="s">
        <v>334</v>
      </c>
      <c r="B31" s="69" t="s">
        <v>70</v>
      </c>
      <c r="C31" s="225">
        <f t="shared" si="12"/>
        <v>0</v>
      </c>
      <c r="D31" s="225">
        <f t="shared" si="13"/>
        <v>0</v>
      </c>
      <c r="E31" s="68"/>
      <c r="F31" s="68"/>
      <c r="G31" s="68"/>
      <c r="H31" s="54"/>
      <c r="I31" s="196"/>
      <c r="J31" s="54"/>
      <c r="K31" s="54"/>
      <c r="L31" s="297"/>
      <c r="M31" s="68"/>
      <c r="N31" s="68"/>
      <c r="O31" s="68"/>
      <c r="P31" s="54"/>
      <c r="Q31" s="196"/>
      <c r="R31" s="54"/>
      <c r="S31" s="54"/>
      <c r="T31" s="300"/>
      <c r="U31" s="55">
        <f>SUM(H31:K31)</f>
        <v>0</v>
      </c>
      <c r="V31" s="762">
        <f>SUM(U31:U33)</f>
        <v>0</v>
      </c>
      <c r="W31" s="55">
        <f>SUM(P31:S31)</f>
        <v>0</v>
      </c>
      <c r="X31" s="658">
        <f>SUM(W31:W33)</f>
        <v>0</v>
      </c>
      <c r="Y31" s="184"/>
      <c r="Z31" s="611">
        <f t="shared" ref="Z31" si="32">Y32</f>
        <v>2</v>
      </c>
      <c r="AA31" s="344"/>
      <c r="AB31" s="611">
        <f>IF('様式１－１（【本園分】標準時間対応）'!BC23&gt;0,1,0)+IF('様式１－２（【分園分】標準時間対応）'!BC23&gt;0,1,0)</f>
        <v>0</v>
      </c>
      <c r="AC31" s="343">
        <f>IF($U31&gt;0,1,0)+IF($W31&gt;0,1,0)</f>
        <v>0</v>
      </c>
      <c r="AD31" s="663" t="str">
        <f>VLOOKUP($A31,加算等適用状況!$A$14:$O$25,13,FALSE)</f>
        <v/>
      </c>
      <c r="AE31" s="608" t="str">
        <f>VLOOKUP($A31,加算等適用状況!$A$14:$O$25,15,FALSE)</f>
        <v>入力未了</v>
      </c>
      <c r="AF31" s="479">
        <f>参考_歳児別配置基準!Q84</f>
        <v>0</v>
      </c>
      <c r="AG31" s="735" t="str">
        <f>IF(AE31="入力完了",参考_歳児別配置基準!H84,AE31)</f>
        <v>入力未了</v>
      </c>
      <c r="AH31" s="560" t="e">
        <f t="shared" ref="AH31" si="33">Z31+AB31+AC31+AC32+AG31-AD31</f>
        <v>#VALUE!</v>
      </c>
      <c r="AI31" s="484">
        <f>IFERROR(ROUND(((U31+W31)/(U31+W31+U32+W32))*AJ31,1),0)</f>
        <v>0</v>
      </c>
      <c r="AJ31" s="563">
        <f>IF(VLOOKUP($A31,加算等適用状況!$A$14:$O$25,4,FALSE)="○",VLOOKUP($A31,加算等適用状況!$A$14:$O$25,5,FALSE),0)</f>
        <v>0</v>
      </c>
      <c r="AK31" s="616">
        <f>IF(VLOOKUP($A31,加算等適用状況!$A$14:$O$25,11,FALSE)="○",1,0)</f>
        <v>0</v>
      </c>
      <c r="AL31" s="591" t="str">
        <f>VLOOKUP($A31,加算等適用状況!$A$14:$O$25,12,FALSE)</f>
        <v/>
      </c>
      <c r="AM31" s="591">
        <f>IF(AL31="専任",0,1)</f>
        <v>1</v>
      </c>
      <c r="AN31" s="481">
        <f>IFERROR(AM31*(ROUND((U31+W31)/(X31+V31),1)),0)</f>
        <v>0</v>
      </c>
      <c r="AO31" s="560" t="e">
        <f>AH31+CD31+AK31+AM31</f>
        <v>#VALUE!</v>
      </c>
      <c r="AP31" s="600"/>
      <c r="AQ31" s="600"/>
      <c r="AR31" s="570">
        <f t="shared" ref="AR31" si="34">(ROUNDDOWN(F33/4,1)-ROUNDDOWN(F33/5,1))+(ROUNDDOWN(N33/4,1)-ROUNDDOWN(N33/5,1))</f>
        <v>0</v>
      </c>
      <c r="AS31" s="570">
        <f>SUM('様式１－１（【本園分】標準時間対応）'!BA23:BA24)</f>
        <v>0</v>
      </c>
      <c r="AT31" s="570">
        <f>SUM('様式１－２（【分園分】標準時間対応）'!BA23:BA24)</f>
        <v>0</v>
      </c>
      <c r="AU31" s="697">
        <f>2-Z31</f>
        <v>0</v>
      </c>
      <c r="AV31" s="706">
        <f>IF(OR(AND('様式１－１（【本園分】標準時間対応）'!J23&gt;0, '様式１－１（【本園分】標準時間対応）'!R23&gt;0), '様式１－１（【本園分】標準時間対応）'!BC23&gt;=ROUND((C32+C33)*0.3,0)),1,0) + IF(OR(AND('様式１－２（【分園分】標準時間対応）'!J23&gt;0, '様式１－２（【分園分】標準時間対応）'!R23&gt;0), '様式１－２（【分園分】標準時間対応）'!BC23&gt;=ROUND((D32+D33)*0.3,0)),1,0)</f>
        <v>2</v>
      </c>
      <c r="AW31" s="704">
        <f>(ROUNDDOWN(I32/10,1)-ROUNDDOWN(I32/15,1))+(ROUNDDOWN(Q32/10,1)-ROUNDDOWN(Q32/15,1))</f>
        <v>0</v>
      </c>
      <c r="AX31" s="588" t="e">
        <f>SUM(AO31:AW33)</f>
        <v>#VALUE!</v>
      </c>
      <c r="AY31" s="177"/>
      <c r="BA31" s="569"/>
      <c r="BB31" s="576">
        <f>'様式２（専従の常勤）'!O58</f>
        <v>0</v>
      </c>
      <c r="BC31" s="573">
        <f>COUNTIFS('様式３（非専従の常勤＋非常勤）'!$AD$9:$AD$38,"&gt;=1")+'様式２（専従の常勤）'!O70+'様式２（専従の常勤）'!O84</f>
        <v>0</v>
      </c>
      <c r="BD31" s="566">
        <f>'様式３（非専従の常勤＋非常勤）'!$AE$41</f>
        <v>0</v>
      </c>
      <c r="BE31" s="579"/>
      <c r="BF31" s="585">
        <f>COUNTIFS('様式３（非専従の常勤＋非常勤）'!$AD$48:$AD$52,"&gt;=1")</f>
        <v>0</v>
      </c>
      <c r="BG31" s="582">
        <f>ROUNDDOWN('様式３（非専従の常勤＋非常勤）'!$AD$54,1)</f>
        <v>0</v>
      </c>
      <c r="BH31" s="560">
        <f>BB31+BD31+IF((BE31+BG31)&gt;=CD31,CD31,(BE31+BG31))</f>
        <v>0</v>
      </c>
      <c r="BI31" s="560" t="e">
        <f>BH31-AO31</f>
        <v>#VALUE!</v>
      </c>
      <c r="BN31" s="596" t="s">
        <v>9</v>
      </c>
      <c r="BO31" s="280" t="s">
        <v>70</v>
      </c>
      <c r="BP31" s="281">
        <f>Y31+AA31+AC31+AF31+AI31+AK31+AN31</f>
        <v>0</v>
      </c>
      <c r="BQ31" s="282" t="e">
        <f>ROUND(BP31/(BP31+BP32),2)</f>
        <v>#VALUE!</v>
      </c>
      <c r="BS31" s="596" t="s">
        <v>9</v>
      </c>
      <c r="BT31" s="280" t="s">
        <v>70</v>
      </c>
      <c r="BU31" s="283">
        <f>AC31+AF31</f>
        <v>0</v>
      </c>
      <c r="BV31" s="282" t="e">
        <f t="shared" ref="BV31" si="35">ROUND(BU31/(BU31+BU32),2)</f>
        <v>#VALUE!</v>
      </c>
      <c r="BX31" s="607" t="s">
        <v>9</v>
      </c>
      <c r="BY31" s="844">
        <f>IF(VLOOKUP($A31,加算等適用状況!$A$14:$O$25,4,FALSE)="○",VLOOKUP($A31,加算等適用状況!$A$14:$O$25,5,FALSE),0)</f>
        <v>0</v>
      </c>
      <c r="BZ31" s="845" t="e">
        <f>VLOOKUP(BY31,加算等適用状況!$E$34:$F$46,2,FALSE)</f>
        <v>#N/A</v>
      </c>
      <c r="CA31" s="845" t="e">
        <f>AH31+AK31+AM31</f>
        <v>#VALUE!</v>
      </c>
      <c r="CB31" s="846">
        <f>BB31+BD31+BE31+BG31</f>
        <v>0</v>
      </c>
      <c r="CC31" s="845" t="e">
        <f>CB31-CA31</f>
        <v>#VALUE!</v>
      </c>
      <c r="CD31" s="845">
        <f>IFERROR(IF(CC31&gt;BY31,BY31,IF(CC31&lt;BZ31,BZ31,CC31)),0)</f>
        <v>0</v>
      </c>
    </row>
    <row r="32" spans="1:82" ht="27" customHeight="1">
      <c r="A32" s="766"/>
      <c r="B32" s="69" t="s">
        <v>71</v>
      </c>
      <c r="C32" s="226">
        <f t="shared" si="12"/>
        <v>0</v>
      </c>
      <c r="D32" s="226">
        <f t="shared" si="13"/>
        <v>0</v>
      </c>
      <c r="E32" s="68"/>
      <c r="F32" s="68"/>
      <c r="G32" s="68"/>
      <c r="H32" s="68"/>
      <c r="I32" s="54"/>
      <c r="J32" s="54"/>
      <c r="K32" s="54"/>
      <c r="L32" s="297"/>
      <c r="M32" s="68"/>
      <c r="N32" s="68"/>
      <c r="O32" s="68"/>
      <c r="P32" s="68"/>
      <c r="Q32" s="54"/>
      <c r="R32" s="54"/>
      <c r="S32" s="54"/>
      <c r="T32" s="300"/>
      <c r="U32" s="55">
        <f>SUM(I32:K32)</f>
        <v>0</v>
      </c>
      <c r="V32" s="763"/>
      <c r="W32" s="55">
        <f>SUM(Q32:S32)</f>
        <v>0</v>
      </c>
      <c r="X32" s="659"/>
      <c r="Y32" s="634">
        <f>IF(C32+C33&lt;=90,1,0)+IF(D32+D33&lt;=90,1,0)</f>
        <v>2</v>
      </c>
      <c r="Z32" s="612"/>
      <c r="AA32" s="614">
        <f>AB31</f>
        <v>0</v>
      </c>
      <c r="AB32" s="612"/>
      <c r="AC32" s="614">
        <f>IF($U32+$U33&gt;0,1,0)+IF($W32+$W33&gt;0,1,0)</f>
        <v>0</v>
      </c>
      <c r="AD32" s="664"/>
      <c r="AE32" s="609"/>
      <c r="AF32" s="775" t="e">
        <f>AG31-AF31</f>
        <v>#VALUE!</v>
      </c>
      <c r="AG32" s="736"/>
      <c r="AH32" s="561"/>
      <c r="AI32" s="482">
        <f>AJ31-AI31</f>
        <v>0</v>
      </c>
      <c r="AJ32" s="564"/>
      <c r="AK32" s="617"/>
      <c r="AL32" s="592"/>
      <c r="AM32" s="592"/>
      <c r="AN32" s="619">
        <f>IFERROR(AM31*(ROUND((U32+U33+W32+W33)/(X31+V31),1)),0)</f>
        <v>0</v>
      </c>
      <c r="AO32" s="561"/>
      <c r="AP32" s="601"/>
      <c r="AQ32" s="601"/>
      <c r="AR32" s="571"/>
      <c r="AS32" s="571"/>
      <c r="AT32" s="571"/>
      <c r="AU32" s="698"/>
      <c r="AV32" s="692"/>
      <c r="AW32" s="702"/>
      <c r="AX32" s="589"/>
      <c r="AY32" s="177"/>
      <c r="BA32" s="569"/>
      <c r="BB32" s="577"/>
      <c r="BC32" s="574" t="e">
        <v>#VALUE!</v>
      </c>
      <c r="BD32" s="567"/>
      <c r="BE32" s="580"/>
      <c r="BF32" s="586" t="e">
        <v>#VALUE!</v>
      </c>
      <c r="BG32" s="583"/>
      <c r="BH32" s="561"/>
      <c r="BI32" s="561"/>
      <c r="BN32" s="597"/>
      <c r="BO32" s="599" t="s">
        <v>120</v>
      </c>
      <c r="BP32" s="594" t="e">
        <f>Y32+AA32+AC32+AF32+AI32+AN32+AR31+AS31+AT31+AV31+AU31+AW31</f>
        <v>#VALUE!</v>
      </c>
      <c r="BQ32" s="603" t="e">
        <f>1-BQ31</f>
        <v>#VALUE!</v>
      </c>
      <c r="BS32" s="597"/>
      <c r="BT32" s="599" t="s">
        <v>120</v>
      </c>
      <c r="BU32" s="816" t="e">
        <f>Y32+AA32+AF32+AC32</f>
        <v>#VALUE!</v>
      </c>
      <c r="BV32" s="603" t="e">
        <f t="shared" ref="BV32" si="36">ROUND(BU32/(BU31+BU32),2)</f>
        <v>#VALUE!</v>
      </c>
      <c r="BX32" s="607"/>
      <c r="BY32" s="844"/>
      <c r="BZ32" s="844"/>
      <c r="CA32" s="844"/>
      <c r="CB32" s="847"/>
      <c r="CC32" s="844"/>
      <c r="CD32" s="844"/>
    </row>
    <row r="33" spans="1:82" ht="27" customHeight="1">
      <c r="A33" s="767"/>
      <c r="B33" s="69" t="s">
        <v>72</v>
      </c>
      <c r="C33" s="226">
        <f t="shared" si="12"/>
        <v>0</v>
      </c>
      <c r="D33" s="226">
        <f t="shared" si="13"/>
        <v>0</v>
      </c>
      <c r="E33" s="54"/>
      <c r="F33" s="54"/>
      <c r="G33" s="54"/>
      <c r="H33" s="68"/>
      <c r="I33" s="68"/>
      <c r="J33" s="68"/>
      <c r="K33" s="68"/>
      <c r="L33" s="297"/>
      <c r="M33" s="54"/>
      <c r="N33" s="54"/>
      <c r="O33" s="54"/>
      <c r="P33" s="68"/>
      <c r="Q33" s="68"/>
      <c r="R33" s="68"/>
      <c r="S33" s="68"/>
      <c r="T33" s="300"/>
      <c r="U33" s="55">
        <f>SUM(E33:F33,G33)</f>
        <v>0</v>
      </c>
      <c r="V33" s="764"/>
      <c r="W33" s="55">
        <f>SUM(M33:N33,O33)</f>
        <v>0</v>
      </c>
      <c r="X33" s="660"/>
      <c r="Y33" s="635"/>
      <c r="Z33" s="613"/>
      <c r="AA33" s="615"/>
      <c r="AB33" s="613"/>
      <c r="AC33" s="615"/>
      <c r="AD33" s="786"/>
      <c r="AE33" s="610"/>
      <c r="AF33" s="776"/>
      <c r="AG33" s="737"/>
      <c r="AH33" s="562"/>
      <c r="AI33" s="485"/>
      <c r="AJ33" s="565"/>
      <c r="AK33" s="618"/>
      <c r="AL33" s="593"/>
      <c r="AM33" s="593"/>
      <c r="AN33" s="620"/>
      <c r="AO33" s="562"/>
      <c r="AP33" s="602"/>
      <c r="AQ33" s="602"/>
      <c r="AR33" s="572"/>
      <c r="AS33" s="572"/>
      <c r="AT33" s="572"/>
      <c r="AU33" s="699"/>
      <c r="AV33" s="693"/>
      <c r="AW33" s="703"/>
      <c r="AX33" s="590"/>
      <c r="AY33" s="177"/>
      <c r="BA33" s="569"/>
      <c r="BB33" s="578"/>
      <c r="BC33" s="575" t="e">
        <v>#VALUE!</v>
      </c>
      <c r="BD33" s="568"/>
      <c r="BE33" s="581"/>
      <c r="BF33" s="587" t="e">
        <v>#VALUE!</v>
      </c>
      <c r="BG33" s="584"/>
      <c r="BH33" s="562"/>
      <c r="BI33" s="562"/>
      <c r="BN33" s="598"/>
      <c r="BO33" s="599"/>
      <c r="BP33" s="595"/>
      <c r="BQ33" s="603"/>
      <c r="BS33" s="598"/>
      <c r="BT33" s="599"/>
      <c r="BU33" s="816"/>
      <c r="BV33" s="603"/>
      <c r="BX33" s="607"/>
      <c r="BY33" s="844"/>
      <c r="BZ33" s="844"/>
      <c r="CA33" s="844"/>
      <c r="CB33" s="845"/>
      <c r="CC33" s="844"/>
      <c r="CD33" s="844"/>
    </row>
    <row r="34" spans="1:82" ht="27" customHeight="1">
      <c r="A34" s="765" t="s">
        <v>335</v>
      </c>
      <c r="B34" s="69" t="s">
        <v>70</v>
      </c>
      <c r="C34" s="225">
        <f t="shared" si="12"/>
        <v>0</v>
      </c>
      <c r="D34" s="225">
        <f t="shared" si="13"/>
        <v>0</v>
      </c>
      <c r="E34" s="68"/>
      <c r="F34" s="68"/>
      <c r="G34" s="68"/>
      <c r="H34" s="54"/>
      <c r="I34" s="196"/>
      <c r="J34" s="54"/>
      <c r="K34" s="54"/>
      <c r="L34" s="297"/>
      <c r="M34" s="68"/>
      <c r="N34" s="68"/>
      <c r="O34" s="68"/>
      <c r="P34" s="54"/>
      <c r="Q34" s="196"/>
      <c r="R34" s="54"/>
      <c r="S34" s="54"/>
      <c r="T34" s="300"/>
      <c r="U34" s="55">
        <f>SUM(H34:K34)</f>
        <v>0</v>
      </c>
      <c r="V34" s="762">
        <f>SUM(U34:U36)</f>
        <v>0</v>
      </c>
      <c r="W34" s="55">
        <f>SUM(P34:S34)</f>
        <v>0</v>
      </c>
      <c r="X34" s="658">
        <f>SUM(W34:W36)</f>
        <v>0</v>
      </c>
      <c r="Y34" s="184"/>
      <c r="Z34" s="611">
        <f t="shared" ref="Z34" si="37">Y35</f>
        <v>2</v>
      </c>
      <c r="AA34" s="344"/>
      <c r="AB34" s="611">
        <f>IF('様式１－１（【本園分】標準時間対応）'!BC25&gt;0,1,0)+IF('様式１－２（【分園分】標準時間対応）'!BC25&gt;0,1,0)</f>
        <v>0</v>
      </c>
      <c r="AC34" s="343">
        <f>IF($U34&gt;0,1,0)+IF($W34&gt;0,1,0)</f>
        <v>0</v>
      </c>
      <c r="AD34" s="663" t="str">
        <f>VLOOKUP($A34,加算等適用状況!$A$14:$O$25,13,FALSE)</f>
        <v/>
      </c>
      <c r="AE34" s="608" t="str">
        <f>VLOOKUP($A34,加算等適用状況!$A$14:$O$25,15,FALSE)</f>
        <v>入力未了</v>
      </c>
      <c r="AF34" s="479">
        <f>参考_歳児別配置基準!Q94</f>
        <v>0</v>
      </c>
      <c r="AG34" s="735" t="str">
        <f>IF(AE34="入力完了",参考_歳児別配置基準!H94,AE34)</f>
        <v>入力未了</v>
      </c>
      <c r="AH34" s="560" t="e">
        <f t="shared" ref="AH34" si="38">Z34+AB34+AC34+AC35+AG34-AD34</f>
        <v>#VALUE!</v>
      </c>
      <c r="AI34" s="484">
        <f>IFERROR(ROUND(((U34+W34)/(U34+W34+U35+W35))*AJ34,1),0)</f>
        <v>0</v>
      </c>
      <c r="AJ34" s="563">
        <f>IF(VLOOKUP($A34,加算等適用状況!$A$14:$O$25,4,FALSE)="○",VLOOKUP($A34,加算等適用状況!$A$14:$O$25,5,FALSE),0)</f>
        <v>0</v>
      </c>
      <c r="AK34" s="616">
        <f>IF(VLOOKUP($A34,加算等適用状況!$A$14:$O$25,11,FALSE)="○",1,0)</f>
        <v>0</v>
      </c>
      <c r="AL34" s="591" t="str">
        <f>VLOOKUP($A34,加算等適用状況!$A$14:$O$25,12,FALSE)</f>
        <v/>
      </c>
      <c r="AM34" s="591">
        <f>IF(AL34="専任",0,1)</f>
        <v>1</v>
      </c>
      <c r="AN34" s="481">
        <f>IFERROR(AM34*(ROUND((U34+W34)/(X34+V34),1)),0)</f>
        <v>0</v>
      </c>
      <c r="AO34" s="560" t="e">
        <f>AH34+CD34+AK34+AM34</f>
        <v>#VALUE!</v>
      </c>
      <c r="AP34" s="600"/>
      <c r="AQ34" s="600"/>
      <c r="AR34" s="570">
        <f t="shared" ref="AR34" si="39">(ROUNDDOWN(F36/4,1)-ROUNDDOWN(F36/5,1))+(ROUNDDOWN(N36/4,1)-ROUNDDOWN(N36/5,1))</f>
        <v>0</v>
      </c>
      <c r="AS34" s="570">
        <f>SUM('様式１－１（【本園分】標準時間対応）'!BA25:BA26)</f>
        <v>0</v>
      </c>
      <c r="AT34" s="570">
        <f>SUM('様式１－２（【分園分】標準時間対応）'!BA25:BA26)</f>
        <v>0</v>
      </c>
      <c r="AU34" s="697">
        <f>2-Z34</f>
        <v>0</v>
      </c>
      <c r="AV34" s="706">
        <f>IF(OR(AND('様式１－１（【本園分】標準時間対応）'!J25&gt;0, '様式１－１（【本園分】標準時間対応）'!R25&gt;0), '様式１－１（【本園分】標準時間対応）'!BC25&gt;=ROUND((C35+C36)*0.3,0)),1,0) + IF(OR(AND('様式１－２（【分園分】標準時間対応）'!J25&gt;0, '様式１－２（【分園分】標準時間対応）'!R25&gt;0), '様式１－２（【分園分】標準時間対応）'!BC25&gt;=ROUND((D35+D36)*0.3,0)),1,0)</f>
        <v>2</v>
      </c>
      <c r="AW34" s="704">
        <f>(ROUNDDOWN(I35/10,1)-ROUNDDOWN(I35/15,1))+(ROUNDDOWN(Q35/10,1)-ROUNDDOWN(Q35/15,1))</f>
        <v>0</v>
      </c>
      <c r="AX34" s="588" t="e">
        <f>SUM(AO34:AW36)</f>
        <v>#VALUE!</v>
      </c>
      <c r="AY34" s="177"/>
      <c r="BA34" s="569"/>
      <c r="BB34" s="576">
        <f>'様式２（専従の常勤）'!P58</f>
        <v>0</v>
      </c>
      <c r="BC34" s="573">
        <f>COUNTIFS('様式３（非専従の常勤＋非常勤）'!$AF$9:$AF$38,"&gt;=1")+'様式２（専従の常勤）'!P70+'様式２（専従の常勤）'!P84</f>
        <v>0</v>
      </c>
      <c r="BD34" s="566">
        <f>'様式３（非専従の常勤＋非常勤）'!$AG$41</f>
        <v>0</v>
      </c>
      <c r="BE34" s="579"/>
      <c r="BF34" s="585">
        <f>COUNTIFS('様式３（非専従の常勤＋非常勤）'!$AF$48:$AF$52,"&gt;=1")</f>
        <v>0</v>
      </c>
      <c r="BG34" s="582">
        <f>ROUNDDOWN('様式３（非専従の常勤＋非常勤）'!$AF$54,1)</f>
        <v>0</v>
      </c>
      <c r="BH34" s="560">
        <f>BB34+BD34+IF((BE34+BG34)&gt;=CD34,CD34,(BE34+BG34))</f>
        <v>0</v>
      </c>
      <c r="BI34" s="560" t="e">
        <f>BH34-AO34</f>
        <v>#VALUE!</v>
      </c>
      <c r="BN34" s="596" t="s">
        <v>12</v>
      </c>
      <c r="BO34" s="280" t="s">
        <v>70</v>
      </c>
      <c r="BP34" s="281">
        <f>Y34+AA34+AC34+AF34+AI34+AK34+AN34</f>
        <v>0</v>
      </c>
      <c r="BQ34" s="282" t="e">
        <f>ROUND(BP34/(BP34+BP35),2)</f>
        <v>#VALUE!</v>
      </c>
      <c r="BS34" s="596" t="s">
        <v>12</v>
      </c>
      <c r="BT34" s="280" t="s">
        <v>70</v>
      </c>
      <c r="BU34" s="283">
        <f>AC34+AF34</f>
        <v>0</v>
      </c>
      <c r="BV34" s="282" t="e">
        <f t="shared" ref="BV34" si="40">ROUND(BU34/(BU34+BU35),2)</f>
        <v>#VALUE!</v>
      </c>
      <c r="BX34" s="607" t="s">
        <v>12</v>
      </c>
      <c r="BY34" s="844">
        <f>IF(VLOOKUP($A34,加算等適用状況!$A$14:$O$25,4,FALSE)="○",VLOOKUP($A34,加算等適用状況!$A$14:$O$25,5,FALSE),0)</f>
        <v>0</v>
      </c>
      <c r="BZ34" s="845" t="e">
        <f>VLOOKUP(BY34,加算等適用状況!$E$34:$F$46,2,FALSE)</f>
        <v>#N/A</v>
      </c>
      <c r="CA34" s="845" t="e">
        <f>AH34+AK34+AM34</f>
        <v>#VALUE!</v>
      </c>
      <c r="CB34" s="846">
        <f>BB34+BD34+BE34+BG34</f>
        <v>0</v>
      </c>
      <c r="CC34" s="845" t="e">
        <f>CB34-CA34</f>
        <v>#VALUE!</v>
      </c>
      <c r="CD34" s="845">
        <f>IFERROR(IF(CC34&gt;BY34,BY34,IF(CC34&lt;BZ34,BZ34,CC34)),0)</f>
        <v>0</v>
      </c>
    </row>
    <row r="35" spans="1:82" ht="27" customHeight="1">
      <c r="A35" s="766"/>
      <c r="B35" s="69" t="s">
        <v>71</v>
      </c>
      <c r="C35" s="226">
        <f t="shared" si="12"/>
        <v>0</v>
      </c>
      <c r="D35" s="226">
        <f t="shared" si="13"/>
        <v>0</v>
      </c>
      <c r="E35" s="68"/>
      <c r="F35" s="68"/>
      <c r="G35" s="68"/>
      <c r="H35" s="68"/>
      <c r="I35" s="54"/>
      <c r="J35" s="54"/>
      <c r="K35" s="54"/>
      <c r="L35" s="297"/>
      <c r="M35" s="68"/>
      <c r="N35" s="68"/>
      <c r="O35" s="68"/>
      <c r="P35" s="68"/>
      <c r="Q35" s="54"/>
      <c r="R35" s="54"/>
      <c r="S35" s="54"/>
      <c r="T35" s="300"/>
      <c r="U35" s="55">
        <f>SUM(I35:K35)</f>
        <v>0</v>
      </c>
      <c r="V35" s="763"/>
      <c r="W35" s="55">
        <f>SUM(Q35:S35)</f>
        <v>0</v>
      </c>
      <c r="X35" s="659"/>
      <c r="Y35" s="634">
        <f>IF(C35+C36&lt;=90,1,0)+IF(D35+D36&lt;=90,1,0)</f>
        <v>2</v>
      </c>
      <c r="Z35" s="612"/>
      <c r="AA35" s="614">
        <f>AB34</f>
        <v>0</v>
      </c>
      <c r="AB35" s="612"/>
      <c r="AC35" s="614">
        <f>IF($U35+$U36&gt;0,1,0)+IF($W35+$W36&gt;0,1,0)</f>
        <v>0</v>
      </c>
      <c r="AD35" s="664"/>
      <c r="AE35" s="609"/>
      <c r="AF35" s="775" t="e">
        <f>AG34-AF34</f>
        <v>#VALUE!</v>
      </c>
      <c r="AG35" s="736"/>
      <c r="AH35" s="561"/>
      <c r="AI35" s="482">
        <f>AJ34-AI34</f>
        <v>0</v>
      </c>
      <c r="AJ35" s="564"/>
      <c r="AK35" s="617"/>
      <c r="AL35" s="592"/>
      <c r="AM35" s="592"/>
      <c r="AN35" s="619">
        <f>IFERROR(AM34*(ROUND((U35+U36+W35+W36)/(X34+V34),1)),0)</f>
        <v>0</v>
      </c>
      <c r="AO35" s="561"/>
      <c r="AP35" s="601"/>
      <c r="AQ35" s="601"/>
      <c r="AR35" s="571"/>
      <c r="AS35" s="571"/>
      <c r="AT35" s="571"/>
      <c r="AU35" s="698"/>
      <c r="AV35" s="692"/>
      <c r="AW35" s="702"/>
      <c r="AX35" s="589"/>
      <c r="AY35" s="177"/>
      <c r="BA35" s="569"/>
      <c r="BB35" s="577"/>
      <c r="BC35" s="574" t="e">
        <v>#VALUE!</v>
      </c>
      <c r="BD35" s="567"/>
      <c r="BE35" s="580"/>
      <c r="BF35" s="586" t="e">
        <v>#VALUE!</v>
      </c>
      <c r="BG35" s="583"/>
      <c r="BH35" s="561"/>
      <c r="BI35" s="561"/>
      <c r="BN35" s="597"/>
      <c r="BO35" s="599" t="s">
        <v>120</v>
      </c>
      <c r="BP35" s="594" t="e">
        <f>Y35+AA35+AC35+AF35+AI35+AN35+AR34+AS34+AT34+AV34+AU34+AW34</f>
        <v>#VALUE!</v>
      </c>
      <c r="BQ35" s="603" t="e">
        <f>1-BQ34</f>
        <v>#VALUE!</v>
      </c>
      <c r="BS35" s="597"/>
      <c r="BT35" s="599" t="s">
        <v>120</v>
      </c>
      <c r="BU35" s="816" t="e">
        <f>Y35+AA35+AF35+AC35</f>
        <v>#VALUE!</v>
      </c>
      <c r="BV35" s="603" t="e">
        <f t="shared" ref="BV35" si="41">ROUND(BU35/(BU34+BU35),2)</f>
        <v>#VALUE!</v>
      </c>
      <c r="BX35" s="607"/>
      <c r="BY35" s="844"/>
      <c r="BZ35" s="844"/>
      <c r="CA35" s="844"/>
      <c r="CB35" s="847"/>
      <c r="CC35" s="844"/>
      <c r="CD35" s="844"/>
    </row>
    <row r="36" spans="1:82" ht="27" customHeight="1">
      <c r="A36" s="767"/>
      <c r="B36" s="69" t="s">
        <v>72</v>
      </c>
      <c r="C36" s="226">
        <f t="shared" si="12"/>
        <v>0</v>
      </c>
      <c r="D36" s="226">
        <f t="shared" si="13"/>
        <v>0</v>
      </c>
      <c r="E36" s="54"/>
      <c r="F36" s="54"/>
      <c r="G36" s="54"/>
      <c r="H36" s="68"/>
      <c r="I36" s="68"/>
      <c r="J36" s="68"/>
      <c r="K36" s="68"/>
      <c r="L36" s="297"/>
      <c r="M36" s="54"/>
      <c r="N36" s="54"/>
      <c r="O36" s="54"/>
      <c r="P36" s="68"/>
      <c r="Q36" s="68"/>
      <c r="R36" s="68"/>
      <c r="S36" s="68"/>
      <c r="T36" s="300"/>
      <c r="U36" s="55">
        <f>SUM(E36:F36,G36)</f>
        <v>0</v>
      </c>
      <c r="V36" s="764"/>
      <c r="W36" s="55">
        <f>SUM(M36:N36,O36)</f>
        <v>0</v>
      </c>
      <c r="X36" s="660"/>
      <c r="Y36" s="635"/>
      <c r="Z36" s="613"/>
      <c r="AA36" s="615"/>
      <c r="AB36" s="613"/>
      <c r="AC36" s="615"/>
      <c r="AD36" s="786"/>
      <c r="AE36" s="610"/>
      <c r="AF36" s="776"/>
      <c r="AG36" s="737"/>
      <c r="AH36" s="562"/>
      <c r="AI36" s="485"/>
      <c r="AJ36" s="565"/>
      <c r="AK36" s="618"/>
      <c r="AL36" s="593"/>
      <c r="AM36" s="593"/>
      <c r="AN36" s="620"/>
      <c r="AO36" s="562"/>
      <c r="AP36" s="602"/>
      <c r="AQ36" s="602"/>
      <c r="AR36" s="572"/>
      <c r="AS36" s="572"/>
      <c r="AT36" s="572"/>
      <c r="AU36" s="699"/>
      <c r="AV36" s="693"/>
      <c r="AW36" s="703"/>
      <c r="AX36" s="590"/>
      <c r="AY36" s="177"/>
      <c r="BA36" s="569"/>
      <c r="BB36" s="578"/>
      <c r="BC36" s="575" t="e">
        <v>#VALUE!</v>
      </c>
      <c r="BD36" s="568"/>
      <c r="BE36" s="581"/>
      <c r="BF36" s="587" t="e">
        <v>#VALUE!</v>
      </c>
      <c r="BG36" s="584"/>
      <c r="BH36" s="562"/>
      <c r="BI36" s="562"/>
      <c r="BN36" s="598"/>
      <c r="BO36" s="599"/>
      <c r="BP36" s="595"/>
      <c r="BQ36" s="603"/>
      <c r="BS36" s="598"/>
      <c r="BT36" s="599"/>
      <c r="BU36" s="816"/>
      <c r="BV36" s="603"/>
      <c r="BX36" s="607"/>
      <c r="BY36" s="844"/>
      <c r="BZ36" s="844"/>
      <c r="CA36" s="844"/>
      <c r="CB36" s="845"/>
      <c r="CC36" s="844"/>
      <c r="CD36" s="844"/>
    </row>
    <row r="37" spans="1:82" ht="27" customHeight="1">
      <c r="A37" s="765" t="s">
        <v>336</v>
      </c>
      <c r="B37" s="69" t="s">
        <v>70</v>
      </c>
      <c r="C37" s="225">
        <f t="shared" si="12"/>
        <v>0</v>
      </c>
      <c r="D37" s="225">
        <f t="shared" si="13"/>
        <v>0</v>
      </c>
      <c r="E37" s="68"/>
      <c r="F37" s="68"/>
      <c r="G37" s="68"/>
      <c r="H37" s="54"/>
      <c r="I37" s="196"/>
      <c r="J37" s="54"/>
      <c r="K37" s="54"/>
      <c r="L37" s="297"/>
      <c r="M37" s="68"/>
      <c r="N37" s="68"/>
      <c r="O37" s="68"/>
      <c r="P37" s="54"/>
      <c r="Q37" s="196"/>
      <c r="R37" s="54"/>
      <c r="S37" s="54"/>
      <c r="T37" s="300"/>
      <c r="U37" s="55">
        <f>SUM(H37:K37)</f>
        <v>0</v>
      </c>
      <c r="V37" s="762">
        <f>SUM(U37:U39)</f>
        <v>0</v>
      </c>
      <c r="W37" s="55">
        <f>SUM(P37:S37)</f>
        <v>0</v>
      </c>
      <c r="X37" s="658">
        <f>SUM(W37:W39)</f>
        <v>0</v>
      </c>
      <c r="Y37" s="184"/>
      <c r="Z37" s="611">
        <f t="shared" ref="Z37" si="42">Y38</f>
        <v>2</v>
      </c>
      <c r="AA37" s="344"/>
      <c r="AB37" s="611">
        <f>IF('様式１－１（【本園分】標準時間対応）'!BC27&gt;0,1,0)+IF('様式１－２（【分園分】標準時間対応）'!BC27&gt;0,1,0)</f>
        <v>0</v>
      </c>
      <c r="AC37" s="343">
        <f>IF($U37&gt;0,1,0)+IF($W37&gt;0,1,0)</f>
        <v>0</v>
      </c>
      <c r="AD37" s="663" t="str">
        <f>VLOOKUP($A37,加算等適用状況!$A$14:$O$25,13,FALSE)</f>
        <v/>
      </c>
      <c r="AE37" s="608" t="str">
        <f>VLOOKUP($A37,加算等適用状況!$A$14:$O$25,15,FALSE)</f>
        <v>入力未了</v>
      </c>
      <c r="AF37" s="479">
        <f>参考_歳児別配置基準!Q104</f>
        <v>0</v>
      </c>
      <c r="AG37" s="735" t="str">
        <f>IF(AE37="入力完了",参考_歳児別配置基準!H104,AE37)</f>
        <v>入力未了</v>
      </c>
      <c r="AH37" s="560" t="e">
        <f t="shared" ref="AH37" si="43">Z37+AB37+AC37+AC38+AG37-AD37</f>
        <v>#VALUE!</v>
      </c>
      <c r="AI37" s="484">
        <f>IFERROR(ROUND(((U37+W37)/(U37+W37+U38+W38))*AJ37,1),0)</f>
        <v>0</v>
      </c>
      <c r="AJ37" s="563">
        <f>IF(VLOOKUP($A37,加算等適用状況!$A$14:$O$25,4,FALSE)="○",VLOOKUP($A37,加算等適用状況!$A$14:$O$25,5,FALSE),0)</f>
        <v>0</v>
      </c>
      <c r="AK37" s="616">
        <f>IF(VLOOKUP($A37,加算等適用状況!$A$14:$O$25,11,FALSE)="○",1,0)</f>
        <v>0</v>
      </c>
      <c r="AL37" s="591" t="str">
        <f>VLOOKUP($A37,加算等適用状況!$A$14:$O$25,12,FALSE)</f>
        <v/>
      </c>
      <c r="AM37" s="591">
        <f>IF(AL37="専任",0,1)</f>
        <v>1</v>
      </c>
      <c r="AN37" s="481">
        <f>IFERROR(AM37*(ROUND((U37+W37)/(X37+V37),1)),0)</f>
        <v>0</v>
      </c>
      <c r="AO37" s="560" t="e">
        <f>AH37+CD37+AK37+AM37</f>
        <v>#VALUE!</v>
      </c>
      <c r="AP37" s="600"/>
      <c r="AQ37" s="600"/>
      <c r="AR37" s="570">
        <f t="shared" ref="AR37" si="44">(ROUNDDOWN(F39/4,1)-ROUNDDOWN(F39/5,1))+(ROUNDDOWN(N39/4,1)-ROUNDDOWN(N39/5,1))</f>
        <v>0</v>
      </c>
      <c r="AS37" s="570">
        <f>SUM('様式１－１（【本園分】標準時間対応）'!BA27:BA28)</f>
        <v>0</v>
      </c>
      <c r="AT37" s="570">
        <f>SUM('様式１－２（【分園分】標準時間対応）'!BA27:BA28)</f>
        <v>0</v>
      </c>
      <c r="AU37" s="697">
        <f>2-Z37</f>
        <v>0</v>
      </c>
      <c r="AV37" s="706">
        <f>IF(OR(AND('様式１－１（【本園分】標準時間対応）'!J27&gt;0, '様式１－１（【本園分】標準時間対応）'!R27&gt;0), '様式１－１（【本園分】標準時間対応）'!BC27&gt;=ROUND((C38+C39)*0.3,0)),1,0) + IF(OR(AND('様式１－２（【分園分】標準時間対応）'!J27&gt;0, '様式１－２（【分園分】標準時間対応）'!R27&gt;0), '様式１－２（【分園分】標準時間対応）'!BC27&gt;=ROUND((D38+D39)*0.3,0)),1,0)</f>
        <v>2</v>
      </c>
      <c r="AW37" s="704">
        <f>(ROUNDDOWN(I38/10,1)-ROUNDDOWN(I38/15,1))+(ROUNDDOWN(Q38/10,1)-ROUNDDOWN(Q38/15,1))</f>
        <v>0</v>
      </c>
      <c r="AX37" s="588" t="e">
        <f>SUM(AO37:AW39)</f>
        <v>#VALUE!</v>
      </c>
      <c r="AY37" s="177"/>
      <c r="BA37" s="569"/>
      <c r="BB37" s="576">
        <f>'様式２（専従の常勤）'!Q58</f>
        <v>0</v>
      </c>
      <c r="BC37" s="573">
        <f>COUNTIFS('様式３（非専従の常勤＋非常勤）'!$AH$9:$AH$38,"&gt;=1")+'様式２（専従の常勤）'!Q70+'様式２（専従の常勤）'!Q84</f>
        <v>0</v>
      </c>
      <c r="BD37" s="566">
        <f>'様式３（非専従の常勤＋非常勤）'!$AI$41</f>
        <v>0</v>
      </c>
      <c r="BE37" s="579"/>
      <c r="BF37" s="585">
        <f>COUNTIFS('様式３（非専従の常勤＋非常勤）'!$AH$48:$AH$52,"&gt;=1")</f>
        <v>0</v>
      </c>
      <c r="BG37" s="582">
        <f>ROUNDDOWN('様式３（非専従の常勤＋非常勤）'!$AH$54,1)</f>
        <v>0</v>
      </c>
      <c r="BH37" s="560">
        <f>BB37+BD37+IF((BE37+BG37)&gt;=CD37,CD37,(BE37+BG37))</f>
        <v>0</v>
      </c>
      <c r="BI37" s="560" t="e">
        <f>BH37-AO37</f>
        <v>#VALUE!</v>
      </c>
      <c r="BN37" s="596" t="s">
        <v>15</v>
      </c>
      <c r="BO37" s="280" t="s">
        <v>70</v>
      </c>
      <c r="BP37" s="281">
        <f>Y37+AA37+AC37+AF37+AI37+AK37+AN37</f>
        <v>0</v>
      </c>
      <c r="BQ37" s="282" t="e">
        <f>ROUND(BP37/(BP37+BP38),2)</f>
        <v>#VALUE!</v>
      </c>
      <c r="BS37" s="596" t="s">
        <v>15</v>
      </c>
      <c r="BT37" s="280" t="s">
        <v>70</v>
      </c>
      <c r="BU37" s="283">
        <f>AC37+AF37</f>
        <v>0</v>
      </c>
      <c r="BV37" s="282" t="e">
        <f t="shared" ref="BV37" si="45">ROUND(BU37/(BU37+BU38),2)</f>
        <v>#VALUE!</v>
      </c>
      <c r="BX37" s="607" t="s">
        <v>15</v>
      </c>
      <c r="BY37" s="844">
        <f>IF(VLOOKUP($A37,加算等適用状況!$A$14:$O$25,4,FALSE)="○",VLOOKUP($A37,加算等適用状況!$A$14:$O$25,5,FALSE),0)</f>
        <v>0</v>
      </c>
      <c r="BZ37" s="845" t="e">
        <f>VLOOKUP(BY37,加算等適用状況!$E$34:$F$46,2,FALSE)</f>
        <v>#N/A</v>
      </c>
      <c r="CA37" s="845" t="e">
        <f>AH37+AK37+AM37</f>
        <v>#VALUE!</v>
      </c>
      <c r="CB37" s="846">
        <f>BB37+BD37+BE37+BG37</f>
        <v>0</v>
      </c>
      <c r="CC37" s="845" t="e">
        <f>CB37-CA37</f>
        <v>#VALUE!</v>
      </c>
      <c r="CD37" s="845">
        <f>IFERROR(IF(CC37&gt;BY37,BY37,IF(CC37&lt;BZ37,BZ37,CC37)),0)</f>
        <v>0</v>
      </c>
    </row>
    <row r="38" spans="1:82" ht="27" customHeight="1">
      <c r="A38" s="766"/>
      <c r="B38" s="69" t="s">
        <v>71</v>
      </c>
      <c r="C38" s="226">
        <f t="shared" si="12"/>
        <v>0</v>
      </c>
      <c r="D38" s="226">
        <f t="shared" si="13"/>
        <v>0</v>
      </c>
      <c r="E38" s="68"/>
      <c r="F38" s="68"/>
      <c r="G38" s="68"/>
      <c r="H38" s="68"/>
      <c r="I38" s="54"/>
      <c r="J38" s="54"/>
      <c r="K38" s="54"/>
      <c r="L38" s="297"/>
      <c r="M38" s="68"/>
      <c r="N38" s="68"/>
      <c r="O38" s="68"/>
      <c r="P38" s="68"/>
      <c r="Q38" s="54"/>
      <c r="R38" s="54"/>
      <c r="S38" s="54"/>
      <c r="T38" s="300"/>
      <c r="U38" s="55">
        <f>SUM(I38:K38)</f>
        <v>0</v>
      </c>
      <c r="V38" s="763"/>
      <c r="W38" s="55">
        <f>SUM(Q38:S38)</f>
        <v>0</v>
      </c>
      <c r="X38" s="659"/>
      <c r="Y38" s="634">
        <f>IF(C38+C39&lt;=90,1,0)+IF(D38+D39&lt;=90,1,0)</f>
        <v>2</v>
      </c>
      <c r="Z38" s="612"/>
      <c r="AA38" s="614">
        <f>AB37</f>
        <v>0</v>
      </c>
      <c r="AB38" s="612"/>
      <c r="AC38" s="614">
        <f>IF($U38+$U39&gt;0,1,0)+IF($W38+$W39&gt;0,1,0)</f>
        <v>0</v>
      </c>
      <c r="AD38" s="664"/>
      <c r="AE38" s="609"/>
      <c r="AF38" s="775" t="e">
        <f>AG37-AF37</f>
        <v>#VALUE!</v>
      </c>
      <c r="AG38" s="736"/>
      <c r="AH38" s="561"/>
      <c r="AI38" s="482">
        <f>AJ37-AI37</f>
        <v>0</v>
      </c>
      <c r="AJ38" s="564"/>
      <c r="AK38" s="617"/>
      <c r="AL38" s="592"/>
      <c r="AM38" s="592"/>
      <c r="AN38" s="619">
        <f>IFERROR(AM37*(ROUND((U38+U39+W38+W39)/(X37+V37),1)),0)</f>
        <v>0</v>
      </c>
      <c r="AO38" s="561"/>
      <c r="AP38" s="601"/>
      <c r="AQ38" s="601"/>
      <c r="AR38" s="571"/>
      <c r="AS38" s="571"/>
      <c r="AT38" s="571"/>
      <c r="AU38" s="698"/>
      <c r="AV38" s="692"/>
      <c r="AW38" s="702"/>
      <c r="AX38" s="589"/>
      <c r="AY38" s="177"/>
      <c r="BA38" s="569"/>
      <c r="BB38" s="577"/>
      <c r="BC38" s="574" t="e">
        <v>#VALUE!</v>
      </c>
      <c r="BD38" s="567"/>
      <c r="BE38" s="580"/>
      <c r="BF38" s="586" t="e">
        <v>#VALUE!</v>
      </c>
      <c r="BG38" s="583"/>
      <c r="BH38" s="561"/>
      <c r="BI38" s="561"/>
      <c r="BN38" s="597"/>
      <c r="BO38" s="599" t="s">
        <v>120</v>
      </c>
      <c r="BP38" s="594" t="e">
        <f>Y38+AA38+AC38+AF38+AI38+AN38+AR37+AS37+AT37+AV37+AU37+AW37</f>
        <v>#VALUE!</v>
      </c>
      <c r="BQ38" s="603" t="e">
        <f>1-BQ37</f>
        <v>#VALUE!</v>
      </c>
      <c r="BS38" s="597"/>
      <c r="BT38" s="599" t="s">
        <v>120</v>
      </c>
      <c r="BU38" s="816" t="e">
        <f>Y38+AA38+AF38+AC38</f>
        <v>#VALUE!</v>
      </c>
      <c r="BV38" s="603" t="e">
        <f t="shared" ref="BV38" si="46">ROUND(BU38/(BU37+BU38),2)</f>
        <v>#VALUE!</v>
      </c>
      <c r="BX38" s="607"/>
      <c r="BY38" s="844"/>
      <c r="BZ38" s="844"/>
      <c r="CA38" s="844"/>
      <c r="CB38" s="847"/>
      <c r="CC38" s="844"/>
      <c r="CD38" s="844"/>
    </row>
    <row r="39" spans="1:82" ht="27" customHeight="1">
      <c r="A39" s="767"/>
      <c r="B39" s="69" t="s">
        <v>72</v>
      </c>
      <c r="C39" s="226">
        <f t="shared" si="12"/>
        <v>0</v>
      </c>
      <c r="D39" s="226">
        <f t="shared" si="13"/>
        <v>0</v>
      </c>
      <c r="E39" s="54"/>
      <c r="F39" s="54"/>
      <c r="G39" s="54"/>
      <c r="H39" s="68"/>
      <c r="I39" s="68"/>
      <c r="J39" s="68"/>
      <c r="K39" s="68"/>
      <c r="L39" s="297"/>
      <c r="M39" s="54"/>
      <c r="N39" s="54"/>
      <c r="O39" s="54"/>
      <c r="P39" s="68"/>
      <c r="Q39" s="68"/>
      <c r="R39" s="68"/>
      <c r="S39" s="68"/>
      <c r="T39" s="300"/>
      <c r="U39" s="55">
        <f>SUM(E39:F39,G39)</f>
        <v>0</v>
      </c>
      <c r="V39" s="764"/>
      <c r="W39" s="55">
        <f>SUM(M39:N39,O39)</f>
        <v>0</v>
      </c>
      <c r="X39" s="660"/>
      <c r="Y39" s="635"/>
      <c r="Z39" s="613"/>
      <c r="AA39" s="615"/>
      <c r="AB39" s="613"/>
      <c r="AC39" s="615"/>
      <c r="AD39" s="786"/>
      <c r="AE39" s="610"/>
      <c r="AF39" s="776"/>
      <c r="AG39" s="737"/>
      <c r="AH39" s="562"/>
      <c r="AI39" s="485"/>
      <c r="AJ39" s="565"/>
      <c r="AK39" s="618"/>
      <c r="AL39" s="593"/>
      <c r="AM39" s="593"/>
      <c r="AN39" s="620"/>
      <c r="AO39" s="562"/>
      <c r="AP39" s="602"/>
      <c r="AQ39" s="602"/>
      <c r="AR39" s="572"/>
      <c r="AS39" s="572"/>
      <c r="AT39" s="572"/>
      <c r="AU39" s="699"/>
      <c r="AV39" s="693"/>
      <c r="AW39" s="703"/>
      <c r="AX39" s="590"/>
      <c r="AY39" s="177"/>
      <c r="BA39" s="569"/>
      <c r="BB39" s="578"/>
      <c r="BC39" s="575" t="e">
        <v>#VALUE!</v>
      </c>
      <c r="BD39" s="568"/>
      <c r="BE39" s="581"/>
      <c r="BF39" s="587" t="e">
        <v>#VALUE!</v>
      </c>
      <c r="BG39" s="584"/>
      <c r="BH39" s="562"/>
      <c r="BI39" s="562"/>
      <c r="BN39" s="598"/>
      <c r="BO39" s="599"/>
      <c r="BP39" s="595"/>
      <c r="BQ39" s="603"/>
      <c r="BS39" s="598"/>
      <c r="BT39" s="599"/>
      <c r="BU39" s="816"/>
      <c r="BV39" s="603"/>
      <c r="BX39" s="607"/>
      <c r="BY39" s="844"/>
      <c r="BZ39" s="844"/>
      <c r="CA39" s="844"/>
      <c r="CB39" s="845"/>
      <c r="CC39" s="844"/>
      <c r="CD39" s="844"/>
    </row>
    <row r="40" spans="1:82" ht="27" customHeight="1">
      <c r="A40" s="806" t="s">
        <v>337</v>
      </c>
      <c r="B40" s="69" t="s">
        <v>70</v>
      </c>
      <c r="C40" s="226">
        <f t="shared" si="12"/>
        <v>0</v>
      </c>
      <c r="D40" s="226">
        <f t="shared" si="13"/>
        <v>0</v>
      </c>
      <c r="E40" s="68"/>
      <c r="F40" s="68"/>
      <c r="G40" s="68"/>
      <c r="H40" s="54"/>
      <c r="I40" s="196"/>
      <c r="J40" s="54"/>
      <c r="K40" s="54"/>
      <c r="L40" s="297"/>
      <c r="M40" s="68"/>
      <c r="N40" s="68"/>
      <c r="O40" s="68"/>
      <c r="P40" s="54"/>
      <c r="Q40" s="196"/>
      <c r="R40" s="54"/>
      <c r="S40" s="54"/>
      <c r="T40" s="300"/>
      <c r="U40" s="56">
        <f>SUM(H40:K40)</f>
        <v>0</v>
      </c>
      <c r="V40" s="762">
        <f>SUM(U40:U42)</f>
        <v>0</v>
      </c>
      <c r="W40" s="55">
        <f>SUM(P40:S40)</f>
        <v>0</v>
      </c>
      <c r="X40" s="658">
        <f>SUM(W40:W42)</f>
        <v>0</v>
      </c>
      <c r="Y40" s="184"/>
      <c r="Z40" s="663">
        <f>Y41</f>
        <v>2</v>
      </c>
      <c r="AA40" s="344"/>
      <c r="AB40" s="663">
        <f>IF('様式１－１（【本園分】標準時間対応）'!BC29&gt;0,1,0)+IF('様式１－２（【分園分】標準時間対応）'!BC29&gt;0,1,0)</f>
        <v>0</v>
      </c>
      <c r="AC40" s="343">
        <f>IF($U40&gt;0,1,0)+IF($W40&gt;0,1,0)</f>
        <v>0</v>
      </c>
      <c r="AD40" s="663" t="str">
        <f>VLOOKUP($A40,加算等適用状況!$A$14:$O$25,13,FALSE)</f>
        <v/>
      </c>
      <c r="AE40" s="608" t="str">
        <f>VLOOKUP($A40,加算等適用状況!$A$14:$O$25,15,FALSE)</f>
        <v>入力未了</v>
      </c>
      <c r="AF40" s="479">
        <f>参考_歳児別配置基準!Q114</f>
        <v>0</v>
      </c>
      <c r="AG40" s="735" t="str">
        <f>IF(AE40="入力完了",参考_歳児別配置基準!H114,AE40)</f>
        <v>入力未了</v>
      </c>
      <c r="AH40" s="560" t="e">
        <f>Z40+AB40+AC40+AC41+AG40-AD40</f>
        <v>#VALUE!</v>
      </c>
      <c r="AI40" s="484">
        <f>IFERROR(ROUND(((U40+W40)/(U40+W40+U41+W41))*AJ40,1),0)</f>
        <v>0</v>
      </c>
      <c r="AJ40" s="563">
        <f>IF(VLOOKUP($A40,加算等適用状況!$A$14:$O$25,4,FALSE)="○",VLOOKUP($A40,加算等適用状況!$A$14:$O$25,5,FALSE),0)</f>
        <v>0</v>
      </c>
      <c r="AK40" s="616">
        <f>IF(VLOOKUP($A40,加算等適用状況!$A$14:$O$25,11,FALSE)="○",1,0)</f>
        <v>0</v>
      </c>
      <c r="AL40" s="591" t="str">
        <f>VLOOKUP($A40,加算等適用状況!$A$14:$O$25,12,FALSE)</f>
        <v/>
      </c>
      <c r="AM40" s="591">
        <f>IF(AL40="専任",0,1)</f>
        <v>1</v>
      </c>
      <c r="AN40" s="481">
        <f>IFERROR(AM40*(ROUND((U40+W40)/(X40+V40),1)),0)</f>
        <v>0</v>
      </c>
      <c r="AO40" s="560" t="e">
        <f>AH40+CD40+AK40+AM40</f>
        <v>#VALUE!</v>
      </c>
      <c r="AP40" s="600"/>
      <c r="AQ40" s="600"/>
      <c r="AR40" s="570">
        <f>(ROUNDDOWN(F42/4,1)-ROUNDDOWN(F42/5,1))+(ROUNDDOWN(N42/4,1)-ROUNDDOWN(N42/5,1))</f>
        <v>0</v>
      </c>
      <c r="AS40" s="570">
        <f>SUM('様式１－１（【本園分】標準時間対応）'!BA29:BA30)</f>
        <v>0</v>
      </c>
      <c r="AT40" s="570">
        <f>SUM('様式１－２（【分園分】標準時間対応）'!BA29:BA30)</f>
        <v>0</v>
      </c>
      <c r="AU40" s="697">
        <f>2-Z40</f>
        <v>0</v>
      </c>
      <c r="AV40" s="706">
        <f>IF(OR(AND('様式１－１（【本園分】標準時間対応）'!J29&gt;0, '様式１－１（【本園分】標準時間対応）'!R29&gt;0), '様式１－１（【本園分】標準時間対応）'!BC29&gt;=ROUND((C41+C42)*0.3,0)),1,0) + IF(OR(AND('様式１－２（【分園分】標準時間対応）'!J29&gt;0, '様式１－２（【分園分】標準時間対応）'!R29&gt;0), '様式１－２（【分園分】標準時間対応）'!BC29&gt;=ROUND((D41+D42)*0.3,0)),1,0)</f>
        <v>2</v>
      </c>
      <c r="AW40" s="704">
        <f>(ROUNDDOWN(I41/10,1)-ROUNDDOWN(I41/15,1))+(ROUNDDOWN(Q41/10,1)-ROUNDDOWN(Q41/15,1))</f>
        <v>0</v>
      </c>
      <c r="AX40" s="588" t="e">
        <f>SUM(AO40:AW42)</f>
        <v>#VALUE!</v>
      </c>
      <c r="AY40" s="177"/>
      <c r="BA40" s="569"/>
      <c r="BB40" s="576">
        <f>'様式２（専従の常勤）'!R58</f>
        <v>0</v>
      </c>
      <c r="BC40" s="573">
        <f>COUNTIFS('様式３（非専従の常勤＋非常勤）'!$AJ$9:$AJ$38,"&gt;=1")+'様式２（専従の常勤）'!R70+'様式２（専従の常勤）'!R84</f>
        <v>0</v>
      </c>
      <c r="BD40" s="566">
        <f>'様式３（非専従の常勤＋非常勤）'!$AK$41</f>
        <v>0</v>
      </c>
      <c r="BE40" s="579"/>
      <c r="BF40" s="585">
        <f>COUNTIFS('様式３（非専従の常勤＋非常勤）'!$AJ$48:$AJ$52,"&gt;=1")</f>
        <v>0</v>
      </c>
      <c r="BG40" s="582">
        <f>ROUNDDOWN('様式３（非専従の常勤＋非常勤）'!$AJ$54,1)</f>
        <v>0</v>
      </c>
      <c r="BH40" s="560">
        <f>BB40+BD40+IF((BE40+BG40)&gt;=CD40,CD40,(BE40+BG40))</f>
        <v>0</v>
      </c>
      <c r="BI40" s="560" t="e">
        <f>BH40-AO40</f>
        <v>#VALUE!</v>
      </c>
      <c r="BN40" s="607" t="s">
        <v>10</v>
      </c>
      <c r="BO40" s="280" t="s">
        <v>70</v>
      </c>
      <c r="BP40" s="281">
        <f>Y40+AA40+AC40+AF40+AI40+AK40+AN40</f>
        <v>0</v>
      </c>
      <c r="BQ40" s="282" t="e">
        <f>ROUND(BP40/(BP40+BP41),2)</f>
        <v>#VALUE!</v>
      </c>
      <c r="BS40" s="596" t="s">
        <v>10</v>
      </c>
      <c r="BT40" s="280" t="s">
        <v>70</v>
      </c>
      <c r="BU40" s="283">
        <f>AC40+AF40</f>
        <v>0</v>
      </c>
      <c r="BV40" s="282" t="e">
        <f t="shared" ref="BV40" si="47">ROUND(BU40/(BU40+BU41),2)</f>
        <v>#VALUE!</v>
      </c>
      <c r="BX40" s="607" t="s">
        <v>10</v>
      </c>
      <c r="BY40" s="844">
        <f>IF(VLOOKUP($A40,加算等適用状況!$A$14:$O$25,4,FALSE)="○",VLOOKUP($A40,加算等適用状況!$A$14:$O$25,5,FALSE),0)</f>
        <v>0</v>
      </c>
      <c r="BZ40" s="845" t="e">
        <f>VLOOKUP(BY40,加算等適用状況!$E$34:$F$46,2,FALSE)</f>
        <v>#N/A</v>
      </c>
      <c r="CA40" s="845" t="e">
        <f>AH40+AK40+AM40</f>
        <v>#VALUE!</v>
      </c>
      <c r="CB40" s="846">
        <f>BB40+BD40+BE40+BG40</f>
        <v>0</v>
      </c>
      <c r="CC40" s="845" t="e">
        <f>CB40-CA40</f>
        <v>#VALUE!</v>
      </c>
      <c r="CD40" s="845">
        <f>IFERROR(IF(CC40&gt;BY40,BY40,IF(CC40&lt;BZ40,BZ40,CC40)),0)</f>
        <v>0</v>
      </c>
    </row>
    <row r="41" spans="1:82" ht="27" customHeight="1">
      <c r="A41" s="806"/>
      <c r="B41" s="69" t="s">
        <v>71</v>
      </c>
      <c r="C41" s="226">
        <f t="shared" si="12"/>
        <v>0</v>
      </c>
      <c r="D41" s="226">
        <f t="shared" si="13"/>
        <v>0</v>
      </c>
      <c r="E41" s="68"/>
      <c r="F41" s="68"/>
      <c r="G41" s="68"/>
      <c r="H41" s="68"/>
      <c r="I41" s="54"/>
      <c r="J41" s="54"/>
      <c r="K41" s="54"/>
      <c r="L41" s="297"/>
      <c r="M41" s="67"/>
      <c r="N41" s="68"/>
      <c r="O41" s="68"/>
      <c r="P41" s="68"/>
      <c r="Q41" s="54"/>
      <c r="R41" s="54"/>
      <c r="S41" s="54"/>
      <c r="T41" s="300"/>
      <c r="U41" s="56">
        <f>SUM(I41:K41)</f>
        <v>0</v>
      </c>
      <c r="V41" s="763"/>
      <c r="W41" s="55">
        <f>SUM(Q41:S41)</f>
        <v>0</v>
      </c>
      <c r="X41" s="659"/>
      <c r="Y41" s="634">
        <f>IF(C41+C42&lt;=90,1,0)+IF(D41+D42&lt;=90,1,0)</f>
        <v>2</v>
      </c>
      <c r="Z41" s="664"/>
      <c r="AA41" s="614">
        <f>AB40</f>
        <v>0</v>
      </c>
      <c r="AB41" s="664"/>
      <c r="AC41" s="614">
        <f>IF($U41+$U42&gt;0,1,0)+IF($W41+$W42&gt;0,1,0)</f>
        <v>0</v>
      </c>
      <c r="AD41" s="664"/>
      <c r="AE41" s="609"/>
      <c r="AF41" s="795" t="e">
        <f>AG40-AF40</f>
        <v>#VALUE!</v>
      </c>
      <c r="AG41" s="736"/>
      <c r="AH41" s="561"/>
      <c r="AI41" s="482">
        <f>AJ40-AI40</f>
        <v>0</v>
      </c>
      <c r="AJ41" s="564"/>
      <c r="AK41" s="617"/>
      <c r="AL41" s="592"/>
      <c r="AM41" s="592"/>
      <c r="AN41" s="683">
        <f>IFERROR(AM40*(ROUND((U41+U42+W41+W42)/(X40+V40),1)),0)</f>
        <v>0</v>
      </c>
      <c r="AO41" s="561"/>
      <c r="AP41" s="601"/>
      <c r="AQ41" s="601"/>
      <c r="AR41" s="571"/>
      <c r="AS41" s="571"/>
      <c r="AT41" s="571"/>
      <c r="AU41" s="698"/>
      <c r="AV41" s="692"/>
      <c r="AW41" s="702"/>
      <c r="AX41" s="589"/>
      <c r="AY41" s="177"/>
      <c r="BA41" s="569"/>
      <c r="BB41" s="577"/>
      <c r="BC41" s="574" t="e">
        <v>#VALUE!</v>
      </c>
      <c r="BD41" s="567"/>
      <c r="BE41" s="580"/>
      <c r="BF41" s="586" t="e">
        <v>#VALUE!</v>
      </c>
      <c r="BG41" s="583"/>
      <c r="BH41" s="561"/>
      <c r="BI41" s="561"/>
      <c r="BN41" s="607"/>
      <c r="BO41" s="599" t="s">
        <v>120</v>
      </c>
      <c r="BP41" s="594" t="e">
        <f>Y41+AA41+AC41+AF41+AI41+AN41+AR40+AS40+AT40+AV40+AU40+AW40</f>
        <v>#VALUE!</v>
      </c>
      <c r="BQ41" s="603" t="e">
        <f>1-BQ40</f>
        <v>#VALUE!</v>
      </c>
      <c r="BS41" s="597"/>
      <c r="BT41" s="599" t="s">
        <v>120</v>
      </c>
      <c r="BU41" s="816" t="e">
        <f>Y41+AA41+AF41+AC41</f>
        <v>#VALUE!</v>
      </c>
      <c r="BV41" s="603" t="e">
        <f t="shared" ref="BV41" si="48">ROUND(BU41/(BU40+BU41),2)</f>
        <v>#VALUE!</v>
      </c>
      <c r="BX41" s="607"/>
      <c r="BY41" s="844"/>
      <c r="BZ41" s="844"/>
      <c r="CA41" s="844"/>
      <c r="CB41" s="847"/>
      <c r="CC41" s="844"/>
      <c r="CD41" s="844"/>
    </row>
    <row r="42" spans="1:82" ht="27" customHeight="1" thickBot="1">
      <c r="A42" s="807"/>
      <c r="B42" s="201" t="s">
        <v>72</v>
      </c>
      <c r="C42" s="227">
        <f t="shared" si="12"/>
        <v>0</v>
      </c>
      <c r="D42" s="227">
        <f t="shared" si="13"/>
        <v>0</v>
      </c>
      <c r="E42" s="202"/>
      <c r="F42" s="202"/>
      <c r="G42" s="202"/>
      <c r="H42" s="203"/>
      <c r="I42" s="203"/>
      <c r="J42" s="203"/>
      <c r="K42" s="203"/>
      <c r="L42" s="299"/>
      <c r="M42" s="212"/>
      <c r="N42" s="202"/>
      <c r="O42" s="202"/>
      <c r="P42" s="203"/>
      <c r="Q42" s="203"/>
      <c r="R42" s="203"/>
      <c r="S42" s="203"/>
      <c r="T42" s="302"/>
      <c r="U42" s="204">
        <f>SUM(E42:F42,G42)</f>
        <v>0</v>
      </c>
      <c r="V42" s="808"/>
      <c r="W42" s="204">
        <f>SUM(M42:N42,O42)</f>
        <v>0</v>
      </c>
      <c r="X42" s="809"/>
      <c r="Y42" s="661"/>
      <c r="Z42" s="665"/>
      <c r="AA42" s="662"/>
      <c r="AB42" s="665"/>
      <c r="AC42" s="662"/>
      <c r="AD42" s="665"/>
      <c r="AE42" s="609"/>
      <c r="AF42" s="801"/>
      <c r="AG42" s="796"/>
      <c r="AH42" s="561"/>
      <c r="AI42" s="486"/>
      <c r="AJ42" s="781"/>
      <c r="AK42" s="782"/>
      <c r="AL42" s="787"/>
      <c r="AM42" s="787"/>
      <c r="AN42" s="685"/>
      <c r="AO42" s="682"/>
      <c r="AP42" s="688"/>
      <c r="AQ42" s="688"/>
      <c r="AR42" s="691"/>
      <c r="AS42" s="691"/>
      <c r="AT42" s="691"/>
      <c r="AU42" s="701"/>
      <c r="AV42" s="707"/>
      <c r="AW42" s="705"/>
      <c r="AX42" s="679"/>
      <c r="AY42" s="218"/>
      <c r="BA42" s="569"/>
      <c r="BB42" s="680"/>
      <c r="BC42" s="681" t="e">
        <v>#VALUE!</v>
      </c>
      <c r="BD42" s="700"/>
      <c r="BE42" s="843"/>
      <c r="BF42" s="675" t="e">
        <v>#VALUE!</v>
      </c>
      <c r="BG42" s="842"/>
      <c r="BH42" s="682"/>
      <c r="BI42" s="561"/>
      <c r="BN42" s="607"/>
      <c r="BO42" s="599"/>
      <c r="BP42" s="595"/>
      <c r="BQ42" s="603"/>
      <c r="BS42" s="598"/>
      <c r="BT42" s="599"/>
      <c r="BU42" s="816"/>
      <c r="BV42" s="603"/>
      <c r="BX42" s="607"/>
      <c r="BY42" s="844"/>
      <c r="BZ42" s="844"/>
      <c r="CA42" s="844"/>
      <c r="CB42" s="845"/>
      <c r="CC42" s="844"/>
      <c r="CD42" s="844"/>
    </row>
    <row r="43" spans="1:82" ht="27" customHeight="1" thickTop="1">
      <c r="A43" s="777" t="s">
        <v>175</v>
      </c>
      <c r="B43" s="197" t="s">
        <v>70</v>
      </c>
      <c r="C43" s="228">
        <f t="shared" ref="C43:D45" si="49">ROUND(SUM(C7,C10,C13,C16,C19,C22,C25,C28,C31,C34,C37,C40)/12,0)</f>
        <v>0</v>
      </c>
      <c r="D43" s="228">
        <f t="shared" si="49"/>
        <v>0</v>
      </c>
      <c r="E43" s="205"/>
      <c r="F43" s="205"/>
      <c r="G43" s="205"/>
      <c r="H43" s="206">
        <f>ROUND(SUM(H7,H10,H13,H16,H19,H22,H25,H28,H31,H34,H37,H40)/12,0)</f>
        <v>0</v>
      </c>
      <c r="I43" s="206">
        <f>ROUND(SUM(I7,I10,I13,I16,I19,I22,I25,I28,I31,I34,I37,I40)/12,0)</f>
        <v>0</v>
      </c>
      <c r="J43" s="206">
        <f>ROUND(SUM(J7,J10,J13,J16,J19,J22,J25,J28,J31,J34,J37,J40)/12,0)</f>
        <v>0</v>
      </c>
      <c r="K43" s="206">
        <f>ROUND(SUM(K7,K10,K13,K16,K19,K22,K25,K28,K31,K34,K37,K40)/12,0)</f>
        <v>0</v>
      </c>
      <c r="L43" s="220"/>
      <c r="M43" s="213"/>
      <c r="N43" s="205"/>
      <c r="O43" s="205"/>
      <c r="P43" s="206">
        <f>ROUND(SUM(P7,P10,P13,P16,P19,P22,P25,P28,P31,P34,P37,P40)/12,0)</f>
        <v>0</v>
      </c>
      <c r="Q43" s="206">
        <f>ROUND(SUM(Q7,Q10,Q13,Q16,Q19,Q22,Q25,Q28,Q31,Q34,Q37,Q40)/12,0)</f>
        <v>0</v>
      </c>
      <c r="R43" s="206">
        <f>ROUND(SUM(R7,R10,R13,R16,R19,R22,R25,R28,R31,R34,R37,R40)/12,0)</f>
        <v>0</v>
      </c>
      <c r="S43" s="206">
        <f>ROUND(SUM(S7,S10,S13,S16,S19,S22,S25,S28,S31,S34,S37,S40)/12,0)</f>
        <v>0</v>
      </c>
      <c r="T43" s="207"/>
      <c r="U43" s="198">
        <f>SUM(H43:K43)</f>
        <v>0</v>
      </c>
      <c r="V43" s="763">
        <f>SUM(U43:U45)</f>
        <v>0</v>
      </c>
      <c r="W43" s="199">
        <f>SUM(P43:S43)</f>
        <v>0</v>
      </c>
      <c r="X43" s="659">
        <f>SUM(W43:W45)</f>
        <v>0</v>
      </c>
      <c r="Y43" s="200"/>
      <c r="Z43" s="612">
        <f>Y44</f>
        <v>2</v>
      </c>
      <c r="AA43" s="345"/>
      <c r="AB43" s="612">
        <f>IF('様式１－１（【本園分】標準時間対応）'!BC31&gt;0,1,0)+IF('様式１－２（【分園分】標準時間対応）'!BC31&gt;0,1,0)</f>
        <v>0</v>
      </c>
      <c r="AC43" s="349">
        <f>IF($U43&gt;0,1,0)+IF($W43&gt;0,1,0)</f>
        <v>0</v>
      </c>
      <c r="AD43" s="800" t="str">
        <f>AD40</f>
        <v/>
      </c>
      <c r="AE43" s="797"/>
      <c r="AF43" s="479">
        <f>ROUND(SUM(AF7,AF10,AF13,AF16,AF19,AF22,AF25,AF28,AF31,AF34,AF37,AF40)/12,1)</f>
        <v>0</v>
      </c>
      <c r="AG43" s="779">
        <f>ROUND(SUM(AG7:AG42)/12,0)</f>
        <v>0</v>
      </c>
      <c r="AH43" s="686" t="e">
        <f>ROUND(SUM(AH7:AH42)/12,0)</f>
        <v>#VALUE!</v>
      </c>
      <c r="AI43" s="480">
        <f>IFERROR(ROUND(((U43+W43)/(U43+W43+U44+W44))*AJ43,1),0)</f>
        <v>0</v>
      </c>
      <c r="AJ43" s="564">
        <f>ROUND(SUM(AJ7:AJ42)/12,1)</f>
        <v>0</v>
      </c>
      <c r="AK43" s="617">
        <f>ROUND(SUM(AK7:AK42)/12,0)</f>
        <v>0</v>
      </c>
      <c r="AL43" s="616"/>
      <c r="AM43" s="592">
        <f>ROUND(SUM(AM7:AM42)/12,1)</f>
        <v>1</v>
      </c>
      <c r="AN43" s="487">
        <f>IFERROR(AM43*(ROUND((U43+W43)/(X43+V43),1)),0)</f>
        <v>0</v>
      </c>
      <c r="AO43" s="686" t="e">
        <f>AH43+AJ43+AK43+AM43</f>
        <v>#VALUE!</v>
      </c>
      <c r="AP43" s="676">
        <f>ROUNDDOWN(SUM(AP7:AP42)/12,1)</f>
        <v>0</v>
      </c>
      <c r="AQ43" s="676">
        <f>ROUNDDOWN(SUM(AQ7:AQ42)/12,1)</f>
        <v>0</v>
      </c>
      <c r="AR43" s="571">
        <f>ROUND(SUM(AR7:AR42)/12,1)</f>
        <v>0</v>
      </c>
      <c r="AS43" s="571">
        <f>SUM('様式１－１（【本園分】標準時間対応）'!BA31:BA32)</f>
        <v>0</v>
      </c>
      <c r="AT43" s="571">
        <f>SUM('様式１－２（【分園分】標準時間対応）'!BA31:BA32)</f>
        <v>0</v>
      </c>
      <c r="AU43" s="698">
        <f>2-Z43</f>
        <v>0</v>
      </c>
      <c r="AV43" s="692">
        <f>IF(OR(AND('様式１－１（【本園分】標準時間対応）'!J31&gt;0, '様式１－１（【本園分】標準時間対応）'!R31&gt;0), '様式１－１（【本園分】標準時間対応）'!BC31&gt;=ROUND((C44+C45)*0.3,0)),1,0) + IF(OR(AND('様式１－２（【分園分】標準時間対応）'!J31&gt;0, '様式１－２（【分園分】標準時間対応）'!R31&gt;0), '様式１－２（【分園分】標準時間対応）'!BC31&gt;=ROUND((D44+D45)*0.3,0)),1,0)</f>
        <v>2</v>
      </c>
      <c r="AW43" s="702">
        <f>ROUND(SUM(AW7:AW42)/12,1)</f>
        <v>0</v>
      </c>
      <c r="AX43" s="589" t="e">
        <f>SUM(AO43:AW45)</f>
        <v>#VALUE!</v>
      </c>
      <c r="AY43" s="177"/>
      <c r="BA43" s="569"/>
      <c r="BB43" s="689">
        <f>ROUND(SUM(BB7:BB42)/12,1)</f>
        <v>0</v>
      </c>
      <c r="BC43" s="694"/>
      <c r="BD43" s="676">
        <f>ROUND(SUM(BD7:BD42)/12,1)</f>
        <v>0</v>
      </c>
      <c r="BE43" s="840">
        <f>ROUND(SUM(BE7:BE42)/12,1)</f>
        <v>0</v>
      </c>
      <c r="BF43" s="694"/>
      <c r="BG43" s="838">
        <f>ROUND(SUM(BG7:BG42)/12,1)</f>
        <v>0</v>
      </c>
      <c r="BH43" s="561">
        <f>BB43+BD43+IF((BE43+BG43)&gt;=AJ43,AJ43,(BE43+BG43))</f>
        <v>0</v>
      </c>
      <c r="BI43" s="686" t="e">
        <f>BH43-AO43</f>
        <v>#VALUE!</v>
      </c>
      <c r="BN43" s="604" t="s">
        <v>175</v>
      </c>
      <c r="BO43" s="280" t="s">
        <v>70</v>
      </c>
      <c r="BP43" s="281">
        <f>Y43+AA43+AC43+AF43+AI43+AK43+AN43</f>
        <v>0</v>
      </c>
      <c r="BQ43" s="282">
        <f>ROUND(BP43/(BP43+BP44),2)</f>
        <v>0</v>
      </c>
      <c r="BS43" s="604" t="s">
        <v>175</v>
      </c>
      <c r="BT43" s="280" t="s">
        <v>70</v>
      </c>
      <c r="BU43" s="283">
        <f>AC43+AF43</f>
        <v>0</v>
      </c>
      <c r="BV43" s="282">
        <f>ROUND(BU43/(BU43+BU44),2)</f>
        <v>0</v>
      </c>
    </row>
    <row r="44" spans="1:82" ht="27" customHeight="1">
      <c r="A44" s="778"/>
      <c r="B44" s="69" t="s">
        <v>71</v>
      </c>
      <c r="C44" s="228">
        <f t="shared" si="49"/>
        <v>0</v>
      </c>
      <c r="D44" s="228">
        <f t="shared" si="49"/>
        <v>0</v>
      </c>
      <c r="E44" s="208"/>
      <c r="F44" s="208"/>
      <c r="G44" s="208"/>
      <c r="H44" s="208"/>
      <c r="I44" s="209">
        <f>ROUND(SUM(I8,I11,I14,I17,I20,I23,I26,I29,I32,I35,I38,I41)/12,0)</f>
        <v>0</v>
      </c>
      <c r="J44" s="209">
        <f>ROUND(SUM(J8,J11,J14,J17,J20,J23,J26,J29,J32,J35,J38,J41)/12,0)</f>
        <v>0</v>
      </c>
      <c r="K44" s="209">
        <f>ROUND(SUM(K8,K11,K14,K17,K20,K23,K26,K29,K32,K35,K38,K41)/12,0)</f>
        <v>0</v>
      </c>
      <c r="L44" s="221"/>
      <c r="M44" s="214"/>
      <c r="N44" s="208"/>
      <c r="O44" s="208"/>
      <c r="P44" s="208"/>
      <c r="Q44" s="209">
        <f>ROUND(SUM(Q8,Q11,Q14,Q17,Q20,Q23,Q26,Q29,Q32,Q35,Q38,Q41)/12,0)</f>
        <v>0</v>
      </c>
      <c r="R44" s="209">
        <f>ROUND(SUM(R8,R11,R14,R17,R20,R23,R26,R29,R32,R35,R38,R41)/12,0)</f>
        <v>0</v>
      </c>
      <c r="S44" s="209">
        <f>ROUND(SUM(S8,S11,S14,S17,S20,S23,S26,S29,S32,S35,S38,S41)/12,0)</f>
        <v>0</v>
      </c>
      <c r="T44" s="210"/>
      <c r="U44" s="56">
        <f>SUM(I44:K44)</f>
        <v>0</v>
      </c>
      <c r="V44" s="763"/>
      <c r="W44" s="55">
        <f>SUM(Q44:S44)</f>
        <v>0</v>
      </c>
      <c r="X44" s="659"/>
      <c r="Y44" s="634">
        <f>IF(C44+C45&lt;=90,1,0)+IF(D44+D45&lt;=90,1,0)</f>
        <v>2</v>
      </c>
      <c r="Z44" s="612"/>
      <c r="AA44" s="614">
        <f>AB43</f>
        <v>0</v>
      </c>
      <c r="AB44" s="612"/>
      <c r="AC44" s="614">
        <f>IF($U44+$U45&gt;0,1,0)+IF($W44+$W45&gt;0,1,0)</f>
        <v>0</v>
      </c>
      <c r="AD44" s="664"/>
      <c r="AE44" s="798"/>
      <c r="AF44" s="775">
        <f>AG43-AF43</f>
        <v>0</v>
      </c>
      <c r="AG44" s="779"/>
      <c r="AH44" s="561"/>
      <c r="AI44" s="482">
        <f>AJ43-AI43</f>
        <v>0</v>
      </c>
      <c r="AJ44" s="564"/>
      <c r="AK44" s="617"/>
      <c r="AL44" s="617"/>
      <c r="AM44" s="592"/>
      <c r="AN44" s="683">
        <f>IFERROR(AM43*(ROUND((U44+U45+W44+W45)/(X43+V43),1)),0)</f>
        <v>0</v>
      </c>
      <c r="AO44" s="561"/>
      <c r="AP44" s="677"/>
      <c r="AQ44" s="677"/>
      <c r="AR44" s="571"/>
      <c r="AS44" s="571"/>
      <c r="AT44" s="571"/>
      <c r="AU44" s="698"/>
      <c r="AV44" s="692"/>
      <c r="AW44" s="702"/>
      <c r="AX44" s="589"/>
      <c r="AY44" s="177"/>
      <c r="BA44" s="569"/>
      <c r="BB44" s="689"/>
      <c r="BC44" s="695"/>
      <c r="BD44" s="677"/>
      <c r="BE44" s="840"/>
      <c r="BF44" s="695"/>
      <c r="BG44" s="838"/>
      <c r="BH44" s="561"/>
      <c r="BI44" s="561"/>
      <c r="BN44" s="605"/>
      <c r="BO44" s="599" t="s">
        <v>120</v>
      </c>
      <c r="BP44" s="595">
        <f>Y44+AA44+AC44+AF44+AI44+AN44+AR43+AS43+AT43+AV43+AU43+AW43</f>
        <v>4</v>
      </c>
      <c r="BQ44" s="603">
        <f>1-BQ43</f>
        <v>1</v>
      </c>
      <c r="BS44" s="605"/>
      <c r="BT44" s="599" t="s">
        <v>120</v>
      </c>
      <c r="BU44" s="816">
        <f>Y44+AA44+AF44+AC44</f>
        <v>2</v>
      </c>
      <c r="BV44" s="603">
        <f t="shared" ref="BV44" si="50">ROUND(BU44/(BU43+BU44),2)</f>
        <v>1</v>
      </c>
    </row>
    <row r="45" spans="1:82" ht="27" customHeight="1" thickBot="1">
      <c r="A45" s="778"/>
      <c r="B45" s="69" t="s">
        <v>72</v>
      </c>
      <c r="C45" s="228">
        <f t="shared" si="49"/>
        <v>0</v>
      </c>
      <c r="D45" s="228">
        <f t="shared" si="49"/>
        <v>0</v>
      </c>
      <c r="E45" s="209">
        <f>ROUND(SUM(E9,E12,E15,E18,E21,E24,E27,E30,E33,E36,E39,E42)/12,0)</f>
        <v>0</v>
      </c>
      <c r="F45" s="209">
        <f>ROUND(SUM(F9,F12,F15,F18,F21,F24,F27,F30,F33,F36,F39,F42)/12,0)</f>
        <v>0</v>
      </c>
      <c r="G45" s="209">
        <f>ROUND(SUM(G9,G12,G15,G18,G21,G24,G27,G30,G33,G36,G39,G42)/12,0)</f>
        <v>0</v>
      </c>
      <c r="H45" s="208"/>
      <c r="I45" s="208"/>
      <c r="J45" s="208"/>
      <c r="K45" s="208"/>
      <c r="L45" s="221"/>
      <c r="M45" s="215">
        <f>ROUND(SUM(M9,M12,M15,M18,M21,M24,M27,M30,M33,M36,M39,M42)/12,0)</f>
        <v>0</v>
      </c>
      <c r="N45" s="209">
        <f>ROUND(SUM(N9,N12,N15,N18,N21,N24,N27,N30,N33,N36,N39,N42)/12,0)</f>
        <v>0</v>
      </c>
      <c r="O45" s="209">
        <f>ROUND(SUM(O9,O12,O15,O18,O21,O24,O27,O30,O33,O36,O39,O42)/12,0)</f>
        <v>0</v>
      </c>
      <c r="P45" s="208"/>
      <c r="Q45" s="208"/>
      <c r="R45" s="208"/>
      <c r="S45" s="208"/>
      <c r="T45" s="211"/>
      <c r="U45" s="56">
        <f>SUM(E45:F45,G45)</f>
        <v>0</v>
      </c>
      <c r="V45" s="764"/>
      <c r="W45" s="329">
        <f>SUM(M45:N45,O45)</f>
        <v>0</v>
      </c>
      <c r="X45" s="660"/>
      <c r="Y45" s="635"/>
      <c r="Z45" s="613"/>
      <c r="AA45" s="615"/>
      <c r="AB45" s="613"/>
      <c r="AC45" s="615"/>
      <c r="AD45" s="786"/>
      <c r="AE45" s="799"/>
      <c r="AF45" s="776"/>
      <c r="AG45" s="780"/>
      <c r="AH45" s="687"/>
      <c r="AI45" s="483"/>
      <c r="AJ45" s="565"/>
      <c r="AK45" s="618"/>
      <c r="AL45" s="618"/>
      <c r="AM45" s="593"/>
      <c r="AN45" s="684"/>
      <c r="AO45" s="687"/>
      <c r="AP45" s="678"/>
      <c r="AQ45" s="678"/>
      <c r="AR45" s="572"/>
      <c r="AS45" s="572"/>
      <c r="AT45" s="572"/>
      <c r="AU45" s="699"/>
      <c r="AV45" s="693"/>
      <c r="AW45" s="703"/>
      <c r="AX45" s="708"/>
      <c r="AY45" s="177"/>
      <c r="BA45" s="569"/>
      <c r="BB45" s="690"/>
      <c r="BC45" s="696"/>
      <c r="BD45" s="678"/>
      <c r="BE45" s="841"/>
      <c r="BF45" s="696"/>
      <c r="BG45" s="839"/>
      <c r="BH45" s="687"/>
      <c r="BI45" s="687"/>
      <c r="BN45" s="606"/>
      <c r="BO45" s="599"/>
      <c r="BP45" s="595"/>
      <c r="BQ45" s="603"/>
      <c r="BS45" s="606"/>
      <c r="BT45" s="599"/>
      <c r="BU45" s="816"/>
      <c r="BV45" s="603"/>
    </row>
    <row r="46" spans="1:82" ht="27" customHeight="1" thickTop="1" thickBot="1">
      <c r="BD46" s="1"/>
      <c r="BE46" s="1"/>
      <c r="BF46" s="1"/>
      <c r="BG46" s="1"/>
      <c r="BP46" s="305"/>
      <c r="BQ46" s="175"/>
      <c r="BR46" s="306"/>
      <c r="BS46" s="307"/>
      <c r="BU46" s="305"/>
      <c r="BV46" s="175"/>
      <c r="BW46" s="308"/>
      <c r="BX46" s="307"/>
    </row>
    <row r="47" spans="1:82" customFormat="1" ht="24.75" customHeight="1" thickTop="1">
      <c r="L47" s="822" t="s">
        <v>236</v>
      </c>
      <c r="M47" s="823"/>
      <c r="N47" s="823"/>
      <c r="O47" s="823"/>
      <c r="P47" s="824"/>
      <c r="Q47" s="825" t="s">
        <v>237</v>
      </c>
      <c r="R47" s="825"/>
      <c r="S47" s="825"/>
      <c r="T47" s="826"/>
      <c r="U47" s="161" t="s">
        <v>238</v>
      </c>
      <c r="AB47" s="309"/>
    </row>
    <row r="48" spans="1:82" customFormat="1" ht="24.75" customHeight="1">
      <c r="L48" s="829" t="s">
        <v>239</v>
      </c>
      <c r="M48" s="830"/>
      <c r="N48" s="455" t="s">
        <v>405</v>
      </c>
      <c r="O48" s="830" t="s">
        <v>240</v>
      </c>
      <c r="P48" s="831"/>
      <c r="Q48" s="827"/>
      <c r="R48" s="827"/>
      <c r="S48" s="827"/>
      <c r="T48" s="828"/>
      <c r="U48" s="161" t="s">
        <v>241</v>
      </c>
      <c r="V48" s="161"/>
      <c r="W48" s="161"/>
      <c r="X48" s="161"/>
      <c r="Y48" s="161"/>
      <c r="Z48" s="161"/>
      <c r="AA48" s="161"/>
      <c r="AB48" s="161"/>
      <c r="AC48" s="161"/>
      <c r="AD48" s="161"/>
      <c r="AE48" s="161"/>
      <c r="AF48" s="161"/>
      <c r="AG48" s="161"/>
    </row>
    <row r="49" spans="1:61" customFormat="1" ht="55.5" customHeight="1" thickBot="1">
      <c r="L49" s="832">
        <f>【補助金算定に係る確認表】!AE21</f>
        <v>2</v>
      </c>
      <c r="M49" s="833"/>
      <c r="N49" s="456">
        <f>【補助金算定に係る確認表】!AF21</f>
        <v>0</v>
      </c>
      <c r="O49" s="834">
        <f>【補助金算定に係る確認表】!AG21</f>
        <v>0</v>
      </c>
      <c r="P49" s="835"/>
      <c r="Q49" s="836" t="s">
        <v>379</v>
      </c>
      <c r="R49" s="836"/>
      <c r="S49" s="837"/>
      <c r="T49" s="310">
        <f>【補助金算定に係る確認表】!$D$21-【補助金算定に係る確認表】!H21</f>
        <v>-4</v>
      </c>
      <c r="U49" s="783" t="s">
        <v>242</v>
      </c>
      <c r="V49" s="784"/>
      <c r="W49" s="784"/>
      <c r="X49" s="784"/>
      <c r="Y49" s="784"/>
      <c r="Z49" s="784"/>
      <c r="AA49" s="784"/>
      <c r="AB49" s="784"/>
      <c r="AC49" s="784"/>
      <c r="AD49" s="784"/>
      <c r="AE49" s="784"/>
      <c r="AF49" s="785"/>
      <c r="AG49" s="311"/>
    </row>
    <row r="50" spans="1:61" customFormat="1" ht="58.5" customHeight="1" thickTop="1">
      <c r="L50" s="810" t="s">
        <v>404</v>
      </c>
      <c r="M50" s="811"/>
      <c r="N50" s="811"/>
      <c r="O50" s="811"/>
      <c r="P50" s="812"/>
      <c r="Q50" s="312" t="s">
        <v>243</v>
      </c>
      <c r="R50" s="313" t="s">
        <v>244</v>
      </c>
      <c r="S50" s="313" t="s">
        <v>245</v>
      </c>
      <c r="T50" s="313" t="s">
        <v>246</v>
      </c>
      <c r="U50" s="411" t="s">
        <v>247</v>
      </c>
      <c r="V50" s="314" t="s">
        <v>373</v>
      </c>
      <c r="W50" s="140"/>
      <c r="X50" s="140"/>
      <c r="Y50" s="140"/>
      <c r="Z50" s="140"/>
      <c r="AA50" s="140"/>
      <c r="AB50" s="315"/>
      <c r="AC50" s="140"/>
      <c r="AD50" s="140"/>
      <c r="AE50" s="140"/>
      <c r="AF50" s="140"/>
    </row>
    <row r="51" spans="1:61" customFormat="1" ht="36" customHeight="1">
      <c r="L51" s="813" t="s">
        <v>248</v>
      </c>
      <c r="M51" s="814"/>
      <c r="N51" s="814"/>
      <c r="O51" s="814"/>
      <c r="P51" s="815"/>
      <c r="Q51" s="316" t="str">
        <f>IF(SUM(AP43:AQ45)=0,"非該当",IF(【補助金算定に係る確認表】!$D$21&gt;【補助金算定に係る確認表】!K21,"○","-"))</f>
        <v>非該当</v>
      </c>
      <c r="R51" s="317" t="str">
        <f>IF(【補助金算定に係る確認表】!$D$21&gt;(【補助金算定に係る確認表】!K21+【補助金算定に係る確認表】!L21+【補助金算定に係る確認表】!N21),"○","-")</f>
        <v>-</v>
      </c>
      <c r="S51" s="317" t="str">
        <f>IF(【補助金算定に係る確認表】!$D$21&gt;(【補助金算定に係る確認表】!K21+【補助金算定に係る確認表】!L21+【補助金算定に係る確認表】!N21+【補助金算定に係る確認表】!Q21),"○","-")</f>
        <v>-</v>
      </c>
      <c r="T51" s="317" t="str">
        <f>IF(【補助金算定に係る確認表】!$D$21&gt;(【補助金算定に係る確認表】!K21+【補助金算定に係る確認表】!L21+【補助金算定に係る確認表】!N21+【補助金算定に係る確認表】!Q21+【補助金算定に係る確認表】!T21),"○","-")</f>
        <v>-</v>
      </c>
      <c r="U51" s="412" t="str">
        <f>IF(【補助金算定に係る確認表】!$D$21&gt;(【補助金算定に係る確認表】!K21+【補助金算定に係る確認表】!L21+【補助金算定に係る確認表】!N21+【補助金算定に係る確認表】!Q21+【補助金算定に係る確認表】!T21+【補助金算定に係る確認表】!W21),"○","-")</f>
        <v>-</v>
      </c>
      <c r="V51" s="318" t="str">
        <f>IF(【補助金算定に係る確認表】!$D$21&gt;(【補助金算定に係る確認表】!K21+【補助金算定に係る確認表】!L21+【補助金算定に係る確認表】!N21+【補助金算定に係る確認表】!Q21+【補助金算定に係る確認表】!T21+【補助金算定に係る確認表】!W21+【補助金算定に係る確認表】!Z21),"○","-")</f>
        <v>-</v>
      </c>
    </row>
    <row r="52" spans="1:61" customFormat="1" ht="36" customHeight="1">
      <c r="L52" s="817" t="s">
        <v>249</v>
      </c>
      <c r="M52" s="818"/>
      <c r="N52" s="818"/>
      <c r="O52" s="818"/>
      <c r="P52" s="819"/>
      <c r="Q52" s="319"/>
      <c r="R52" s="320">
        <f>IF(R51="○","適用済",((【補助金算定に係る確認表】!K21+【補助金算定に係る確認表】!L21+【補助金算定に係る確認表】!N21)+0.1-(【補助金算定に係る確認表】!$D$21)))</f>
        <v>2.1</v>
      </c>
      <c r="S52" s="320">
        <f>IF(S51="○","適用済",((【補助金算定に係る確認表】!K21+【補助金算定に係る確認表】!L21+【補助金算定に係る確認表】!N21+【補助金算定に係る確認表】!Q21)+0.1-(【補助金算定に係る確認表】!$D$21)))</f>
        <v>2.1</v>
      </c>
      <c r="T52" s="320">
        <f>IF(T51="○","適用済",((【補助金算定に係る確認表】!K21+【補助金算定に係る確認表】!L21+【補助金算定に係る確認表】!N21+【補助金算定に係る確認表】!Q21+【補助金算定に係る確認表】!T21)+0.1-(【補助金算定に係る確認表】!$D$21)))</f>
        <v>2.1</v>
      </c>
      <c r="U52" s="413">
        <f>IF(U51="○","適用済",((【補助金算定に係る確認表】!K21+【補助金算定に係る確認表】!L21+【補助金算定に係る確認表】!N21+【補助金算定に係る確認表】!Q21+【補助金算定に係る確認表】!T21+【補助金算定に係る確認表】!W21)+0.1-(【補助金算定に係る確認表】!$D$21)))</f>
        <v>2.1</v>
      </c>
      <c r="V52" s="321">
        <f>IF(V51="○","適用済",((【補助金算定に係る確認表】!K21+【補助金算定に係る確認表】!L21+【補助金算定に係る確認表】!N21+【補助金算定に係る確認表】!Q21+【補助金算定に係る確認表】!T21+【補助金算定に係る確認表】!W21+【補助金算定に係る確認表】!Z21)+0.1-(【補助金算定に係る確認表】!$D$21)))</f>
        <v>4.0999999999999996</v>
      </c>
    </row>
    <row r="53" spans="1:61" customFormat="1" ht="72" customHeight="1" thickBot="1">
      <c r="L53" s="820" t="s">
        <v>403</v>
      </c>
      <c r="M53" s="821"/>
      <c r="N53" s="821"/>
      <c r="O53" s="322" t="s">
        <v>250</v>
      </c>
      <c r="P53" s="323"/>
      <c r="Q53" s="324"/>
      <c r="R53" s="325">
        <f>IF(R$52="適用済","適用済",IF($P$53="",R$52,IF($P$53&lt;=3,ROUND(R$52*12/(4-$P$53),1),ROUND(R$52*12/(16-$P$53),1))))</f>
        <v>2.1</v>
      </c>
      <c r="S53" s="325">
        <f>IF(S$52="適用済","適用済",IF($P$53="",S$52,IF($P$53&lt;=3,ROUND(S$52*12/(4-$P$53),1),ROUND(S$52*12/(16-$P$53),1))))</f>
        <v>2.1</v>
      </c>
      <c r="T53" s="325">
        <f>IF(T$52="適用済","適用済",IF($P$53="",T$52,IF($P$53&lt;=3,ROUND(T$52*12/(4-$P$53),1),ROUND(T$52*12/(16-$P$53),1))))</f>
        <v>2.1</v>
      </c>
      <c r="U53" s="414">
        <f>IF(U$52="適用済","適用済",IF($P$53="",U$52,IF($P$53&lt;=3,ROUND(U$52*12/(4-$P$53),1),ROUND(U$52*12/(16-$P$53),1))))</f>
        <v>2.1</v>
      </c>
      <c r="V53" s="326">
        <f>IF(V$52="適用済","適用済",IF($P$53="",V$52,IF($P$53&lt;=3,ROUND(V$52*12/(4-$P$53),1),ROUND(V$52*12/(16-$P$53),1))))</f>
        <v>4.0999999999999996</v>
      </c>
    </row>
    <row r="54" spans="1:61" customFormat="1" ht="108.75" customHeight="1" thickTop="1">
      <c r="N54" s="327"/>
      <c r="Q54" s="327"/>
      <c r="R54" s="327"/>
      <c r="S54" s="327"/>
      <c r="T54" s="327"/>
      <c r="U54" s="327"/>
      <c r="X54" s="328"/>
      <c r="AB54" s="309"/>
    </row>
    <row r="55" spans="1:61" s="70" customFormat="1">
      <c r="A55" s="802" t="s">
        <v>171</v>
      </c>
      <c r="B55" s="803"/>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row>
    <row r="56" spans="1:61">
      <c r="A56" s="804" t="s">
        <v>401</v>
      </c>
      <c r="B56" s="805"/>
    </row>
    <row r="57" spans="1:61">
      <c r="AD57" s="7"/>
      <c r="AE57" s="74"/>
      <c r="AF57" s="74"/>
      <c r="AG57" s="74"/>
      <c r="AH57" s="75"/>
      <c r="AI57" s="75"/>
    </row>
    <row r="58" spans="1:61">
      <c r="AD58" s="7"/>
      <c r="AE58" s="7"/>
      <c r="AF58" s="7"/>
      <c r="AG58" s="7"/>
      <c r="AH58" s="75"/>
      <c r="AI58" s="75"/>
    </row>
    <row r="59" spans="1:61">
      <c r="K59" s="404" t="s">
        <v>49</v>
      </c>
      <c r="AD59" s="7"/>
      <c r="AE59" s="7"/>
      <c r="AF59" s="7"/>
      <c r="AG59" s="7"/>
      <c r="AH59" s="75"/>
      <c r="AI59" s="75"/>
    </row>
    <row r="60" spans="1:61">
      <c r="AD60" s="7"/>
      <c r="AE60" s="7"/>
      <c r="AF60" s="7"/>
      <c r="AG60" s="7"/>
      <c r="AH60" s="75"/>
      <c r="AI60" s="75"/>
    </row>
    <row r="61" spans="1:61">
      <c r="AD61" s="7"/>
      <c r="AE61" s="7"/>
      <c r="AF61" s="7"/>
      <c r="AG61" s="7"/>
      <c r="AH61" s="75"/>
      <c r="AI61" s="75"/>
    </row>
    <row r="62" spans="1:61">
      <c r="AD62" s="7"/>
      <c r="AE62" s="7"/>
      <c r="AF62" s="7"/>
      <c r="AG62" s="7"/>
      <c r="AH62" s="75"/>
      <c r="AI62" s="75"/>
    </row>
    <row r="63" spans="1:61">
      <c r="AD63" s="7"/>
      <c r="AE63" s="7"/>
      <c r="AF63" s="7"/>
      <c r="AG63" s="7"/>
      <c r="AH63" s="75"/>
      <c r="AI63" s="75"/>
    </row>
    <row r="64" spans="1:61">
      <c r="AD64" s="7"/>
      <c r="AE64" s="7"/>
      <c r="AF64" s="7"/>
      <c r="AG64" s="7"/>
      <c r="AH64" s="75"/>
      <c r="AI64" s="75"/>
    </row>
    <row r="65" spans="30:35">
      <c r="AD65" s="7"/>
      <c r="AE65" s="7"/>
      <c r="AF65" s="7"/>
      <c r="AG65" s="7"/>
      <c r="AH65" s="75"/>
      <c r="AI65" s="75"/>
    </row>
    <row r="66" spans="30:35">
      <c r="AD66" s="7"/>
      <c r="AE66" s="7"/>
      <c r="AF66" s="7"/>
      <c r="AG66" s="7"/>
      <c r="AH66" s="75"/>
      <c r="AI66" s="75"/>
    </row>
    <row r="67" spans="30:35">
      <c r="AD67" s="7"/>
      <c r="AE67" s="7"/>
      <c r="AF67" s="7"/>
      <c r="AG67" s="7"/>
      <c r="AH67" s="75"/>
      <c r="AI67" s="75"/>
    </row>
    <row r="68" spans="30:35">
      <c r="AD68" s="7"/>
      <c r="AE68" s="7"/>
      <c r="AF68" s="7"/>
      <c r="AG68" s="7"/>
      <c r="AH68" s="75"/>
      <c r="AI68" s="75"/>
    </row>
    <row r="69" spans="30:35">
      <c r="AE69" s="73"/>
      <c r="AF69" s="73"/>
      <c r="AG69" s="73"/>
    </row>
    <row r="70" spans="30:35">
      <c r="AE70" s="73"/>
      <c r="AF70" s="73"/>
      <c r="AG70" s="73"/>
    </row>
    <row r="71" spans="30:35">
      <c r="AE71" s="73"/>
      <c r="AF71" s="73"/>
      <c r="AG71" s="73"/>
    </row>
  </sheetData>
  <sheetProtection algorithmName="SHA-512" hashValue="nI3NxmRs1wLUDNHPLbGAURGikRoVtENQIaqbPzkeXUUJN8uhqENONvZ7fFyQrrQmBjbqIqEl8RXEa3JVs4KpUQ==" saltValue="vTOtfdNeogTN8SISUrAPGA==" spinCount="100000" sheet="1" objects="1" scenarios="1"/>
  <mergeCells count="735">
    <mergeCell ref="BZ37:BZ39"/>
    <mergeCell ref="CA37:CA39"/>
    <mergeCell ref="CB37:CB39"/>
    <mergeCell ref="CC37:CC39"/>
    <mergeCell ref="CD37:CD39"/>
    <mergeCell ref="BZ40:BZ42"/>
    <mergeCell ref="CA40:CA42"/>
    <mergeCell ref="CB40:CB42"/>
    <mergeCell ref="CC40:CC42"/>
    <mergeCell ref="CD40:CD42"/>
    <mergeCell ref="BZ31:BZ33"/>
    <mergeCell ref="CA31:CA33"/>
    <mergeCell ref="CB31:CB33"/>
    <mergeCell ref="CC31:CC33"/>
    <mergeCell ref="CD31:CD33"/>
    <mergeCell ref="BZ34:BZ36"/>
    <mergeCell ref="CA34:CA36"/>
    <mergeCell ref="CB34:CB36"/>
    <mergeCell ref="CC34:CC36"/>
    <mergeCell ref="CD34:CD36"/>
    <mergeCell ref="BZ25:BZ27"/>
    <mergeCell ref="CA25:CA27"/>
    <mergeCell ref="CB25:CB27"/>
    <mergeCell ref="CC25:CC27"/>
    <mergeCell ref="CD25:CD27"/>
    <mergeCell ref="BZ28:BZ30"/>
    <mergeCell ref="CA28:CA30"/>
    <mergeCell ref="CB28:CB30"/>
    <mergeCell ref="CC28:CC30"/>
    <mergeCell ref="CD28:CD30"/>
    <mergeCell ref="BZ19:BZ21"/>
    <mergeCell ref="CA19:CA21"/>
    <mergeCell ref="CB19:CB21"/>
    <mergeCell ref="CC19:CC21"/>
    <mergeCell ref="CD19:CD21"/>
    <mergeCell ref="BZ22:BZ24"/>
    <mergeCell ref="CA22:CA24"/>
    <mergeCell ref="CB22:CB24"/>
    <mergeCell ref="CC22:CC24"/>
    <mergeCell ref="CD22:CD24"/>
    <mergeCell ref="BZ13:BZ15"/>
    <mergeCell ref="CA13:CA15"/>
    <mergeCell ref="CB13:CB15"/>
    <mergeCell ref="CC13:CC15"/>
    <mergeCell ref="CD13:CD15"/>
    <mergeCell ref="BZ16:BZ18"/>
    <mergeCell ref="CA16:CA18"/>
    <mergeCell ref="CB16:CB18"/>
    <mergeCell ref="CC16:CC18"/>
    <mergeCell ref="CD16:CD18"/>
    <mergeCell ref="BZ7:BZ9"/>
    <mergeCell ref="CA7:CA9"/>
    <mergeCell ref="CB7:CB9"/>
    <mergeCell ref="CC7:CC9"/>
    <mergeCell ref="CD7:CD9"/>
    <mergeCell ref="BZ10:BZ12"/>
    <mergeCell ref="CA10:CA12"/>
    <mergeCell ref="CB10:CB12"/>
    <mergeCell ref="CC10:CC12"/>
    <mergeCell ref="CD10:CD12"/>
    <mergeCell ref="BX34:BX36"/>
    <mergeCell ref="BX37:BX39"/>
    <mergeCell ref="BX40:BX42"/>
    <mergeCell ref="BY7:BY9"/>
    <mergeCell ref="BY10:BY12"/>
    <mergeCell ref="BY13:BY15"/>
    <mergeCell ref="BY16:BY18"/>
    <mergeCell ref="BY19:BY21"/>
    <mergeCell ref="BY22:BY24"/>
    <mergeCell ref="BY25:BY27"/>
    <mergeCell ref="BY28:BY30"/>
    <mergeCell ref="BY31:BY33"/>
    <mergeCell ref="BY34:BY36"/>
    <mergeCell ref="BY37:BY39"/>
    <mergeCell ref="BY40:BY42"/>
    <mergeCell ref="BX7:BX9"/>
    <mergeCell ref="BX10:BX12"/>
    <mergeCell ref="BX13:BX15"/>
    <mergeCell ref="BX16:BX18"/>
    <mergeCell ref="BX19:BX21"/>
    <mergeCell ref="BX22:BX24"/>
    <mergeCell ref="BX25:BX27"/>
    <mergeCell ref="BX28:BX30"/>
    <mergeCell ref="BX31:BX33"/>
    <mergeCell ref="BB7:BB9"/>
    <mergeCell ref="BF7:BF9"/>
    <mergeCell ref="BH25:BH27"/>
    <mergeCell ref="BF16:BF18"/>
    <mergeCell ref="BA7:BA9"/>
    <mergeCell ref="BA10:BA12"/>
    <mergeCell ref="BA13:BA15"/>
    <mergeCell ref="BA16:BA18"/>
    <mergeCell ref="BA19:BA21"/>
    <mergeCell ref="BA22:BA24"/>
    <mergeCell ref="BA25:BA27"/>
    <mergeCell ref="BG22:BG24"/>
    <mergeCell ref="BE19:BE21"/>
    <mergeCell ref="BE22:BE24"/>
    <mergeCell ref="BD22:BD24"/>
    <mergeCell ref="BF19:BF21"/>
    <mergeCell ref="BF22:BF24"/>
    <mergeCell ref="BE7:BE9"/>
    <mergeCell ref="BD10:BD12"/>
    <mergeCell ref="BH10:BH12"/>
    <mergeCell ref="BE10:BE12"/>
    <mergeCell ref="BG10:BG12"/>
    <mergeCell ref="BF10:BF12"/>
    <mergeCell ref="BB10:BB12"/>
    <mergeCell ref="BI7:BI9"/>
    <mergeCell ref="BF13:BF15"/>
    <mergeCell ref="BI10:BI12"/>
    <mergeCell ref="BH13:BH15"/>
    <mergeCell ref="BE13:BE15"/>
    <mergeCell ref="BE16:BE18"/>
    <mergeCell ref="BG43:BG45"/>
    <mergeCell ref="BG13:BG15"/>
    <mergeCell ref="BE43:BE45"/>
    <mergeCell ref="BE37:BE39"/>
    <mergeCell ref="BF43:BF45"/>
    <mergeCell ref="BI37:BI39"/>
    <mergeCell ref="BH37:BH39"/>
    <mergeCell ref="BG37:BG39"/>
    <mergeCell ref="BH40:BH42"/>
    <mergeCell ref="BH43:BH45"/>
    <mergeCell ref="BI43:BI45"/>
    <mergeCell ref="BI34:BI36"/>
    <mergeCell ref="BG40:BG42"/>
    <mergeCell ref="BI13:BI15"/>
    <mergeCell ref="BH16:BH18"/>
    <mergeCell ref="BH22:BH24"/>
    <mergeCell ref="BI40:BI42"/>
    <mergeCell ref="BE40:BE42"/>
    <mergeCell ref="L52:P52"/>
    <mergeCell ref="L53:N53"/>
    <mergeCell ref="L47:P47"/>
    <mergeCell ref="Q47:T48"/>
    <mergeCell ref="L48:M48"/>
    <mergeCell ref="O48:P48"/>
    <mergeCell ref="L49:M49"/>
    <mergeCell ref="O49:P49"/>
    <mergeCell ref="Q49:S49"/>
    <mergeCell ref="BS43:BS45"/>
    <mergeCell ref="BT44:BT45"/>
    <mergeCell ref="BU44:BU45"/>
    <mergeCell ref="BV44:BV45"/>
    <mergeCell ref="BS34:BS36"/>
    <mergeCell ref="BT35:BT36"/>
    <mergeCell ref="BU35:BU36"/>
    <mergeCell ref="BV35:BV36"/>
    <mergeCell ref="BS37:BS39"/>
    <mergeCell ref="BT38:BT39"/>
    <mergeCell ref="BU38:BU39"/>
    <mergeCell ref="BV38:BV39"/>
    <mergeCell ref="BS40:BS42"/>
    <mergeCell ref="BT41:BT42"/>
    <mergeCell ref="BU41:BU42"/>
    <mergeCell ref="BV41:BV42"/>
    <mergeCell ref="BS25:BS27"/>
    <mergeCell ref="BT26:BT27"/>
    <mergeCell ref="BU26:BU27"/>
    <mergeCell ref="BV26:BV27"/>
    <mergeCell ref="BS28:BS30"/>
    <mergeCell ref="BT29:BT30"/>
    <mergeCell ref="BU29:BU30"/>
    <mergeCell ref="BV29:BV30"/>
    <mergeCell ref="BS31:BS33"/>
    <mergeCell ref="BT32:BT33"/>
    <mergeCell ref="BU32:BU33"/>
    <mergeCell ref="BV32:BV33"/>
    <mergeCell ref="BS16:BS18"/>
    <mergeCell ref="BT17:BT18"/>
    <mergeCell ref="BU17:BU18"/>
    <mergeCell ref="BV17:BV18"/>
    <mergeCell ref="BS19:BS21"/>
    <mergeCell ref="BT20:BT21"/>
    <mergeCell ref="BU20:BU21"/>
    <mergeCell ref="BV20:BV21"/>
    <mergeCell ref="BS22:BS24"/>
    <mergeCell ref="BT23:BT24"/>
    <mergeCell ref="BU23:BU24"/>
    <mergeCell ref="BV23:BV24"/>
    <mergeCell ref="BS7:BS9"/>
    <mergeCell ref="BT8:BT9"/>
    <mergeCell ref="BU8:BU9"/>
    <mergeCell ref="BV8:BV9"/>
    <mergeCell ref="BS10:BS12"/>
    <mergeCell ref="BT11:BT12"/>
    <mergeCell ref="BU11:BU12"/>
    <mergeCell ref="BV11:BV12"/>
    <mergeCell ref="BS13:BS15"/>
    <mergeCell ref="BT14:BT15"/>
    <mergeCell ref="BU14:BU15"/>
    <mergeCell ref="BV14:BV15"/>
    <mergeCell ref="A55:B55"/>
    <mergeCell ref="A56:B56"/>
    <mergeCell ref="AV37:AV39"/>
    <mergeCell ref="AV28:AV30"/>
    <mergeCell ref="AV31:AV33"/>
    <mergeCell ref="AT22:AT24"/>
    <mergeCell ref="AT19:AT21"/>
    <mergeCell ref="AU16:AU18"/>
    <mergeCell ref="AV22:AV24"/>
    <mergeCell ref="AV25:AV27"/>
    <mergeCell ref="AU19:AU21"/>
    <mergeCell ref="AU22:AU24"/>
    <mergeCell ref="AU25:AU27"/>
    <mergeCell ref="AU28:AU30"/>
    <mergeCell ref="AU31:AU33"/>
    <mergeCell ref="AT25:AT27"/>
    <mergeCell ref="AV34:AV36"/>
    <mergeCell ref="AU34:AU36"/>
    <mergeCell ref="A40:A42"/>
    <mergeCell ref="V40:V42"/>
    <mergeCell ref="X40:X42"/>
    <mergeCell ref="AB40:AB42"/>
    <mergeCell ref="L50:P50"/>
    <mergeCell ref="L51:P51"/>
    <mergeCell ref="AE7:AE9"/>
    <mergeCell ref="AC44:AC45"/>
    <mergeCell ref="AE40:AE42"/>
    <mergeCell ref="AG40:AG42"/>
    <mergeCell ref="AC26:AC27"/>
    <mergeCell ref="AC35:AC36"/>
    <mergeCell ref="AC41:AC42"/>
    <mergeCell ref="AC29:AC30"/>
    <mergeCell ref="AC32:AC33"/>
    <mergeCell ref="AG10:AG12"/>
    <mergeCell ref="AF11:AF12"/>
    <mergeCell ref="AG13:AG15"/>
    <mergeCell ref="AG16:AG18"/>
    <mergeCell ref="AD40:AD42"/>
    <mergeCell ref="AE43:AE45"/>
    <mergeCell ref="AF38:AF39"/>
    <mergeCell ref="AG19:AG21"/>
    <mergeCell ref="AD43:AD45"/>
    <mergeCell ref="AD37:AD39"/>
    <mergeCell ref="AF41:AF42"/>
    <mergeCell ref="AE37:AE39"/>
    <mergeCell ref="AD10:AD12"/>
    <mergeCell ref="AD13:AD15"/>
    <mergeCell ref="AD16:AD18"/>
    <mergeCell ref="AC8:AC9"/>
    <mergeCell ref="AC11:AC12"/>
    <mergeCell ref="AC14:AC15"/>
    <mergeCell ref="AD28:AD30"/>
    <mergeCell ref="AD34:AD36"/>
    <mergeCell ref="AD31:AD33"/>
    <mergeCell ref="AC20:AC21"/>
    <mergeCell ref="AC23:AC24"/>
    <mergeCell ref="AC17:AC18"/>
    <mergeCell ref="AD25:AD27"/>
    <mergeCell ref="AQ16:AQ18"/>
    <mergeCell ref="AP4:AQ5"/>
    <mergeCell ref="AT7:AT9"/>
    <mergeCell ref="AS10:AS12"/>
    <mergeCell ref="AQ13:AQ15"/>
    <mergeCell ref="AR13:AR15"/>
    <mergeCell ref="AS13:AS15"/>
    <mergeCell ref="AT13:AT15"/>
    <mergeCell ref="AF8:AF9"/>
    <mergeCell ref="AF17:AF18"/>
    <mergeCell ref="U49:AF49"/>
    <mergeCell ref="AS19:AS21"/>
    <mergeCell ref="BC25:BC27"/>
    <mergeCell ref="AG37:AG39"/>
    <mergeCell ref="AM34:AM36"/>
    <mergeCell ref="AN35:AN36"/>
    <mergeCell ref="AD19:AD21"/>
    <mergeCell ref="AD22:AD24"/>
    <mergeCell ref="AE34:AE36"/>
    <mergeCell ref="AG25:AG27"/>
    <mergeCell ref="AF26:AF27"/>
    <mergeCell ref="AR19:AR21"/>
    <mergeCell ref="AM43:AM45"/>
    <mergeCell ref="AL40:AL42"/>
    <mergeCell ref="AM40:AM42"/>
    <mergeCell ref="AO28:AO30"/>
    <mergeCell ref="AM28:AM30"/>
    <mergeCell ref="AO31:AO33"/>
    <mergeCell ref="AK37:AK39"/>
    <mergeCell ref="AH40:AH42"/>
    <mergeCell ref="AA23:AA24"/>
    <mergeCell ref="AB28:AB30"/>
    <mergeCell ref="AF29:AF30"/>
    <mergeCell ref="AC38:AC39"/>
    <mergeCell ref="AK34:AK36"/>
    <mergeCell ref="AH34:AH36"/>
    <mergeCell ref="AG28:AG30"/>
    <mergeCell ref="AH43:AH45"/>
    <mergeCell ref="AG43:AG45"/>
    <mergeCell ref="AF44:AF45"/>
    <mergeCell ref="AH37:AH39"/>
    <mergeCell ref="AJ37:AJ39"/>
    <mergeCell ref="AJ43:AJ45"/>
    <mergeCell ref="AJ34:AJ36"/>
    <mergeCell ref="AJ28:AJ30"/>
    <mergeCell ref="AK28:AK30"/>
    <mergeCell ref="AJ40:AJ42"/>
    <mergeCell ref="AK43:AK45"/>
    <mergeCell ref="AK40:AK42"/>
    <mergeCell ref="AG22:AG24"/>
    <mergeCell ref="AE25:AE27"/>
    <mergeCell ref="AF14:AF15"/>
    <mergeCell ref="AG31:AG33"/>
    <mergeCell ref="AE16:AE18"/>
    <mergeCell ref="AJ16:AJ18"/>
    <mergeCell ref="AK16:AK18"/>
    <mergeCell ref="AH13:AH15"/>
    <mergeCell ref="AH16:AH18"/>
    <mergeCell ref="AF32:AF33"/>
    <mergeCell ref="AH28:AH30"/>
    <mergeCell ref="AK22:AK24"/>
    <mergeCell ref="AF23:AF24"/>
    <mergeCell ref="AE28:AE30"/>
    <mergeCell ref="AF20:AF21"/>
    <mergeCell ref="AM31:AM33"/>
    <mergeCell ref="A43:A45"/>
    <mergeCell ref="V7:V9"/>
    <mergeCell ref="A31:A33"/>
    <mergeCell ref="V34:V36"/>
    <mergeCell ref="V37:V39"/>
    <mergeCell ref="A34:A36"/>
    <mergeCell ref="A37:A39"/>
    <mergeCell ref="A28:A30"/>
    <mergeCell ref="A10:A12"/>
    <mergeCell ref="A13:A15"/>
    <mergeCell ref="V43:V45"/>
    <mergeCell ref="V13:V15"/>
    <mergeCell ref="V16:V18"/>
    <mergeCell ref="V19:V21"/>
    <mergeCell ref="V22:V24"/>
    <mergeCell ref="V25:V27"/>
    <mergeCell ref="A22:A24"/>
    <mergeCell ref="V10:V12"/>
    <mergeCell ref="AK13:AK15"/>
    <mergeCell ref="AJ25:AJ27"/>
    <mergeCell ref="AJ31:AJ33"/>
    <mergeCell ref="AJ13:AJ15"/>
    <mergeCell ref="AK19:AK21"/>
    <mergeCell ref="Q4:Q5"/>
    <mergeCell ref="Z16:Z18"/>
    <mergeCell ref="U4:V6"/>
    <mergeCell ref="F4:F5"/>
    <mergeCell ref="G4:G5"/>
    <mergeCell ref="H4:H5"/>
    <mergeCell ref="Y32:Y33"/>
    <mergeCell ref="AR25:AR27"/>
    <mergeCell ref="AR34:AR36"/>
    <mergeCell ref="AH31:AH33"/>
    <mergeCell ref="AG34:AG36"/>
    <mergeCell ref="AF35:AF36"/>
    <mergeCell ref="AE31:AE33"/>
    <mergeCell ref="AP31:AP33"/>
    <mergeCell ref="AK31:AK33"/>
    <mergeCell ref="AN29:AN30"/>
    <mergeCell ref="AR16:AR18"/>
    <mergeCell ref="AE13:AE15"/>
    <mergeCell ref="AQ22:AQ24"/>
    <mergeCell ref="AR22:AR24"/>
    <mergeCell ref="AM19:AM21"/>
    <mergeCell ref="AE10:AE12"/>
    <mergeCell ref="AJ10:AJ12"/>
    <mergeCell ref="AH25:AH27"/>
    <mergeCell ref="BB4:BD5"/>
    <mergeCell ref="BE4:BG5"/>
    <mergeCell ref="BH4:BH6"/>
    <mergeCell ref="A2:B2"/>
    <mergeCell ref="E6:K6"/>
    <mergeCell ref="V31:V33"/>
    <mergeCell ref="Z10:Z12"/>
    <mergeCell ref="V28:V30"/>
    <mergeCell ref="Z13:Z15"/>
    <mergeCell ref="Z19:Z21"/>
    <mergeCell ref="Z25:Z27"/>
    <mergeCell ref="A7:A9"/>
    <mergeCell ref="Z28:Z30"/>
    <mergeCell ref="C2:J2"/>
    <mergeCell ref="A3:A6"/>
    <mergeCell ref="C4:C6"/>
    <mergeCell ref="B4:B6"/>
    <mergeCell ref="E4:E5"/>
    <mergeCell ref="X7:X9"/>
    <mergeCell ref="A16:A18"/>
    <mergeCell ref="A19:A21"/>
    <mergeCell ref="A25:A27"/>
    <mergeCell ref="Y23:Y24"/>
    <mergeCell ref="Y26:Y27"/>
    <mergeCell ref="AE3:AG6"/>
    <mergeCell ref="BC7:BC9"/>
    <mergeCell ref="BB3:BH3"/>
    <mergeCell ref="BD7:BD9"/>
    <mergeCell ref="AV7:AV9"/>
    <mergeCell ref="AK7:AK9"/>
    <mergeCell ref="AG7:AG9"/>
    <mergeCell ref="AT4:AT6"/>
    <mergeCell ref="AR4:AR6"/>
    <mergeCell ref="AN8:AN9"/>
    <mergeCell ref="AI3:AN3"/>
    <mergeCell ref="AI4:AJ6"/>
    <mergeCell ref="AU4:AU6"/>
    <mergeCell ref="AH3:AH6"/>
    <mergeCell ref="AJ7:AJ9"/>
    <mergeCell ref="AO3:AO6"/>
    <mergeCell ref="AM7:AM9"/>
    <mergeCell ref="AH7:AH9"/>
    <mergeCell ref="AK4:AK6"/>
    <mergeCell ref="BH7:BH9"/>
    <mergeCell ref="AQ7:AQ9"/>
    <mergeCell ref="AR7:AR9"/>
    <mergeCell ref="AO7:AO9"/>
    <mergeCell ref="BG7:BG9"/>
    <mergeCell ref="AK10:AK12"/>
    <mergeCell ref="AX3:AX6"/>
    <mergeCell ref="AX7:AX9"/>
    <mergeCell ref="AH10:AH12"/>
    <mergeCell ref="AM10:AM12"/>
    <mergeCell ref="AN11:AN12"/>
    <mergeCell ref="AR10:AR12"/>
    <mergeCell ref="AP7:AP9"/>
    <mergeCell ref="AP10:AP12"/>
    <mergeCell ref="AO10:AO12"/>
    <mergeCell ref="AQ10:AQ12"/>
    <mergeCell ref="AL4:AN6"/>
    <mergeCell ref="AP3:AW3"/>
    <mergeCell ref="AW4:AW6"/>
    <mergeCell ref="AW7:AW9"/>
    <mergeCell ref="AV4:AV6"/>
    <mergeCell ref="AV10:AV12"/>
    <mergeCell ref="AL7:AL9"/>
    <mergeCell ref="AS4:AS6"/>
    <mergeCell ref="AS7:AS9"/>
    <mergeCell ref="AT10:AT12"/>
    <mergeCell ref="AU7:AU9"/>
    <mergeCell ref="AU10:AU12"/>
    <mergeCell ref="AL22:AL24"/>
    <mergeCell ref="AL19:AL21"/>
    <mergeCell ref="AP16:AP18"/>
    <mergeCell ref="AX22:AX24"/>
    <mergeCell ref="BG16:BG18"/>
    <mergeCell ref="AN17:AN18"/>
    <mergeCell ref="AW22:AW24"/>
    <mergeCell ref="BG19:BG21"/>
    <mergeCell ref="BC10:BC12"/>
    <mergeCell ref="AV16:AV18"/>
    <mergeCell ref="AW19:AW21"/>
    <mergeCell ref="AW16:AW18"/>
    <mergeCell ref="AW13:AW15"/>
    <mergeCell ref="AW10:AW12"/>
    <mergeCell ref="BC16:BC18"/>
    <mergeCell ref="AV19:AV21"/>
    <mergeCell ref="AX10:AX12"/>
    <mergeCell ref="AX19:AX21"/>
    <mergeCell ref="AX13:AX15"/>
    <mergeCell ref="AV13:AV15"/>
    <mergeCell ref="BB16:BB18"/>
    <mergeCell ref="BC19:BC21"/>
    <mergeCell ref="AL10:AL12"/>
    <mergeCell ref="AU13:AU15"/>
    <mergeCell ref="AL31:AL33"/>
    <mergeCell ref="AX28:AX30"/>
    <mergeCell ref="AO16:AO18"/>
    <mergeCell ref="AP28:AP30"/>
    <mergeCell ref="AQ34:AQ36"/>
    <mergeCell ref="AL16:AL18"/>
    <mergeCell ref="AS16:AS18"/>
    <mergeCell ref="AT16:AT18"/>
    <mergeCell ref="AM16:AM18"/>
    <mergeCell ref="AW34:AW36"/>
    <mergeCell ref="AW31:AW33"/>
    <mergeCell ref="AW28:AW30"/>
    <mergeCell ref="AW25:AW27"/>
    <mergeCell ref="AR31:AR33"/>
    <mergeCell ref="AL25:AL27"/>
    <mergeCell ref="AL34:AL36"/>
    <mergeCell ref="AL28:AL30"/>
    <mergeCell ref="AO34:AO36"/>
    <mergeCell ref="AP19:AP21"/>
    <mergeCell ref="AQ31:AQ33"/>
    <mergeCell ref="AN32:AN33"/>
    <mergeCell ref="AP22:AP24"/>
    <mergeCell ref="AM22:AM24"/>
    <mergeCell ref="AN23:AN24"/>
    <mergeCell ref="AM13:AM15"/>
    <mergeCell ref="AN14:AN15"/>
    <mergeCell ref="AP13:AP15"/>
    <mergeCell ref="AO13:AO15"/>
    <mergeCell ref="AU40:AU42"/>
    <mergeCell ref="BD43:BD45"/>
    <mergeCell ref="BA37:BA39"/>
    <mergeCell ref="BA43:BA45"/>
    <mergeCell ref="AX16:AX18"/>
    <mergeCell ref="BB13:BB15"/>
    <mergeCell ref="BC13:BC15"/>
    <mergeCell ref="BD13:BD15"/>
    <mergeCell ref="AW43:AW45"/>
    <mergeCell ref="AW40:AW42"/>
    <mergeCell ref="AW37:AW39"/>
    <mergeCell ref="BD28:BD30"/>
    <mergeCell ref="AS40:AS42"/>
    <mergeCell ref="AT40:AT42"/>
    <mergeCell ref="AV40:AV42"/>
    <mergeCell ref="AX34:AX36"/>
    <mergeCell ref="AU43:AU45"/>
    <mergeCell ref="BD16:BD18"/>
    <mergeCell ref="AX37:AX39"/>
    <mergeCell ref="AX43:AX45"/>
    <mergeCell ref="BB43:BB45"/>
    <mergeCell ref="AQ43:AQ45"/>
    <mergeCell ref="AR43:AR45"/>
    <mergeCell ref="AQ40:AQ42"/>
    <mergeCell ref="AR40:AR42"/>
    <mergeCell ref="AV43:AV45"/>
    <mergeCell ref="BC43:BC45"/>
    <mergeCell ref="AU37:AU39"/>
    <mergeCell ref="BD40:BD42"/>
    <mergeCell ref="BG34:BG36"/>
    <mergeCell ref="BF34:BF36"/>
    <mergeCell ref="AS34:AS36"/>
    <mergeCell ref="BD34:BD36"/>
    <mergeCell ref="BH34:BH36"/>
    <mergeCell ref="BA34:BA36"/>
    <mergeCell ref="AT34:AT36"/>
    <mergeCell ref="BB37:BB39"/>
    <mergeCell ref="BC37:BC39"/>
    <mergeCell ref="BD37:BD39"/>
    <mergeCell ref="BF40:BF42"/>
    <mergeCell ref="AP43:AP45"/>
    <mergeCell ref="AX40:AX42"/>
    <mergeCell ref="BF37:BF39"/>
    <mergeCell ref="BA40:BA42"/>
    <mergeCell ref="BB40:BB42"/>
    <mergeCell ref="BC40:BC42"/>
    <mergeCell ref="AL43:AL45"/>
    <mergeCell ref="AL37:AL39"/>
    <mergeCell ref="AO40:AO42"/>
    <mergeCell ref="AM37:AM39"/>
    <mergeCell ref="AN38:AN39"/>
    <mergeCell ref="AS43:AS45"/>
    <mergeCell ref="AS37:AS39"/>
    <mergeCell ref="AT43:AT45"/>
    <mergeCell ref="AT37:AT39"/>
    <mergeCell ref="AN44:AN45"/>
    <mergeCell ref="AN41:AN42"/>
    <mergeCell ref="AO43:AO45"/>
    <mergeCell ref="AO37:AO39"/>
    <mergeCell ref="AP37:AP39"/>
    <mergeCell ref="AQ37:AQ39"/>
    <mergeCell ref="AR37:AR39"/>
    <mergeCell ref="AP40:AP42"/>
    <mergeCell ref="N4:N5"/>
    <mergeCell ref="O4:O5"/>
    <mergeCell ref="P4:P5"/>
    <mergeCell ref="K4:K5"/>
    <mergeCell ref="I4:I5"/>
    <mergeCell ref="J4:J5"/>
    <mergeCell ref="L4:L6"/>
    <mergeCell ref="Z43:Z45"/>
    <mergeCell ref="AB43:AB45"/>
    <mergeCell ref="AA38:AA39"/>
    <mergeCell ref="AA44:AA45"/>
    <mergeCell ref="AA3:AB6"/>
    <mergeCell ref="AA8:AA9"/>
    <mergeCell ref="AA11:AA12"/>
    <mergeCell ref="AA14:AA15"/>
    <mergeCell ref="AA17:AA18"/>
    <mergeCell ref="AA20:AA21"/>
    <mergeCell ref="AB10:AB12"/>
    <mergeCell ref="AB7:AB9"/>
    <mergeCell ref="Z31:Z33"/>
    <mergeCell ref="Y29:Y30"/>
    <mergeCell ref="Y11:Y12"/>
    <mergeCell ref="AB25:AB27"/>
    <mergeCell ref="AB16:AB18"/>
    <mergeCell ref="X37:X39"/>
    <mergeCell ref="X43:X45"/>
    <mergeCell ref="X10:X12"/>
    <mergeCell ref="X13:X15"/>
    <mergeCell ref="X16:X18"/>
    <mergeCell ref="X19:X21"/>
    <mergeCell ref="X22:X24"/>
    <mergeCell ref="X25:X27"/>
    <mergeCell ref="AB31:AB33"/>
    <mergeCell ref="AB19:AB21"/>
    <mergeCell ref="Y35:Y36"/>
    <mergeCell ref="Y38:Y39"/>
    <mergeCell ref="Y44:Y45"/>
    <mergeCell ref="X28:X30"/>
    <mergeCell ref="X31:X33"/>
    <mergeCell ref="X34:X36"/>
    <mergeCell ref="Z37:Z39"/>
    <mergeCell ref="AB37:AB39"/>
    <mergeCell ref="AB13:AB15"/>
    <mergeCell ref="AA35:AA36"/>
    <mergeCell ref="Y41:Y42"/>
    <mergeCell ref="AA41:AA42"/>
    <mergeCell ref="AA26:AA27"/>
    <mergeCell ref="Z40:Z42"/>
    <mergeCell ref="A1:B1"/>
    <mergeCell ref="AH19:AH21"/>
    <mergeCell ref="AH22:AH24"/>
    <mergeCell ref="BH19:BH21"/>
    <mergeCell ref="AN20:AN21"/>
    <mergeCell ref="BB19:BB21"/>
    <mergeCell ref="AD7:AD9"/>
    <mergeCell ref="Z22:Z24"/>
    <mergeCell ref="AB22:AB24"/>
    <mergeCell ref="R4:R5"/>
    <mergeCell ref="S4:S5"/>
    <mergeCell ref="T4:T6"/>
    <mergeCell ref="M6:S6"/>
    <mergeCell ref="Y14:Y15"/>
    <mergeCell ref="Y17:Y18"/>
    <mergeCell ref="Z7:Z9"/>
    <mergeCell ref="Y20:Y21"/>
    <mergeCell ref="AC3:AD5"/>
    <mergeCell ref="Y3:Z6"/>
    <mergeCell ref="Y8:Y9"/>
    <mergeCell ref="B3:X3"/>
    <mergeCell ref="W4:X6"/>
    <mergeCell ref="D4:D6"/>
    <mergeCell ref="M4:M5"/>
    <mergeCell ref="BI16:BI18"/>
    <mergeCell ref="AE19:AE21"/>
    <mergeCell ref="AJ19:AJ21"/>
    <mergeCell ref="AQ19:AQ21"/>
    <mergeCell ref="AE22:AE24"/>
    <mergeCell ref="Z34:Z36"/>
    <mergeCell ref="AB34:AB36"/>
    <mergeCell ref="AA29:AA30"/>
    <mergeCell ref="AA32:AA33"/>
    <mergeCell ref="AP34:AP36"/>
    <mergeCell ref="BH28:BH30"/>
    <mergeCell ref="BG28:BG30"/>
    <mergeCell ref="AK25:AK27"/>
    <mergeCell ref="BG25:BG27"/>
    <mergeCell ref="BF25:BF27"/>
    <mergeCell ref="AO25:AO27"/>
    <mergeCell ref="AP25:AP27"/>
    <mergeCell ref="AM25:AM27"/>
    <mergeCell ref="AN26:AN27"/>
    <mergeCell ref="AO22:AO24"/>
    <mergeCell ref="BB22:BB24"/>
    <mergeCell ref="BB34:BB36"/>
    <mergeCell ref="BC34:BC36"/>
    <mergeCell ref="BE34:BE36"/>
    <mergeCell ref="BP8:BP9"/>
    <mergeCell ref="BP11:BP12"/>
    <mergeCell ref="BP14:BP15"/>
    <mergeCell ref="BP17:BP18"/>
    <mergeCell ref="BP20:BP21"/>
    <mergeCell ref="BP23:BP24"/>
    <mergeCell ref="BN7:BN9"/>
    <mergeCell ref="BO8:BO9"/>
    <mergeCell ref="BN10:BN12"/>
    <mergeCell ref="BO11:BO12"/>
    <mergeCell ref="BN13:BN15"/>
    <mergeCell ref="BO14:BO15"/>
    <mergeCell ref="BN22:BN24"/>
    <mergeCell ref="BO23:BO24"/>
    <mergeCell ref="BN19:BN21"/>
    <mergeCell ref="BO20:BO21"/>
    <mergeCell ref="BN16:BN18"/>
    <mergeCell ref="BO17:BO18"/>
    <mergeCell ref="BP38:BP39"/>
    <mergeCell ref="BP44:BP45"/>
    <mergeCell ref="BN31:BN33"/>
    <mergeCell ref="BO32:BO33"/>
    <mergeCell ref="BN34:BN36"/>
    <mergeCell ref="BO35:BO36"/>
    <mergeCell ref="BN37:BN39"/>
    <mergeCell ref="BO38:BO39"/>
    <mergeCell ref="BN43:BN45"/>
    <mergeCell ref="BO44:BO45"/>
    <mergeCell ref="BN40:BN42"/>
    <mergeCell ref="BO41:BO42"/>
    <mergeCell ref="BP41:BP42"/>
    <mergeCell ref="BP32:BP33"/>
    <mergeCell ref="BP35:BP36"/>
    <mergeCell ref="BQ35:BQ36"/>
    <mergeCell ref="BQ38:BQ39"/>
    <mergeCell ref="BQ44:BQ45"/>
    <mergeCell ref="BQ8:BQ9"/>
    <mergeCell ref="BQ11:BQ12"/>
    <mergeCell ref="BQ14:BQ15"/>
    <mergeCell ref="BQ17:BQ18"/>
    <mergeCell ref="BQ20:BQ21"/>
    <mergeCell ref="BQ23:BQ24"/>
    <mergeCell ref="BQ41:BQ42"/>
    <mergeCell ref="BQ26:BQ27"/>
    <mergeCell ref="BQ29:BQ30"/>
    <mergeCell ref="BQ32:BQ33"/>
    <mergeCell ref="BP29:BP30"/>
    <mergeCell ref="BN28:BN30"/>
    <mergeCell ref="BO29:BO30"/>
    <mergeCell ref="BI28:BI30"/>
    <mergeCell ref="BI25:BI27"/>
    <mergeCell ref="AQ28:AQ30"/>
    <mergeCell ref="AR28:AR30"/>
    <mergeCell ref="BB28:BB30"/>
    <mergeCell ref="BC28:BC30"/>
    <mergeCell ref="BF28:BF30"/>
    <mergeCell ref="BE28:BE30"/>
    <mergeCell ref="AQ25:AQ27"/>
    <mergeCell ref="BE25:BE27"/>
    <mergeCell ref="BB25:BB27"/>
    <mergeCell ref="AX25:AX27"/>
    <mergeCell ref="BP26:BP27"/>
    <mergeCell ref="BN25:BN27"/>
    <mergeCell ref="BO26:BO27"/>
    <mergeCell ref="BD25:BD27"/>
    <mergeCell ref="BA28:BA30"/>
    <mergeCell ref="BI5:BI6"/>
    <mergeCell ref="BI19:BI21"/>
    <mergeCell ref="AJ22:AJ24"/>
    <mergeCell ref="BD19:BD21"/>
    <mergeCell ref="AO19:AO21"/>
    <mergeCell ref="BA31:BA33"/>
    <mergeCell ref="AT31:AT33"/>
    <mergeCell ref="AT28:AT30"/>
    <mergeCell ref="AS31:AS33"/>
    <mergeCell ref="AS28:AS30"/>
    <mergeCell ref="AS25:AS27"/>
    <mergeCell ref="BC22:BC24"/>
    <mergeCell ref="AS22:AS24"/>
    <mergeCell ref="BH31:BH33"/>
    <mergeCell ref="BB31:BB33"/>
    <mergeCell ref="BC31:BC33"/>
    <mergeCell ref="BD31:BD33"/>
    <mergeCell ref="BI31:BI33"/>
    <mergeCell ref="BE31:BE33"/>
    <mergeCell ref="BG31:BG33"/>
    <mergeCell ref="BF31:BF33"/>
    <mergeCell ref="AX31:AX33"/>
    <mergeCell ref="BI22:BI24"/>
    <mergeCell ref="AL13:AL15"/>
  </mergeCells>
  <phoneticPr fontId="3"/>
  <conditionalFormatting sqref="Q51:V51">
    <cfRule type="cellIs" dxfId="11" priority="3" operator="equal">
      <formula>"○"</formula>
    </cfRule>
    <cfRule type="cellIs" dxfId="10" priority="4" operator="equal">
      <formula>"-"</formula>
    </cfRule>
  </conditionalFormatting>
  <conditionalFormatting sqref="R52:V53">
    <cfRule type="cellIs" dxfId="9" priority="1" operator="equal">
      <formula>"適用済"</formula>
    </cfRule>
    <cfRule type="cellIs" dxfId="8" priority="2" operator="notEqual">
      <formula>"適用済"</formula>
    </cfRule>
  </conditionalFormatting>
  <conditionalFormatting sqref="T49">
    <cfRule type="cellIs" dxfId="7" priority="5" stopIfTrue="1" operator="lessThan">
      <formula>0</formula>
    </cfRule>
  </conditionalFormatting>
  <conditionalFormatting sqref="BI7 BI10 BI13 BI16 BI19 BI22 BI25 BI28 BI31 BI34 BI37 BI40 BI43">
    <cfRule type="cellIs" dxfId="6" priority="12" stopIfTrue="1" operator="lessThan">
      <formula>0</formula>
    </cfRule>
  </conditionalFormatting>
  <dataValidations count="2">
    <dataValidation type="list" allowBlank="1" showInputMessage="1" showErrorMessage="1" sqref="P53" xr:uid="{C9309C45-71B4-445C-A3A2-841F7FBAB63E}">
      <formula1>"4,5,6,7,8,9,10,11,12,1,2,3"</formula1>
    </dataValidation>
    <dataValidation type="list" allowBlank="1" showInputMessage="1" showErrorMessage="1" sqref="L7:L42 T7:T42" xr:uid="{00000000-0002-0000-0000-000000000000}">
      <formula1>$K$58:$K$59</formula1>
    </dataValidation>
  </dataValidations>
  <pageMargins left="0.43307086614173229" right="0.31496062992125984" top="0.82677165354330717" bottom="0.23622047244094491" header="0.55118110236220474" footer="0.27559055118110237"/>
  <pageSetup paperSize="9" scale="28" pageOrder="overThenDown" orientation="landscape" cellComments="asDisplayed" r:id="rId1"/>
  <headerFooter alignWithMargins="0">
    <oddHeader>&amp;L&amp;"ＭＳ Ｐゴシック,太字"&amp;16 令和8年度　保育施設職員配置状況確認書（様式１（幼保連携型認定こども園））&amp;"ＭＳ Ｐゴシック,標準"&amp;11
&amp;R&amp;"ＭＳ Ｐゴシック,太字"※水色の部分は計算式が入っているため，入力できません。</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12632-5524-470F-A172-74B5BEE9C27F}">
  <sheetPr codeName="Sheet4">
    <tabColor rgb="FFFFC000"/>
    <pageSetUpPr fitToPage="1"/>
  </sheetPr>
  <dimension ref="A1:U46"/>
  <sheetViews>
    <sheetView view="pageBreakPreview" zoomScaleNormal="85" zoomScaleSheetLayoutView="100" workbookViewId="0">
      <selection activeCell="D14" sqref="D14"/>
    </sheetView>
  </sheetViews>
  <sheetFormatPr defaultRowHeight="16.5"/>
  <cols>
    <col min="1" max="1" width="5.75" style="333" customWidth="1"/>
    <col min="2" max="2" width="9.375" style="333" customWidth="1"/>
    <col min="3" max="3" width="5.75" style="333" customWidth="1"/>
    <col min="4" max="4" width="10.375" style="333" customWidth="1"/>
    <col min="5" max="5" width="10.25" style="333" customWidth="1"/>
    <col min="6" max="6" width="6.625" style="333" bestFit="1" customWidth="1"/>
    <col min="7" max="13" width="10.375" style="333" customWidth="1"/>
    <col min="14" max="14" width="55.375" style="333" bestFit="1" customWidth="1"/>
    <col min="15" max="15" width="10" style="333" bestFit="1" customWidth="1"/>
    <col min="16" max="16" width="2.5" style="333" customWidth="1"/>
    <col min="17" max="16384" width="9" style="333"/>
  </cols>
  <sheetData>
    <row r="1" spans="1:21">
      <c r="A1" s="333" t="s">
        <v>253</v>
      </c>
    </row>
    <row r="2" spans="1:21">
      <c r="A2" s="333" t="s">
        <v>321</v>
      </c>
    </row>
    <row r="3" spans="1:21">
      <c r="A3" s="333" t="s">
        <v>322</v>
      </c>
      <c r="Q3" s="333" t="s">
        <v>49</v>
      </c>
      <c r="R3" s="333" t="s">
        <v>292</v>
      </c>
      <c r="S3" s="333" t="str">
        <f>""</f>
        <v/>
      </c>
    </row>
    <row r="4" spans="1:21">
      <c r="A4" s="333" t="s">
        <v>323</v>
      </c>
      <c r="Q4" s="333" t="s">
        <v>300</v>
      </c>
      <c r="R4" s="333" t="s">
        <v>301</v>
      </c>
      <c r="S4" s="333" t="str">
        <f>""</f>
        <v/>
      </c>
    </row>
    <row r="5" spans="1:21">
      <c r="A5" s="333" t="s">
        <v>381</v>
      </c>
      <c r="Q5" s="333">
        <v>0</v>
      </c>
      <c r="R5" s="333">
        <v>1</v>
      </c>
      <c r="S5" s="333">
        <v>2</v>
      </c>
      <c r="T5" s="333" t="str">
        <f>""</f>
        <v/>
      </c>
    </row>
    <row r="6" spans="1:21">
      <c r="A6" s="333" t="s">
        <v>324</v>
      </c>
    </row>
    <row r="7" spans="1:21">
      <c r="A7" s="333" t="s">
        <v>382</v>
      </c>
    </row>
    <row r="8" spans="1:21">
      <c r="A8" s="333" t="s">
        <v>325</v>
      </c>
    </row>
    <row r="9" spans="1:21">
      <c r="A9" s="333" t="s">
        <v>383</v>
      </c>
    </row>
    <row r="11" spans="1:21">
      <c r="A11" s="333" t="s">
        <v>293</v>
      </c>
      <c r="D11" s="334"/>
      <c r="E11" s="334"/>
      <c r="F11" s="334"/>
      <c r="G11" s="334"/>
      <c r="H11" s="334"/>
      <c r="I11" s="334"/>
      <c r="J11" s="334"/>
      <c r="K11" s="334"/>
      <c r="L11" s="334"/>
      <c r="M11" s="334"/>
    </row>
    <row r="12" spans="1:21" s="337" customFormat="1" ht="33" customHeight="1">
      <c r="A12" s="848" t="s">
        <v>254</v>
      </c>
      <c r="B12" s="850" t="s">
        <v>299</v>
      </c>
      <c r="C12" s="855" t="s">
        <v>285</v>
      </c>
      <c r="D12" s="852" t="s">
        <v>287</v>
      </c>
      <c r="E12" s="853"/>
      <c r="F12" s="854"/>
      <c r="G12" s="850" t="s">
        <v>288</v>
      </c>
      <c r="H12" s="850" t="s">
        <v>289</v>
      </c>
      <c r="I12" s="850" t="s">
        <v>380</v>
      </c>
      <c r="J12" s="850" t="s">
        <v>290</v>
      </c>
      <c r="K12" s="850" t="s">
        <v>112</v>
      </c>
      <c r="L12" s="850" t="s">
        <v>291</v>
      </c>
      <c r="M12" s="850" t="s">
        <v>294</v>
      </c>
      <c r="N12" s="335" t="s">
        <v>255</v>
      </c>
      <c r="O12" s="336" t="s">
        <v>320</v>
      </c>
    </row>
    <row r="13" spans="1:21" s="337" customFormat="1">
      <c r="A13" s="849"/>
      <c r="B13" s="851"/>
      <c r="C13" s="856"/>
      <c r="D13" s="352" t="s">
        <v>286</v>
      </c>
      <c r="E13" s="352" t="s">
        <v>398</v>
      </c>
      <c r="F13" s="338" t="s">
        <v>256</v>
      </c>
      <c r="G13" s="851"/>
      <c r="H13" s="851"/>
      <c r="I13" s="851"/>
      <c r="J13" s="851"/>
      <c r="K13" s="851"/>
      <c r="L13" s="851"/>
      <c r="M13" s="851"/>
      <c r="N13" s="335"/>
      <c r="Q13" s="354" t="s">
        <v>295</v>
      </c>
      <c r="R13" s="354" t="s">
        <v>296</v>
      </c>
      <c r="S13" s="354" t="s">
        <v>297</v>
      </c>
      <c r="T13" s="354" t="s">
        <v>298</v>
      </c>
    </row>
    <row r="14" spans="1:21" ht="19.5">
      <c r="A14" s="339" t="s">
        <v>77</v>
      </c>
      <c r="B14" s="356"/>
      <c r="C14" s="340">
        <f>SUM(様式１!C7:D8)</f>
        <v>0</v>
      </c>
      <c r="D14" s="341"/>
      <c r="E14" s="375"/>
      <c r="F14" s="353">
        <f t="shared" ref="F14:F25" si="0">IF(C14&lt;=45,$F$27,IF(AND(C14&gt;=46,C14&lt;=150),$F$28,IF(AND(C14&gt;=151,C14&lt;=240),$F$29,IF(AND(C14&gt;=241,C14&lt;=270),$F$30,IF(AND(C14&gt;=271,C14&lt;=300),$F$31,IF(AND(C14&gt;=301,C14&lt;=450),$F$32,IF(C14&gt;=451,$F$33)))))))</f>
        <v>1</v>
      </c>
      <c r="G14" s="341"/>
      <c r="H14" s="341"/>
      <c r="I14" s="341"/>
      <c r="J14" s="341"/>
      <c r="K14" s="341"/>
      <c r="L14" s="341"/>
      <c r="M14" s="341"/>
      <c r="N14" s="350" t="str">
        <f>IF(OR(D14="",G14="",H14="",I14="",J14="",K14="",L14="",M14=""),"入力されていないセルがあります",
IF(AND(D14=$Q$3,G14=$Q$3),"チーム保育加配加算と4歳以上児配置改善加算の併給はできません",
IF(AND(D14=$Q$3,E14=""),"チーム保育加配加算の加配職員数を入力してください",
IF(AND(D14=$Q$3,E14&gt;F14),"チーム保育加配加算職員数が上限を超えています",
IF(AND(K14=$Q$3,OR(C14&lt;31,C14&gt;300)),"学級編制調整加配加算のメモを確認してください",
IF(M14&gt;T14,"代替保育教諭～のメモを確認してください",""))))))</f>
        <v>入力されていないセルがあります</v>
      </c>
      <c r="O14" s="351" t="str">
        <f>IF(N14="","入力完了","入力未了")</f>
        <v>入力未了</v>
      </c>
      <c r="Q14" s="355"/>
      <c r="R14" s="354" t="str">
        <f>IF(AND(様式１!$U$7&gt;0,SUM(様式１!$U$8:$U$9)&gt;0),"OK","NG")</f>
        <v>NG</v>
      </c>
      <c r="S14" s="354" t="str">
        <f>IF(AND(様式１!$W$7&gt;0,SUM(様式１!$W$8:$W$9)&gt;0),"OK","NG")</f>
        <v>NG</v>
      </c>
      <c r="T14" s="354">
        <f t="shared" ref="T14:T25" si="1">COUNTIF(R14:S14,"OK")</f>
        <v>0</v>
      </c>
      <c r="U14" s="337"/>
    </row>
    <row r="15" spans="1:21" ht="19.5">
      <c r="A15" s="339" t="s">
        <v>257</v>
      </c>
      <c r="B15" s="357"/>
      <c r="C15" s="340">
        <f>SUM(様式１!C10:D11)</f>
        <v>0</v>
      </c>
      <c r="D15" s="341" t="str">
        <f>IF($B15="変更なし",D14,"")</f>
        <v/>
      </c>
      <c r="E15" s="375" t="str">
        <f>IF($B15="変更なし",E14,"")</f>
        <v/>
      </c>
      <c r="F15" s="353">
        <f t="shared" si="0"/>
        <v>1</v>
      </c>
      <c r="G15" s="341" t="str">
        <f t="shared" ref="G15:M15" si="2">IF($B15="変更なし",G14,"")</f>
        <v/>
      </c>
      <c r="H15" s="341" t="str">
        <f t="shared" si="2"/>
        <v/>
      </c>
      <c r="I15" s="341" t="str">
        <f t="shared" si="2"/>
        <v/>
      </c>
      <c r="J15" s="341" t="str">
        <f t="shared" si="2"/>
        <v/>
      </c>
      <c r="K15" s="341" t="str">
        <f t="shared" si="2"/>
        <v/>
      </c>
      <c r="L15" s="341" t="str">
        <f t="shared" si="2"/>
        <v/>
      </c>
      <c r="M15" s="341" t="str">
        <f t="shared" si="2"/>
        <v/>
      </c>
      <c r="N15" s="350" t="str">
        <f>IF(B15="","前月からの変更の有無を選択してください",
IF(OR(D15="",G15="",H15="",I15="",J15="",K15="",L15="",M15=""),"入力されていないセルがあります",
IF(AND(D15=$Q$3,G15=$Q$3),"チーム保育加配加算と4歳以上児配置改善加算の併給はできません",
IF(AND(D15=$Q$3,E15=""),"チーム保育加配加算の加配職員数を入力してください",
IF(AND(D15=$Q$3,E15&gt;F15),"チーム保育加配加算職員数が上限を超えています",
IF(AND(K15=$Q$3,OR(C15&lt;31,C15&gt;300)),"学級編制調整加配加算のメモを確認してください",
IF(M15&gt;T15,"代替保育教諭～のメモを確認してください","")))))))</f>
        <v>前月からの変更の有無を選択してください</v>
      </c>
      <c r="O15" s="351" t="str">
        <f t="shared" ref="O15:O25" si="3">IF(N15="","入力完了","入力未了")</f>
        <v>入力未了</v>
      </c>
      <c r="Q15" s="355"/>
      <c r="R15" s="354" t="str">
        <f>IF(AND(様式１!$U$10&gt;0,SUM(様式１!$U$11:$U$12)&gt;0),"OK","NG")</f>
        <v>NG</v>
      </c>
      <c r="S15" s="354" t="str">
        <f>IF(AND(様式１!$W$10&gt;0,SUM(様式１!$W$11:$W$12)&gt;0),"OK","NG")</f>
        <v>NG</v>
      </c>
      <c r="T15" s="354">
        <f t="shared" si="1"/>
        <v>0</v>
      </c>
      <c r="U15" s="337"/>
    </row>
    <row r="16" spans="1:21" ht="19.5">
      <c r="A16" s="339" t="s">
        <v>258</v>
      </c>
      <c r="B16" s="357"/>
      <c r="C16" s="340">
        <f>SUM(様式１!C13:D14)</f>
        <v>0</v>
      </c>
      <c r="D16" s="341" t="str">
        <f t="shared" ref="D16:D25" si="4">IF($B16="変更なし",D15,"")</f>
        <v/>
      </c>
      <c r="E16" s="375" t="str">
        <f t="shared" ref="E16:E25" si="5">IF($B16="変更なし",E15,"")</f>
        <v/>
      </c>
      <c r="F16" s="353">
        <f t="shared" si="0"/>
        <v>1</v>
      </c>
      <c r="G16" s="341" t="str">
        <f t="shared" ref="G16:G25" si="6">IF($B16="変更なし",G15,"")</f>
        <v/>
      </c>
      <c r="H16" s="341" t="str">
        <f t="shared" ref="H16:I25" si="7">IF($B16="変更なし",H15,"")</f>
        <v/>
      </c>
      <c r="I16" s="341" t="str">
        <f t="shared" si="7"/>
        <v/>
      </c>
      <c r="J16" s="341" t="str">
        <f t="shared" ref="J16:J25" si="8">IF($B16="変更なし",J15,"")</f>
        <v/>
      </c>
      <c r="K16" s="341" t="str">
        <f t="shared" ref="K16:K25" si="9">IF($B16="変更なし",K15,"")</f>
        <v/>
      </c>
      <c r="L16" s="341" t="str">
        <f t="shared" ref="L16:L25" si="10">IF($B16="変更なし",L15,"")</f>
        <v/>
      </c>
      <c r="M16" s="341" t="str">
        <f t="shared" ref="M16:M25" si="11">IF($B16="変更なし",M15,"")</f>
        <v/>
      </c>
      <c r="N16" s="350" t="str">
        <f t="shared" ref="N16:N25" si="12">IF(B16="","前月からの変更の有無を選択してください",
IF(OR(D16="",G16="",H16="",I16="",J16="",K16="",L16="",M16=""),"入力されていないセルがあります",
IF(AND(D16=$Q$3,G16=$Q$3),"チーム保育加配加算と4歳以上児配置改善加算の併給はできません",
IF(AND(D16=$Q$3,E16=""),"チーム保育加配加算の加配職員数を入力してください",
IF(AND(D16=$Q$3,E16&gt;F16),"チーム保育加配加算職員数が上限を超えています",
IF(AND(K16=$Q$3,OR(C16&lt;31,C16&gt;300)),"学級編制調整加配加算のメモを確認してください",
IF(M16&gt;T16,"代替保育教諭～のメモを確認してください","")))))))</f>
        <v>前月からの変更の有無を選択してください</v>
      </c>
      <c r="O16" s="351" t="str">
        <f t="shared" si="3"/>
        <v>入力未了</v>
      </c>
      <c r="Q16" s="355"/>
      <c r="R16" s="354" t="str">
        <f>IF(AND(様式１!$U$13&gt;0,SUM(様式１!$U$14:$U$15)&gt;0),"OK","NG")</f>
        <v>NG</v>
      </c>
      <c r="S16" s="354" t="str">
        <f>IF(AND(様式１!$W$13&gt;0,SUM(様式１!$W$14:$W$15)&gt;0),"OK","NG")</f>
        <v>NG</v>
      </c>
      <c r="T16" s="354">
        <f t="shared" si="1"/>
        <v>0</v>
      </c>
      <c r="U16" s="337"/>
    </row>
    <row r="17" spans="1:21" ht="19.5">
      <c r="A17" s="339" t="s">
        <v>259</v>
      </c>
      <c r="B17" s="357"/>
      <c r="C17" s="340">
        <f>SUM(様式１!C16:D17)</f>
        <v>0</v>
      </c>
      <c r="D17" s="341" t="str">
        <f>IF($B17="変更なし",D16,"")</f>
        <v/>
      </c>
      <c r="E17" s="375" t="str">
        <f>IF($B17="変更なし",E16,"")</f>
        <v/>
      </c>
      <c r="F17" s="353">
        <f t="shared" si="0"/>
        <v>1</v>
      </c>
      <c r="G17" s="341" t="str">
        <f t="shared" ref="G17:M17" si="13">IF($B17="変更なし",G16,"")</f>
        <v/>
      </c>
      <c r="H17" s="341" t="str">
        <f t="shared" si="13"/>
        <v/>
      </c>
      <c r="I17" s="341" t="str">
        <f t="shared" si="13"/>
        <v/>
      </c>
      <c r="J17" s="341" t="str">
        <f t="shared" si="13"/>
        <v/>
      </c>
      <c r="K17" s="341" t="str">
        <f t="shared" si="13"/>
        <v/>
      </c>
      <c r="L17" s="341" t="str">
        <f t="shared" si="13"/>
        <v/>
      </c>
      <c r="M17" s="341" t="str">
        <f t="shared" si="13"/>
        <v/>
      </c>
      <c r="N17" s="350" t="str">
        <f>IF(B17="","前月からの変更の有無を選択してください",
IF(OR(D17="",G17="",H17="",I17="",J17="",K17="",L17="",M17=""),"入力されていないセルがあります",
IF(AND(D17=$Q$3,G17=$Q$3),"チーム保育加配加算と4歳以上児配置改善加算の併給はできません",
IF(AND(D17=$Q$3,E17=""),"チーム保育加配加算の加配職員数を入力してください",
IF(AND(D17=$Q$3,E17&gt;F17),"チーム保育加配加算職員数が上限を超えています",
IF(AND(K17=$Q$3,OR(C17&lt;31,C17&gt;300)),"学級編制調整加配加算のメモを確認してください",
IF(M17&gt;T17,"代替保育教諭～のメモを確認してください","")))))))</f>
        <v>前月からの変更の有無を選択してください</v>
      </c>
      <c r="O17" s="351" t="str">
        <f t="shared" si="3"/>
        <v>入力未了</v>
      </c>
      <c r="Q17" s="355"/>
      <c r="R17" s="354" t="str">
        <f>IF(AND(様式１!$U$16&gt;0,SUM(様式１!$U$17:$U$18)&gt;0),"OK","NG")</f>
        <v>NG</v>
      </c>
      <c r="S17" s="354" t="str">
        <f>IF(AND(様式１!$W$16&gt;0,SUM(様式１!$W$17:$W$18)&gt;0),"OK","NG")</f>
        <v>NG</v>
      </c>
      <c r="T17" s="354">
        <f t="shared" si="1"/>
        <v>0</v>
      </c>
      <c r="U17" s="337"/>
    </row>
    <row r="18" spans="1:21" ht="19.5">
      <c r="A18" s="339" t="s">
        <v>260</v>
      </c>
      <c r="B18" s="357"/>
      <c r="C18" s="340">
        <f>SUM(様式１!C19:D20)</f>
        <v>0</v>
      </c>
      <c r="D18" s="341" t="str">
        <f t="shared" si="4"/>
        <v/>
      </c>
      <c r="E18" s="375" t="str">
        <f t="shared" si="5"/>
        <v/>
      </c>
      <c r="F18" s="353">
        <f t="shared" si="0"/>
        <v>1</v>
      </c>
      <c r="G18" s="341" t="str">
        <f t="shared" si="6"/>
        <v/>
      </c>
      <c r="H18" s="341" t="str">
        <f t="shared" si="7"/>
        <v/>
      </c>
      <c r="I18" s="341" t="str">
        <f t="shared" si="7"/>
        <v/>
      </c>
      <c r="J18" s="341" t="str">
        <f t="shared" si="8"/>
        <v/>
      </c>
      <c r="K18" s="341" t="str">
        <f t="shared" si="9"/>
        <v/>
      </c>
      <c r="L18" s="341" t="str">
        <f t="shared" si="10"/>
        <v/>
      </c>
      <c r="M18" s="341" t="str">
        <f t="shared" si="11"/>
        <v/>
      </c>
      <c r="N18" s="350" t="str">
        <f t="shared" si="12"/>
        <v>前月からの変更の有無を選択してください</v>
      </c>
      <c r="O18" s="351" t="str">
        <f t="shared" si="3"/>
        <v>入力未了</v>
      </c>
      <c r="Q18" s="355"/>
      <c r="R18" s="354" t="str">
        <f>IF(AND(様式１!$U$19&gt;0,SUM(様式１!$U$20:$U$21)&gt;0),"OK","NG")</f>
        <v>NG</v>
      </c>
      <c r="S18" s="354" t="str">
        <f>IF(AND(様式１!$W$19&gt;0,SUM(様式１!$W$20:$W$21)&gt;0),"OK","NG")</f>
        <v>NG</v>
      </c>
      <c r="T18" s="354">
        <f t="shared" si="1"/>
        <v>0</v>
      </c>
      <c r="U18" s="337"/>
    </row>
    <row r="19" spans="1:21" ht="19.5">
      <c r="A19" s="339" t="s">
        <v>261</v>
      </c>
      <c r="B19" s="357"/>
      <c r="C19" s="340">
        <f>SUM(様式１!C22:D23)</f>
        <v>0</v>
      </c>
      <c r="D19" s="341" t="str">
        <f t="shared" si="4"/>
        <v/>
      </c>
      <c r="E19" s="375" t="str">
        <f t="shared" si="5"/>
        <v/>
      </c>
      <c r="F19" s="353">
        <f t="shared" si="0"/>
        <v>1</v>
      </c>
      <c r="G19" s="341" t="str">
        <f t="shared" si="6"/>
        <v/>
      </c>
      <c r="H19" s="341" t="str">
        <f t="shared" si="7"/>
        <v/>
      </c>
      <c r="I19" s="341" t="str">
        <f t="shared" si="7"/>
        <v/>
      </c>
      <c r="J19" s="341" t="str">
        <f t="shared" si="8"/>
        <v/>
      </c>
      <c r="K19" s="341" t="str">
        <f t="shared" si="9"/>
        <v/>
      </c>
      <c r="L19" s="341" t="str">
        <f t="shared" si="10"/>
        <v/>
      </c>
      <c r="M19" s="341" t="str">
        <f t="shared" si="11"/>
        <v/>
      </c>
      <c r="N19" s="350" t="str">
        <f t="shared" si="12"/>
        <v>前月からの変更の有無を選択してください</v>
      </c>
      <c r="O19" s="351" t="str">
        <f t="shared" si="3"/>
        <v>入力未了</v>
      </c>
      <c r="Q19" s="355"/>
      <c r="R19" s="354" t="str">
        <f>IF(AND(様式１!$U$22&gt;0,SUM(様式１!$U$23:$U$24)&gt;0),"OK","NG")</f>
        <v>NG</v>
      </c>
      <c r="S19" s="354" t="str">
        <f>IF(AND(様式１!$W$22&gt;0,SUM(様式１!$W$23:$W$24)&gt;0),"OK","NG")</f>
        <v>NG</v>
      </c>
      <c r="T19" s="354">
        <f t="shared" si="1"/>
        <v>0</v>
      </c>
      <c r="U19" s="337"/>
    </row>
    <row r="20" spans="1:21" ht="19.5">
      <c r="A20" s="339" t="s">
        <v>262</v>
      </c>
      <c r="B20" s="357"/>
      <c r="C20" s="340">
        <f>SUM(様式１!C25:D26)</f>
        <v>0</v>
      </c>
      <c r="D20" s="341" t="str">
        <f t="shared" si="4"/>
        <v/>
      </c>
      <c r="E20" s="375" t="str">
        <f t="shared" si="5"/>
        <v/>
      </c>
      <c r="F20" s="353">
        <f t="shared" si="0"/>
        <v>1</v>
      </c>
      <c r="G20" s="341" t="str">
        <f t="shared" si="6"/>
        <v/>
      </c>
      <c r="H20" s="341" t="str">
        <f t="shared" si="7"/>
        <v/>
      </c>
      <c r="I20" s="341" t="str">
        <f t="shared" si="7"/>
        <v/>
      </c>
      <c r="J20" s="341" t="str">
        <f t="shared" si="8"/>
        <v/>
      </c>
      <c r="K20" s="341" t="str">
        <f t="shared" si="9"/>
        <v/>
      </c>
      <c r="L20" s="341" t="str">
        <f t="shared" si="10"/>
        <v/>
      </c>
      <c r="M20" s="341" t="str">
        <f t="shared" si="11"/>
        <v/>
      </c>
      <c r="N20" s="350" t="str">
        <f t="shared" si="12"/>
        <v>前月からの変更の有無を選択してください</v>
      </c>
      <c r="O20" s="351" t="str">
        <f t="shared" si="3"/>
        <v>入力未了</v>
      </c>
      <c r="Q20" s="355"/>
      <c r="R20" s="354" t="str">
        <f>IF(AND(様式１!$U$25&gt;0,SUM(様式１!$U$26:$U$27)&gt;0),"OK","NG")</f>
        <v>NG</v>
      </c>
      <c r="S20" s="354" t="str">
        <f>IF(AND(様式１!$W$25&gt;0,SUM(様式１!$W$26:$W$27)&gt;0),"OK","NG")</f>
        <v>NG</v>
      </c>
      <c r="T20" s="354">
        <f t="shared" si="1"/>
        <v>0</v>
      </c>
      <c r="U20" s="337"/>
    </row>
    <row r="21" spans="1:21" ht="19.5">
      <c r="A21" s="339" t="s">
        <v>263</v>
      </c>
      <c r="B21" s="357"/>
      <c r="C21" s="340">
        <f>SUM(様式１!C28:D29)</f>
        <v>0</v>
      </c>
      <c r="D21" s="341" t="str">
        <f t="shared" si="4"/>
        <v/>
      </c>
      <c r="E21" s="375" t="str">
        <f t="shared" si="5"/>
        <v/>
      </c>
      <c r="F21" s="353">
        <f t="shared" si="0"/>
        <v>1</v>
      </c>
      <c r="G21" s="341" t="str">
        <f t="shared" si="6"/>
        <v/>
      </c>
      <c r="H21" s="341" t="str">
        <f t="shared" si="7"/>
        <v/>
      </c>
      <c r="I21" s="341" t="str">
        <f t="shared" si="7"/>
        <v/>
      </c>
      <c r="J21" s="341" t="str">
        <f t="shared" si="8"/>
        <v/>
      </c>
      <c r="K21" s="341" t="str">
        <f t="shared" si="9"/>
        <v/>
      </c>
      <c r="L21" s="341" t="str">
        <f t="shared" si="10"/>
        <v/>
      </c>
      <c r="M21" s="341" t="str">
        <f t="shared" si="11"/>
        <v/>
      </c>
      <c r="N21" s="350" t="str">
        <f t="shared" si="12"/>
        <v>前月からの変更の有無を選択してください</v>
      </c>
      <c r="O21" s="351" t="str">
        <f t="shared" si="3"/>
        <v>入力未了</v>
      </c>
      <c r="Q21" s="355"/>
      <c r="R21" s="354" t="str">
        <f>IF(AND(様式１!$U$28&gt;0,SUM(様式１!$U$29:$U$30)&gt;0),"OK","NG")</f>
        <v>NG</v>
      </c>
      <c r="S21" s="354" t="str">
        <f>IF(AND(様式１!$W$28&gt;0,SUM(様式１!$W$29:$W$30)&gt;0),"OK","NG")</f>
        <v>NG</v>
      </c>
      <c r="T21" s="354">
        <f t="shared" si="1"/>
        <v>0</v>
      </c>
      <c r="U21" s="337"/>
    </row>
    <row r="22" spans="1:21" ht="19.5">
      <c r="A22" s="339" t="s">
        <v>264</v>
      </c>
      <c r="B22" s="357"/>
      <c r="C22" s="340">
        <f>SUM(様式１!C31:D32)</f>
        <v>0</v>
      </c>
      <c r="D22" s="341" t="str">
        <f t="shared" si="4"/>
        <v/>
      </c>
      <c r="E22" s="375" t="str">
        <f t="shared" si="5"/>
        <v/>
      </c>
      <c r="F22" s="353">
        <f t="shared" si="0"/>
        <v>1</v>
      </c>
      <c r="G22" s="341" t="str">
        <f t="shared" si="6"/>
        <v/>
      </c>
      <c r="H22" s="341" t="str">
        <f t="shared" si="7"/>
        <v/>
      </c>
      <c r="I22" s="341" t="str">
        <f t="shared" si="7"/>
        <v/>
      </c>
      <c r="J22" s="341" t="str">
        <f t="shared" si="8"/>
        <v/>
      </c>
      <c r="K22" s="341" t="str">
        <f t="shared" si="9"/>
        <v/>
      </c>
      <c r="L22" s="341" t="str">
        <f t="shared" si="10"/>
        <v/>
      </c>
      <c r="M22" s="341" t="str">
        <f t="shared" si="11"/>
        <v/>
      </c>
      <c r="N22" s="350" t="str">
        <f t="shared" si="12"/>
        <v>前月からの変更の有無を選択してください</v>
      </c>
      <c r="O22" s="351" t="str">
        <f t="shared" si="3"/>
        <v>入力未了</v>
      </c>
      <c r="Q22" s="355"/>
      <c r="R22" s="354" t="str">
        <f>IF(AND(様式１!$U$31&gt;0,SUM(様式１!$U$32:$U$33)&gt;0),"OK","NG")</f>
        <v>NG</v>
      </c>
      <c r="S22" s="354" t="str">
        <f>IF(AND(様式１!$W$31&gt;0,SUM(様式１!$W$32:$W$33)&gt;0),"OK","NG")</f>
        <v>NG</v>
      </c>
      <c r="T22" s="354">
        <f t="shared" si="1"/>
        <v>0</v>
      </c>
      <c r="U22" s="337"/>
    </row>
    <row r="23" spans="1:21" ht="19.5">
      <c r="A23" s="339" t="s">
        <v>265</v>
      </c>
      <c r="B23" s="357"/>
      <c r="C23" s="340">
        <f>SUM(様式１!C34:D35)</f>
        <v>0</v>
      </c>
      <c r="D23" s="341" t="str">
        <f t="shared" si="4"/>
        <v/>
      </c>
      <c r="E23" s="375" t="str">
        <f t="shared" si="5"/>
        <v/>
      </c>
      <c r="F23" s="353">
        <f t="shared" si="0"/>
        <v>1</v>
      </c>
      <c r="G23" s="341" t="str">
        <f t="shared" si="6"/>
        <v/>
      </c>
      <c r="H23" s="341" t="str">
        <f t="shared" si="7"/>
        <v/>
      </c>
      <c r="I23" s="341" t="str">
        <f t="shared" si="7"/>
        <v/>
      </c>
      <c r="J23" s="341" t="str">
        <f t="shared" si="8"/>
        <v/>
      </c>
      <c r="K23" s="341" t="str">
        <f t="shared" si="9"/>
        <v/>
      </c>
      <c r="L23" s="341" t="str">
        <f t="shared" si="10"/>
        <v/>
      </c>
      <c r="M23" s="341" t="str">
        <f t="shared" si="11"/>
        <v/>
      </c>
      <c r="N23" s="350" t="str">
        <f t="shared" si="12"/>
        <v>前月からの変更の有無を選択してください</v>
      </c>
      <c r="O23" s="351" t="str">
        <f t="shared" si="3"/>
        <v>入力未了</v>
      </c>
      <c r="Q23" s="355"/>
      <c r="R23" s="354" t="str">
        <f>IF(AND(様式１!$U$34&gt;0,SUM(様式１!$U$35:$U$36)&gt;0),"OK","NG")</f>
        <v>NG</v>
      </c>
      <c r="S23" s="354" t="str">
        <f>IF(AND(様式１!$W$34&gt;0,SUM(様式１!$W$35:$W$36)&gt;0),"OK","NG")</f>
        <v>NG</v>
      </c>
      <c r="T23" s="354">
        <f t="shared" si="1"/>
        <v>0</v>
      </c>
      <c r="U23" s="337"/>
    </row>
    <row r="24" spans="1:21" ht="19.5">
      <c r="A24" s="339" t="s">
        <v>266</v>
      </c>
      <c r="B24" s="357"/>
      <c r="C24" s="340">
        <f>SUM(様式１!C37:D38)</f>
        <v>0</v>
      </c>
      <c r="D24" s="341" t="str">
        <f t="shared" si="4"/>
        <v/>
      </c>
      <c r="E24" s="375" t="str">
        <f t="shared" si="5"/>
        <v/>
      </c>
      <c r="F24" s="353">
        <f t="shared" si="0"/>
        <v>1</v>
      </c>
      <c r="G24" s="341" t="str">
        <f t="shared" si="6"/>
        <v/>
      </c>
      <c r="H24" s="341" t="str">
        <f t="shared" si="7"/>
        <v/>
      </c>
      <c r="I24" s="341" t="str">
        <f t="shared" si="7"/>
        <v/>
      </c>
      <c r="J24" s="341" t="str">
        <f t="shared" si="8"/>
        <v/>
      </c>
      <c r="K24" s="341" t="str">
        <f t="shared" si="9"/>
        <v/>
      </c>
      <c r="L24" s="341" t="str">
        <f t="shared" si="10"/>
        <v/>
      </c>
      <c r="M24" s="341" t="str">
        <f t="shared" si="11"/>
        <v/>
      </c>
      <c r="N24" s="350" t="str">
        <f t="shared" si="12"/>
        <v>前月からの変更の有無を選択してください</v>
      </c>
      <c r="O24" s="351" t="str">
        <f t="shared" si="3"/>
        <v>入力未了</v>
      </c>
      <c r="Q24" s="355"/>
      <c r="R24" s="354" t="str">
        <f>IF(AND(様式１!$U$37&gt;0,SUM(様式１!$U$38:$U$39)&gt;0),"OK","NG")</f>
        <v>NG</v>
      </c>
      <c r="S24" s="354" t="str">
        <f>IF(AND(様式１!$W$37&gt;0,SUM(様式１!$W$38:$W$39)&gt;0),"OK","NG")</f>
        <v>NG</v>
      </c>
      <c r="T24" s="354">
        <f t="shared" si="1"/>
        <v>0</v>
      </c>
      <c r="U24" s="337"/>
    </row>
    <row r="25" spans="1:21" ht="19.5">
      <c r="A25" s="339" t="s">
        <v>267</v>
      </c>
      <c r="B25" s="357"/>
      <c r="C25" s="340">
        <f>SUM(様式１!C40:D41)</f>
        <v>0</v>
      </c>
      <c r="D25" s="341" t="str">
        <f t="shared" si="4"/>
        <v/>
      </c>
      <c r="E25" s="375" t="str">
        <f t="shared" si="5"/>
        <v/>
      </c>
      <c r="F25" s="353">
        <f t="shared" si="0"/>
        <v>1</v>
      </c>
      <c r="G25" s="341" t="str">
        <f t="shared" si="6"/>
        <v/>
      </c>
      <c r="H25" s="341" t="str">
        <f t="shared" si="7"/>
        <v/>
      </c>
      <c r="I25" s="341" t="str">
        <f t="shared" si="7"/>
        <v/>
      </c>
      <c r="J25" s="341" t="str">
        <f t="shared" si="8"/>
        <v/>
      </c>
      <c r="K25" s="341" t="str">
        <f t="shared" si="9"/>
        <v/>
      </c>
      <c r="L25" s="341" t="str">
        <f t="shared" si="10"/>
        <v/>
      </c>
      <c r="M25" s="341" t="str">
        <f t="shared" si="11"/>
        <v/>
      </c>
      <c r="N25" s="350" t="str">
        <f t="shared" si="12"/>
        <v>前月からの変更の有無を選択してください</v>
      </c>
      <c r="O25" s="351" t="str">
        <f t="shared" si="3"/>
        <v>入力未了</v>
      </c>
      <c r="Q25" s="355"/>
      <c r="R25" s="354" t="str">
        <f>IF(AND(様式１!$U$40&gt;0,SUM(様式１!$U$41:$U$42)&gt;0),"OK","NG")</f>
        <v>NG</v>
      </c>
      <c r="S25" s="354" t="str">
        <f>IF(AND(様式１!$W$40&gt;0,SUM(様式１!$W$41:$W$42)&gt;0),"OK","NG")</f>
        <v>NG</v>
      </c>
      <c r="T25" s="354">
        <f t="shared" si="1"/>
        <v>0</v>
      </c>
      <c r="U25" s="337"/>
    </row>
    <row r="26" spans="1:21">
      <c r="E26" s="333" t="s">
        <v>268</v>
      </c>
    </row>
    <row r="27" spans="1:21">
      <c r="E27" s="333" t="s">
        <v>269</v>
      </c>
      <c r="F27" s="333">
        <v>1</v>
      </c>
    </row>
    <row r="28" spans="1:21">
      <c r="E28" s="333" t="s">
        <v>270</v>
      </c>
      <c r="F28" s="333">
        <v>2</v>
      </c>
    </row>
    <row r="29" spans="1:21">
      <c r="E29" s="333" t="s">
        <v>271</v>
      </c>
      <c r="F29" s="333">
        <v>3</v>
      </c>
    </row>
    <row r="30" spans="1:21">
      <c r="E30" s="333" t="s">
        <v>272</v>
      </c>
      <c r="F30" s="333">
        <v>3.5</v>
      </c>
    </row>
    <row r="31" spans="1:21">
      <c r="E31" s="333" t="s">
        <v>273</v>
      </c>
      <c r="F31" s="333">
        <v>5</v>
      </c>
    </row>
    <row r="32" spans="1:21">
      <c r="E32" s="333" t="s">
        <v>274</v>
      </c>
      <c r="F32" s="333">
        <v>6</v>
      </c>
    </row>
    <row r="33" spans="5:6">
      <c r="E33" s="333" t="s">
        <v>275</v>
      </c>
      <c r="F33" s="333">
        <v>8</v>
      </c>
    </row>
    <row r="34" spans="5:6">
      <c r="E34" s="439">
        <v>1</v>
      </c>
      <c r="F34" s="439">
        <v>0.5</v>
      </c>
    </row>
    <row r="35" spans="5:6">
      <c r="E35" s="439">
        <v>2</v>
      </c>
      <c r="F35" s="439">
        <v>1.5</v>
      </c>
    </row>
    <row r="36" spans="5:6">
      <c r="E36" s="439">
        <v>3</v>
      </c>
      <c r="F36" s="439">
        <v>2.5</v>
      </c>
    </row>
    <row r="37" spans="5:6">
      <c r="E37" s="439">
        <v>3.5</v>
      </c>
      <c r="F37" s="439">
        <v>3.3</v>
      </c>
    </row>
    <row r="38" spans="5:6">
      <c r="E38" s="439">
        <v>4</v>
      </c>
      <c r="F38" s="439">
        <v>3.5</v>
      </c>
    </row>
    <row r="39" spans="5:6">
      <c r="E39" s="439">
        <v>4.5</v>
      </c>
      <c r="F39" s="439">
        <v>4.3</v>
      </c>
    </row>
    <row r="40" spans="5:6">
      <c r="E40" s="439">
        <v>5</v>
      </c>
      <c r="F40" s="439">
        <v>4.5</v>
      </c>
    </row>
    <row r="41" spans="5:6">
      <c r="E41" s="439">
        <v>5.5</v>
      </c>
      <c r="F41" s="439">
        <v>5.3</v>
      </c>
    </row>
    <row r="42" spans="5:6">
      <c r="E42" s="439">
        <v>6</v>
      </c>
      <c r="F42" s="439">
        <v>5.5</v>
      </c>
    </row>
    <row r="43" spans="5:6">
      <c r="E43" s="439">
        <v>6.5</v>
      </c>
      <c r="F43" s="439">
        <v>6.3</v>
      </c>
    </row>
    <row r="44" spans="5:6">
      <c r="E44" s="439">
        <v>7</v>
      </c>
      <c r="F44" s="439">
        <v>6.5</v>
      </c>
    </row>
    <row r="45" spans="5:6">
      <c r="E45" s="439">
        <v>7.5</v>
      </c>
      <c r="F45" s="439">
        <v>7.3</v>
      </c>
    </row>
    <row r="46" spans="5:6">
      <c r="E46" s="439">
        <v>8</v>
      </c>
      <c r="F46" s="439">
        <v>7.5</v>
      </c>
    </row>
  </sheetData>
  <sheetProtection algorithmName="SHA-512" hashValue="la0wHKVxe291LGlfxpsM8vmr2C/IpSWgHYrxCiLemTLNIEUROZVndEAlr2YlTZh73KYsiHdORL1XydcFRuJF0A==" saltValue="Uuz+nJ/rZlJ15Huz6TyPvg==" spinCount="100000" sheet="1" objects="1" scenarios="1"/>
  <mergeCells count="11">
    <mergeCell ref="K12:K13"/>
    <mergeCell ref="D12:F12"/>
    <mergeCell ref="C12:C13"/>
    <mergeCell ref="M12:M13"/>
    <mergeCell ref="L12:L13"/>
    <mergeCell ref="I12:I13"/>
    <mergeCell ref="A12:A13"/>
    <mergeCell ref="G12:G13"/>
    <mergeCell ref="H12:H13"/>
    <mergeCell ref="J12:J13"/>
    <mergeCell ref="B12:B13"/>
  </mergeCells>
  <phoneticPr fontId="3"/>
  <conditionalFormatting sqref="D14:D25 G14:M25">
    <cfRule type="expression" dxfId="5" priority="4">
      <formula>D14=""</formula>
    </cfRule>
  </conditionalFormatting>
  <conditionalFormatting sqref="D15:D25 G15:M25">
    <cfRule type="expression" dxfId="4" priority="2">
      <formula>$B15&lt;&gt;"変更あり"</formula>
    </cfRule>
  </conditionalFormatting>
  <conditionalFormatting sqref="E14:E25">
    <cfRule type="expression" dxfId="3" priority="1">
      <formula>AND(D14="○",E14&lt;&gt;"")</formula>
    </cfRule>
    <cfRule type="expression" dxfId="2" priority="3">
      <formula>D14="○"</formula>
    </cfRule>
  </conditionalFormatting>
  <conditionalFormatting sqref="N14:N25">
    <cfRule type="expression" dxfId="1" priority="5">
      <formula>N14&lt;&gt;""</formula>
    </cfRule>
  </conditionalFormatting>
  <dataValidations count="5">
    <dataValidation type="list" allowBlank="1" showInputMessage="1" showErrorMessage="1" sqref="B15:B25" xr:uid="{97C91D73-D9D2-4EFD-BE75-0B0041D59AB4}">
      <formula1>"変更なし,変更あり"</formula1>
    </dataValidation>
    <dataValidation type="list" allowBlank="1" showInputMessage="1" showErrorMessage="1" sqref="D14:D25 G14:K25" xr:uid="{E3805FE9-19DE-435F-B6AA-12667C7D4C62}">
      <formula1>$Q$3:$S$3</formula1>
    </dataValidation>
    <dataValidation type="list" allowBlank="1" showInputMessage="1" showErrorMessage="1" sqref="L14:L25" xr:uid="{A0F149F3-BA46-4C27-BF04-5180B4E1263F}">
      <formula1>$Q$4:$S$4</formula1>
    </dataValidation>
    <dataValidation type="list" allowBlank="1" showInputMessage="1" showErrorMessage="1" sqref="M14:M25" xr:uid="{6F4B9EEB-7C90-4E87-97A8-4A9B6F88C8CE}">
      <formula1>$Q$5:$T$5</formula1>
    </dataValidation>
    <dataValidation type="list" allowBlank="1" showInputMessage="1" showErrorMessage="1" sqref="E14:E25" xr:uid="{7C9D02D1-C610-46E1-8F60-2AFD996422AB}">
      <formula1>$E$34:$E$47</formula1>
    </dataValidation>
  </dataValidations>
  <pageMargins left="0.7" right="0.7" top="0.75" bottom="0.75" header="0.3" footer="0.3"/>
  <pageSetup paperSize="9" scale="76"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FC000"/>
    <pageSetUpPr fitToPage="1"/>
  </sheetPr>
  <dimension ref="A1:BC33"/>
  <sheetViews>
    <sheetView view="pageBreakPreview" zoomScale="80" zoomScaleNormal="100" zoomScaleSheetLayoutView="80" workbookViewId="0">
      <selection activeCell="D7" sqref="D7"/>
    </sheetView>
  </sheetViews>
  <sheetFormatPr defaultRowHeight="13.5"/>
  <cols>
    <col min="2" max="2" width="6.5" bestFit="1" customWidth="1"/>
    <col min="3" max="3" width="6.5" customWidth="1"/>
    <col min="4" max="4" width="7.75" bestFit="1" customWidth="1"/>
    <col min="5" max="5" width="7.75" customWidth="1"/>
    <col min="6" max="7" width="7.875" bestFit="1" customWidth="1"/>
    <col min="8" max="8" width="8.875" bestFit="1" customWidth="1"/>
    <col min="9" max="9" width="7.625" bestFit="1" customWidth="1"/>
    <col min="10" max="11" width="7.625" customWidth="1"/>
    <col min="12" max="12" width="7.75" bestFit="1" customWidth="1"/>
    <col min="13" max="13" width="7" customWidth="1"/>
    <col min="14" max="14" width="7.75" bestFit="1" customWidth="1"/>
    <col min="15" max="15" width="7.625" bestFit="1" customWidth="1"/>
    <col min="16" max="16" width="8.75" bestFit="1" customWidth="1"/>
    <col min="17" max="17" width="7.625" bestFit="1" customWidth="1"/>
    <col min="18" max="19" width="7.25" customWidth="1"/>
    <col min="20" max="20" width="7.75" bestFit="1" customWidth="1"/>
    <col min="21" max="21" width="7.625" bestFit="1" customWidth="1"/>
    <col min="22" max="22" width="7.75" bestFit="1" customWidth="1"/>
    <col min="23" max="23" width="7.625" bestFit="1" customWidth="1"/>
    <col min="24" max="24" width="8.75" bestFit="1" customWidth="1"/>
    <col min="25" max="25" width="7.625" bestFit="1" customWidth="1"/>
    <col min="26" max="27" width="7.125" customWidth="1"/>
    <col min="28" max="35" width="7.5" customWidth="1"/>
    <col min="36" max="43" width="8" customWidth="1"/>
    <col min="44" max="50" width="7.5" customWidth="1"/>
    <col min="52" max="52" width="1.125" customWidth="1"/>
    <col min="54" max="54" width="11.125" customWidth="1"/>
  </cols>
  <sheetData>
    <row r="1" spans="1:55" ht="14.25">
      <c r="A1" s="857" t="s">
        <v>234</v>
      </c>
      <c r="B1" s="858"/>
      <c r="C1" s="858"/>
      <c r="D1" s="859"/>
      <c r="F1" s="873" t="s">
        <v>235</v>
      </c>
      <c r="G1" s="873"/>
      <c r="H1" s="873"/>
      <c r="I1" s="873"/>
      <c r="J1" s="873"/>
      <c r="K1" s="873"/>
      <c r="L1" s="873"/>
      <c r="M1" s="873"/>
      <c r="N1" s="873"/>
      <c r="O1" s="873"/>
      <c r="P1" s="873"/>
      <c r="Q1" s="873"/>
      <c r="R1" s="873"/>
      <c r="S1" s="873"/>
      <c r="T1" s="873"/>
      <c r="U1" s="873"/>
      <c r="V1" s="873"/>
      <c r="W1" s="873"/>
      <c r="X1" s="873"/>
      <c r="AI1" s="872"/>
      <c r="AJ1" s="872"/>
      <c r="AK1" s="872"/>
      <c r="AL1" s="872"/>
      <c r="AM1" s="872"/>
      <c r="AN1" s="872"/>
      <c r="AO1" s="872"/>
      <c r="AP1" s="872"/>
      <c r="AQ1" s="872"/>
    </row>
    <row r="2" spans="1:55">
      <c r="A2" s="860"/>
      <c r="B2" s="861"/>
      <c r="C2" s="861"/>
      <c r="D2" s="862"/>
      <c r="F2" s="873"/>
      <c r="G2" s="873"/>
      <c r="H2" s="873"/>
      <c r="I2" s="873"/>
      <c r="J2" s="873"/>
      <c r="K2" s="873"/>
      <c r="L2" s="873"/>
      <c r="M2" s="873"/>
      <c r="N2" s="873"/>
      <c r="O2" s="873"/>
      <c r="P2" s="873"/>
      <c r="Q2" s="873"/>
      <c r="R2" s="873"/>
      <c r="S2" s="873"/>
      <c r="T2" s="873"/>
      <c r="U2" s="873"/>
      <c r="V2" s="873"/>
      <c r="W2" s="873"/>
      <c r="X2" s="873"/>
    </row>
    <row r="3" spans="1:55">
      <c r="A3" s="142"/>
      <c r="B3" s="142"/>
      <c r="C3" s="142"/>
      <c r="D3" s="142"/>
    </row>
    <row r="4" spans="1:55">
      <c r="D4" s="143">
        <f>ROUND((8.5-8)/8,3)</f>
        <v>6.3E-2</v>
      </c>
      <c r="E4" s="143">
        <f>ROUND((9-8)/8,3)</f>
        <v>0.125</v>
      </c>
      <c r="F4" s="143">
        <f>ROUND((9.5-8)/8,3)</f>
        <v>0.188</v>
      </c>
      <c r="G4" s="143">
        <f>ROUND((10-8)/8,3)</f>
        <v>0.25</v>
      </c>
      <c r="H4" s="143">
        <f>ROUND((10.5-8)/8,3)</f>
        <v>0.313</v>
      </c>
      <c r="I4" s="143">
        <f>ROUND((11-8)/8,3)</f>
        <v>0.375</v>
      </c>
      <c r="L4" s="143">
        <f>ROUND((8.5-8)/8,3)</f>
        <v>6.3E-2</v>
      </c>
      <c r="M4" s="143">
        <f>ROUND((9-8)/8,3)</f>
        <v>0.125</v>
      </c>
      <c r="N4" s="143">
        <f>ROUND((9.5-8)/8,3)</f>
        <v>0.188</v>
      </c>
      <c r="O4" s="143">
        <f>ROUND((10-8)/8,3)</f>
        <v>0.25</v>
      </c>
      <c r="P4" s="143">
        <f>ROUND((10.5-8)/8,3)</f>
        <v>0.313</v>
      </c>
      <c r="Q4" s="143">
        <f>ROUND((11-8)/8,3)</f>
        <v>0.375</v>
      </c>
      <c r="T4" s="143">
        <f>ROUND((8.5-8)/8,3)</f>
        <v>6.3E-2</v>
      </c>
      <c r="U4" s="143">
        <f>ROUND((9-8)/8,3)</f>
        <v>0.125</v>
      </c>
      <c r="V4" s="143">
        <f>ROUND((9.5-8)/8,3)</f>
        <v>0.188</v>
      </c>
      <c r="W4" s="143">
        <f>ROUND((10-8)/8,3)</f>
        <v>0.25</v>
      </c>
      <c r="X4" s="143">
        <f>ROUND((10.5-8)/8,3)</f>
        <v>0.313</v>
      </c>
      <c r="Y4" s="143">
        <f>ROUND((11-8)/8,3)</f>
        <v>0.375</v>
      </c>
      <c r="AB4" s="143">
        <f>ROUND((8.5-8)/8,3)</f>
        <v>6.3E-2</v>
      </c>
      <c r="AC4" s="143">
        <f>ROUND((9-8)/8,3)</f>
        <v>0.125</v>
      </c>
      <c r="AD4" s="143">
        <f>ROUND((9.5-8)/8,3)</f>
        <v>0.188</v>
      </c>
      <c r="AE4" s="143">
        <f>ROUND((10-8)/8,3)</f>
        <v>0.25</v>
      </c>
      <c r="AF4" s="143">
        <f>ROUND((10.5-8)/8,3)</f>
        <v>0.313</v>
      </c>
      <c r="AG4" s="143">
        <f>ROUND((11-8)/8,3)</f>
        <v>0.375</v>
      </c>
      <c r="AJ4" s="143">
        <f>ROUND((8.5-8)/8,3)</f>
        <v>6.3E-2</v>
      </c>
      <c r="AK4" s="143">
        <f>ROUND((9-8)/8,3)</f>
        <v>0.125</v>
      </c>
      <c r="AL4" s="143">
        <f>ROUND((9.5-8)/8,3)</f>
        <v>0.188</v>
      </c>
      <c r="AM4" s="143">
        <f>ROUND((10-8)/8,3)</f>
        <v>0.25</v>
      </c>
      <c r="AN4" s="143">
        <f>ROUND((10.5-8)/8,3)</f>
        <v>0.313</v>
      </c>
      <c r="AO4" s="143">
        <f>ROUND((11-8)/8,3)</f>
        <v>0.375</v>
      </c>
      <c r="AR4" s="143">
        <f>ROUND((8.5-8)/8,3)</f>
        <v>6.3E-2</v>
      </c>
      <c r="AS4" s="143">
        <f>ROUND((9-8)/8,3)</f>
        <v>0.125</v>
      </c>
      <c r="AT4" s="143">
        <f>ROUND((9.5-8)/8,3)</f>
        <v>0.188</v>
      </c>
      <c r="AU4" s="143">
        <f>ROUND((10-8)/8,3)</f>
        <v>0.25</v>
      </c>
      <c r="AV4" s="143">
        <f>ROUND((10.5-8)/8,3)</f>
        <v>0.313</v>
      </c>
      <c r="AW4" s="143">
        <f>ROUND((11-8)/8,3)</f>
        <v>0.375</v>
      </c>
    </row>
    <row r="5" spans="1:55" ht="20.25" customHeight="1">
      <c r="B5" s="863"/>
      <c r="C5" s="864"/>
      <c r="D5" s="867" t="s">
        <v>123</v>
      </c>
      <c r="E5" s="868"/>
      <c r="F5" s="868"/>
      <c r="G5" s="868"/>
      <c r="H5" s="868"/>
      <c r="I5" s="868"/>
      <c r="J5" s="868"/>
      <c r="K5" s="869"/>
      <c r="L5" s="870" t="s">
        <v>124</v>
      </c>
      <c r="M5" s="868"/>
      <c r="N5" s="868"/>
      <c r="O5" s="868"/>
      <c r="P5" s="868"/>
      <c r="Q5" s="868"/>
      <c r="R5" s="868"/>
      <c r="S5" s="869"/>
      <c r="T5" s="871" t="s">
        <v>125</v>
      </c>
      <c r="U5" s="599"/>
      <c r="V5" s="599"/>
      <c r="W5" s="599"/>
      <c r="X5" s="599"/>
      <c r="Y5" s="599"/>
      <c r="Z5" s="867"/>
      <c r="AA5" s="146"/>
      <c r="AB5" s="870" t="s">
        <v>126</v>
      </c>
      <c r="AC5" s="868"/>
      <c r="AD5" s="868"/>
      <c r="AE5" s="868"/>
      <c r="AF5" s="868"/>
      <c r="AG5" s="868"/>
      <c r="AH5" s="868"/>
      <c r="AI5" s="868"/>
      <c r="AJ5" s="868" t="s">
        <v>127</v>
      </c>
      <c r="AK5" s="868"/>
      <c r="AL5" s="868"/>
      <c r="AM5" s="868"/>
      <c r="AN5" s="868"/>
      <c r="AO5" s="868"/>
      <c r="AP5" s="868"/>
      <c r="AQ5" s="869"/>
      <c r="AR5" s="870" t="s">
        <v>128</v>
      </c>
      <c r="AS5" s="868"/>
      <c r="AT5" s="868"/>
      <c r="AU5" s="868"/>
      <c r="AV5" s="868"/>
      <c r="AW5" s="868"/>
      <c r="AX5" s="868"/>
      <c r="AY5" s="869"/>
      <c r="BA5" s="874" t="s">
        <v>129</v>
      </c>
      <c r="BB5" s="875" t="s">
        <v>130</v>
      </c>
      <c r="BC5" s="875" t="s">
        <v>131</v>
      </c>
    </row>
    <row r="6" spans="1:55" ht="16.5" customHeight="1">
      <c r="B6" s="865"/>
      <c r="C6" s="866"/>
      <c r="D6" s="139" t="s">
        <v>132</v>
      </c>
      <c r="E6" s="139" t="s">
        <v>133</v>
      </c>
      <c r="F6" s="139" t="s">
        <v>134</v>
      </c>
      <c r="G6" s="139" t="s">
        <v>135</v>
      </c>
      <c r="H6" s="139" t="s">
        <v>136</v>
      </c>
      <c r="I6" s="139" t="s">
        <v>137</v>
      </c>
      <c r="J6" s="144" t="s">
        <v>138</v>
      </c>
      <c r="K6" s="147" t="s">
        <v>139</v>
      </c>
      <c r="L6" s="148" t="s">
        <v>132</v>
      </c>
      <c r="M6" s="139" t="s">
        <v>133</v>
      </c>
      <c r="N6" s="139" t="s">
        <v>134</v>
      </c>
      <c r="O6" s="139" t="s">
        <v>135</v>
      </c>
      <c r="P6" s="139" t="s">
        <v>136</v>
      </c>
      <c r="Q6" s="139" t="s">
        <v>137</v>
      </c>
      <c r="R6" s="144" t="s">
        <v>138</v>
      </c>
      <c r="S6" s="147" t="s">
        <v>139</v>
      </c>
      <c r="T6" s="145" t="s">
        <v>132</v>
      </c>
      <c r="U6" s="139" t="s">
        <v>133</v>
      </c>
      <c r="V6" s="139" t="s">
        <v>134</v>
      </c>
      <c r="W6" s="139" t="s">
        <v>135</v>
      </c>
      <c r="X6" s="139" t="s">
        <v>136</v>
      </c>
      <c r="Y6" s="139" t="s">
        <v>137</v>
      </c>
      <c r="Z6" s="144" t="s">
        <v>138</v>
      </c>
      <c r="AA6" s="147" t="s">
        <v>139</v>
      </c>
      <c r="AB6" s="148" t="s">
        <v>132</v>
      </c>
      <c r="AC6" s="139" t="s">
        <v>133</v>
      </c>
      <c r="AD6" s="139" t="s">
        <v>134</v>
      </c>
      <c r="AE6" s="139" t="s">
        <v>135</v>
      </c>
      <c r="AF6" s="139" t="s">
        <v>136</v>
      </c>
      <c r="AG6" s="139" t="s">
        <v>137</v>
      </c>
      <c r="AH6" s="144" t="s">
        <v>138</v>
      </c>
      <c r="AI6" s="147" t="s">
        <v>139</v>
      </c>
      <c r="AJ6" s="145" t="s">
        <v>132</v>
      </c>
      <c r="AK6" s="139" t="s">
        <v>133</v>
      </c>
      <c r="AL6" s="139" t="s">
        <v>134</v>
      </c>
      <c r="AM6" s="139" t="s">
        <v>135</v>
      </c>
      <c r="AN6" s="139" t="s">
        <v>136</v>
      </c>
      <c r="AO6" s="139" t="s">
        <v>137</v>
      </c>
      <c r="AP6" s="144" t="s">
        <v>138</v>
      </c>
      <c r="AQ6" s="147" t="s">
        <v>139</v>
      </c>
      <c r="AR6" s="149" t="s">
        <v>132</v>
      </c>
      <c r="AS6" s="150" t="s">
        <v>133</v>
      </c>
      <c r="AT6" s="150" t="s">
        <v>134</v>
      </c>
      <c r="AU6" s="150" t="s">
        <v>135</v>
      </c>
      <c r="AV6" s="150" t="s">
        <v>136</v>
      </c>
      <c r="AW6" s="150" t="s">
        <v>137</v>
      </c>
      <c r="AX6" s="150" t="s">
        <v>138</v>
      </c>
      <c r="AY6" s="147" t="s">
        <v>139</v>
      </c>
      <c r="BA6" s="874"/>
      <c r="BB6" s="875"/>
      <c r="BC6" s="875"/>
    </row>
    <row r="7" spans="1:55" ht="18.75" customHeight="1">
      <c r="B7" s="876" t="s">
        <v>11</v>
      </c>
      <c r="C7" s="151" t="s">
        <v>140</v>
      </c>
      <c r="D7" s="186"/>
      <c r="E7" s="186"/>
      <c r="F7" s="186"/>
      <c r="G7" s="186"/>
      <c r="H7" s="186"/>
      <c r="I7" s="186"/>
      <c r="J7" s="152">
        <f>SUM(D7:I7)</f>
        <v>0</v>
      </c>
      <c r="K7" s="878">
        <f>ROUND(J8/3*J7,2)</f>
        <v>0</v>
      </c>
      <c r="L7" s="186"/>
      <c r="M7" s="186"/>
      <c r="N7" s="186"/>
      <c r="O7" s="186"/>
      <c r="P7" s="186"/>
      <c r="Q7" s="186"/>
      <c r="R7" s="153">
        <f>SUM(L7:Q7)</f>
        <v>0</v>
      </c>
      <c r="S7" s="878">
        <f>ROUND(R8/5*R7,2)</f>
        <v>0</v>
      </c>
      <c r="T7" s="186"/>
      <c r="U7" s="186"/>
      <c r="V7" s="186"/>
      <c r="W7" s="186"/>
      <c r="X7" s="186"/>
      <c r="Y7" s="186"/>
      <c r="Z7" s="152">
        <f>SUM(T7:Y7)</f>
        <v>0</v>
      </c>
      <c r="AA7" s="878">
        <f>ROUND(Z8/6*Z7,2)</f>
        <v>0</v>
      </c>
      <c r="AB7" s="186"/>
      <c r="AC7" s="186"/>
      <c r="AD7" s="186"/>
      <c r="AE7" s="186"/>
      <c r="AF7" s="186"/>
      <c r="AG7" s="186"/>
      <c r="AH7" s="152">
        <f>SUM(AB7:AG7)</f>
        <v>0</v>
      </c>
      <c r="AI7" s="878">
        <f>ROUND(AH8/15*AH7,2)</f>
        <v>0</v>
      </c>
      <c r="AJ7" s="186"/>
      <c r="AK7" s="186"/>
      <c r="AL7" s="186"/>
      <c r="AM7" s="186"/>
      <c r="AN7" s="186"/>
      <c r="AO7" s="186"/>
      <c r="AP7" s="152">
        <f>SUM(AJ7:AO7)</f>
        <v>0</v>
      </c>
      <c r="AQ7" s="878">
        <f>ROUND(AP8/20*AP7,2)</f>
        <v>0</v>
      </c>
      <c r="AR7" s="186"/>
      <c r="AS7" s="186"/>
      <c r="AT7" s="186"/>
      <c r="AU7" s="186"/>
      <c r="AV7" s="186"/>
      <c r="AW7" s="186"/>
      <c r="AX7" s="154">
        <f>SUM(AR7:AW7)</f>
        <v>0</v>
      </c>
      <c r="AY7" s="878">
        <f>ROUND(AX8/25*AX7,2)</f>
        <v>0</v>
      </c>
      <c r="BA7" s="880">
        <f>ROUND(AY7+AQ7+AI7+AA7+S7+K7,1)</f>
        <v>0</v>
      </c>
      <c r="BB7" s="138" t="str">
        <f>IF(J7+R7=0,"×","○")</f>
        <v>×</v>
      </c>
      <c r="BC7" s="155">
        <f>SUM(J7,R7,Z7,AH7,AP7,AX7)</f>
        <v>0</v>
      </c>
    </row>
    <row r="8" spans="1:55" ht="18.75" customHeight="1">
      <c r="B8" s="877"/>
      <c r="C8" s="156" t="s">
        <v>141</v>
      </c>
      <c r="D8" s="157">
        <f t="shared" ref="D8:I8" si="0">D$4*D7</f>
        <v>0</v>
      </c>
      <c r="E8" s="157">
        <f t="shared" si="0"/>
        <v>0</v>
      </c>
      <c r="F8" s="157">
        <f t="shared" si="0"/>
        <v>0</v>
      </c>
      <c r="G8" s="157">
        <f t="shared" si="0"/>
        <v>0</v>
      </c>
      <c r="H8" s="157">
        <f t="shared" si="0"/>
        <v>0</v>
      </c>
      <c r="I8" s="157">
        <f t="shared" si="0"/>
        <v>0</v>
      </c>
      <c r="J8" s="158">
        <f>IFERROR(ROUND(SUM(D8:I8)/J7,3),0)</f>
        <v>0</v>
      </c>
      <c r="K8" s="879"/>
      <c r="L8" s="159">
        <f t="shared" ref="L8:Q8" si="1">L$4*L7</f>
        <v>0</v>
      </c>
      <c r="M8" s="157">
        <f t="shared" si="1"/>
        <v>0</v>
      </c>
      <c r="N8" s="157">
        <f t="shared" si="1"/>
        <v>0</v>
      </c>
      <c r="O8" s="157">
        <f t="shared" si="1"/>
        <v>0</v>
      </c>
      <c r="P8" s="157">
        <f t="shared" si="1"/>
        <v>0</v>
      </c>
      <c r="Q8" s="157">
        <f t="shared" si="1"/>
        <v>0</v>
      </c>
      <c r="R8" s="158">
        <f>IFERROR(ROUND(SUM(L8:Q8)/R7,3),)</f>
        <v>0</v>
      </c>
      <c r="S8" s="879"/>
      <c r="T8" s="160">
        <f t="shared" ref="T8:Y8" si="2">T$4*T7</f>
        <v>0</v>
      </c>
      <c r="U8" s="157">
        <f t="shared" si="2"/>
        <v>0</v>
      </c>
      <c r="V8" s="157">
        <f t="shared" si="2"/>
        <v>0</v>
      </c>
      <c r="W8" s="157">
        <f t="shared" si="2"/>
        <v>0</v>
      </c>
      <c r="X8" s="157">
        <f t="shared" si="2"/>
        <v>0</v>
      </c>
      <c r="Y8" s="157">
        <f t="shared" si="2"/>
        <v>0</v>
      </c>
      <c r="Z8" s="158">
        <f>IFERROR(ROUND(SUM(T8:Y8)/Z7,3),0)</f>
        <v>0</v>
      </c>
      <c r="AA8" s="879"/>
      <c r="AB8" s="159">
        <f t="shared" ref="AB8:AG8" si="3">AB$4*AB7</f>
        <v>0</v>
      </c>
      <c r="AC8" s="157">
        <f t="shared" si="3"/>
        <v>0</v>
      </c>
      <c r="AD8" s="157">
        <f t="shared" si="3"/>
        <v>0</v>
      </c>
      <c r="AE8" s="157">
        <f t="shared" si="3"/>
        <v>0</v>
      </c>
      <c r="AF8" s="157">
        <f t="shared" si="3"/>
        <v>0</v>
      </c>
      <c r="AG8" s="157">
        <f t="shared" si="3"/>
        <v>0</v>
      </c>
      <c r="AH8" s="158">
        <f>IFERROR(ROUND(SUM(AB8:AG8)/AH7,3),0)</f>
        <v>0</v>
      </c>
      <c r="AI8" s="879"/>
      <c r="AJ8" s="160">
        <f t="shared" ref="AJ8:AO8" si="4">AJ$4*AJ7</f>
        <v>0</v>
      </c>
      <c r="AK8" s="157">
        <f t="shared" si="4"/>
        <v>0</v>
      </c>
      <c r="AL8" s="157">
        <f t="shared" si="4"/>
        <v>0</v>
      </c>
      <c r="AM8" s="157">
        <f t="shared" si="4"/>
        <v>0</v>
      </c>
      <c r="AN8" s="157">
        <f t="shared" si="4"/>
        <v>0</v>
      </c>
      <c r="AO8" s="157">
        <f t="shared" si="4"/>
        <v>0</v>
      </c>
      <c r="AP8" s="158">
        <f>IFERROR(ROUND(SUM(AJ8:AO8)/AP7,3),0)</f>
        <v>0</v>
      </c>
      <c r="AQ8" s="879"/>
      <c r="AR8" s="159">
        <f t="shared" ref="AR8:AW8" si="5">AR$4*AR7</f>
        <v>0</v>
      </c>
      <c r="AS8" s="157">
        <f t="shared" si="5"/>
        <v>0</v>
      </c>
      <c r="AT8" s="157">
        <f t="shared" si="5"/>
        <v>0</v>
      </c>
      <c r="AU8" s="157">
        <f t="shared" si="5"/>
        <v>0</v>
      </c>
      <c r="AV8" s="157">
        <f t="shared" si="5"/>
        <v>0</v>
      </c>
      <c r="AW8" s="157">
        <f t="shared" si="5"/>
        <v>0</v>
      </c>
      <c r="AX8" s="157">
        <f>IFERROR(ROUND(SUM(AR8:AW8)/AX7,3),0)</f>
        <v>0</v>
      </c>
      <c r="AY8" s="879"/>
      <c r="BA8" s="880"/>
      <c r="BB8" s="138"/>
      <c r="BC8" s="161"/>
    </row>
    <row r="9" spans="1:55" ht="18.75" customHeight="1">
      <c r="B9" s="876" t="s">
        <v>142</v>
      </c>
      <c r="C9" s="151" t="s">
        <v>140</v>
      </c>
      <c r="D9" s="186"/>
      <c r="E9" s="186"/>
      <c r="F9" s="186"/>
      <c r="G9" s="186"/>
      <c r="H9" s="186"/>
      <c r="I9" s="186"/>
      <c r="J9" s="153">
        <f>SUM(D9:I9)</f>
        <v>0</v>
      </c>
      <c r="K9" s="878">
        <f>ROUND(J10/3*J9,2)</f>
        <v>0</v>
      </c>
      <c r="L9" s="186"/>
      <c r="M9" s="186"/>
      <c r="N9" s="186"/>
      <c r="O9" s="186"/>
      <c r="P9" s="186"/>
      <c r="Q9" s="186"/>
      <c r="R9" s="153">
        <f>SUM(L9:Q9)</f>
        <v>0</v>
      </c>
      <c r="S9" s="878">
        <f>ROUND(R10/5*R9,2)</f>
        <v>0</v>
      </c>
      <c r="T9" s="186"/>
      <c r="U9" s="186"/>
      <c r="V9" s="186"/>
      <c r="W9" s="186"/>
      <c r="X9" s="186"/>
      <c r="Y9" s="186"/>
      <c r="Z9" s="152">
        <f>SUM(T9:Y9)</f>
        <v>0</v>
      </c>
      <c r="AA9" s="878">
        <f>ROUND(Z10/6*Z9,2)</f>
        <v>0</v>
      </c>
      <c r="AB9" s="186"/>
      <c r="AC9" s="186"/>
      <c r="AD9" s="186"/>
      <c r="AE9" s="186"/>
      <c r="AF9" s="186"/>
      <c r="AG9" s="186"/>
      <c r="AH9" s="152">
        <f>SUM(AB9:AG9)</f>
        <v>0</v>
      </c>
      <c r="AI9" s="878">
        <f>ROUND(AH10/15*AH9,2)</f>
        <v>0</v>
      </c>
      <c r="AJ9" s="186"/>
      <c r="AK9" s="186"/>
      <c r="AL9" s="186"/>
      <c r="AM9" s="186"/>
      <c r="AN9" s="186"/>
      <c r="AO9" s="186"/>
      <c r="AP9" s="152">
        <f>SUM(AJ9:AO9)</f>
        <v>0</v>
      </c>
      <c r="AQ9" s="878">
        <f>ROUND(AP10/20*AP9,2)</f>
        <v>0</v>
      </c>
      <c r="AR9" s="186"/>
      <c r="AS9" s="186"/>
      <c r="AT9" s="186"/>
      <c r="AU9" s="186"/>
      <c r="AV9" s="186"/>
      <c r="AW9" s="186"/>
      <c r="AX9" s="154">
        <f>SUM(AR9:AW9)</f>
        <v>0</v>
      </c>
      <c r="AY9" s="878">
        <f>ROUND(AX10/25*AX9,2)</f>
        <v>0</v>
      </c>
      <c r="BA9" s="880">
        <f>ROUND(AY9+AQ9+AI9+AA9+S9+K9,1)</f>
        <v>0</v>
      </c>
      <c r="BB9" s="138" t="str">
        <f>IF(J9+R9=0,"×","○")</f>
        <v>×</v>
      </c>
      <c r="BC9" s="155">
        <f>SUM(J9,R9,Z9,AH9,AP9,AX9)</f>
        <v>0</v>
      </c>
    </row>
    <row r="10" spans="1:55" ht="18.75" customHeight="1">
      <c r="B10" s="877"/>
      <c r="C10" s="162" t="s">
        <v>141</v>
      </c>
      <c r="D10" s="157">
        <f t="shared" ref="D10:I10" si="6">D$4*D9</f>
        <v>0</v>
      </c>
      <c r="E10" s="157">
        <f t="shared" si="6"/>
        <v>0</v>
      </c>
      <c r="F10" s="157">
        <f t="shared" si="6"/>
        <v>0</v>
      </c>
      <c r="G10" s="157">
        <f t="shared" si="6"/>
        <v>0</v>
      </c>
      <c r="H10" s="157">
        <f t="shared" si="6"/>
        <v>0</v>
      </c>
      <c r="I10" s="157">
        <f t="shared" si="6"/>
        <v>0</v>
      </c>
      <c r="J10" s="158">
        <f>IFERROR(ROUND(SUM(D10:I10)/J9,3),0)</f>
        <v>0</v>
      </c>
      <c r="K10" s="879"/>
      <c r="L10" s="159">
        <f t="shared" ref="L10:Q10" si="7">L$4*L9</f>
        <v>0</v>
      </c>
      <c r="M10" s="157">
        <f t="shared" si="7"/>
        <v>0</v>
      </c>
      <c r="N10" s="157">
        <f t="shared" si="7"/>
        <v>0</v>
      </c>
      <c r="O10" s="157">
        <f t="shared" si="7"/>
        <v>0</v>
      </c>
      <c r="P10" s="157">
        <f t="shared" si="7"/>
        <v>0</v>
      </c>
      <c r="Q10" s="157">
        <f t="shared" si="7"/>
        <v>0</v>
      </c>
      <c r="R10" s="158">
        <f>IFERROR(ROUND(SUM(L10:Q10)/R9,3),0)</f>
        <v>0</v>
      </c>
      <c r="S10" s="879"/>
      <c r="T10" s="160">
        <f t="shared" ref="T10:Y10" si="8">T$4*T9</f>
        <v>0</v>
      </c>
      <c r="U10" s="157">
        <f t="shared" si="8"/>
        <v>0</v>
      </c>
      <c r="V10" s="157">
        <f t="shared" si="8"/>
        <v>0</v>
      </c>
      <c r="W10" s="157">
        <f t="shared" si="8"/>
        <v>0</v>
      </c>
      <c r="X10" s="157">
        <f t="shared" si="8"/>
        <v>0</v>
      </c>
      <c r="Y10" s="157">
        <f t="shared" si="8"/>
        <v>0</v>
      </c>
      <c r="Z10" s="158">
        <f>IFERROR(ROUND(SUM(T10:Y10)/Z9,3),0)</f>
        <v>0</v>
      </c>
      <c r="AA10" s="879"/>
      <c r="AB10" s="159">
        <f t="shared" ref="AB10:AG10" si="9">AB$4*AB9</f>
        <v>0</v>
      </c>
      <c r="AC10" s="157">
        <f t="shared" si="9"/>
        <v>0</v>
      </c>
      <c r="AD10" s="157">
        <f t="shared" si="9"/>
        <v>0</v>
      </c>
      <c r="AE10" s="157">
        <f t="shared" si="9"/>
        <v>0</v>
      </c>
      <c r="AF10" s="157">
        <f t="shared" si="9"/>
        <v>0</v>
      </c>
      <c r="AG10" s="157">
        <f t="shared" si="9"/>
        <v>0</v>
      </c>
      <c r="AH10" s="158">
        <f>IFERROR(ROUND(SUM(AB10:AG10)/AH9,3),0)</f>
        <v>0</v>
      </c>
      <c r="AI10" s="879"/>
      <c r="AJ10" s="160">
        <f t="shared" ref="AJ10:AO10" si="10">AJ$4*AJ9</f>
        <v>0</v>
      </c>
      <c r="AK10" s="157">
        <f t="shared" si="10"/>
        <v>0</v>
      </c>
      <c r="AL10" s="157">
        <f t="shared" si="10"/>
        <v>0</v>
      </c>
      <c r="AM10" s="157">
        <f t="shared" si="10"/>
        <v>0</v>
      </c>
      <c r="AN10" s="157">
        <f t="shared" si="10"/>
        <v>0</v>
      </c>
      <c r="AO10" s="157">
        <f t="shared" si="10"/>
        <v>0</v>
      </c>
      <c r="AP10" s="158">
        <f>IFERROR(ROUND(SUM(AJ10:AO10)/AP9,3),0)</f>
        <v>0</v>
      </c>
      <c r="AQ10" s="879"/>
      <c r="AR10" s="159">
        <f t="shared" ref="AR10:AW10" si="11">AR$4*AR9</f>
        <v>0</v>
      </c>
      <c r="AS10" s="157">
        <f t="shared" si="11"/>
        <v>0</v>
      </c>
      <c r="AT10" s="157">
        <f t="shared" si="11"/>
        <v>0</v>
      </c>
      <c r="AU10" s="157">
        <f t="shared" si="11"/>
        <v>0</v>
      </c>
      <c r="AV10" s="157">
        <f t="shared" si="11"/>
        <v>0</v>
      </c>
      <c r="AW10" s="157">
        <f t="shared" si="11"/>
        <v>0</v>
      </c>
      <c r="AX10" s="157">
        <f>IFERROR(ROUND(SUM(AR10:AW10)/AX9,3),0)</f>
        <v>0</v>
      </c>
      <c r="AY10" s="879"/>
      <c r="BA10" s="880"/>
      <c r="BB10" s="138"/>
      <c r="BC10" s="161"/>
    </row>
    <row r="11" spans="1:55" ht="18.75" customHeight="1">
      <c r="B11" s="876" t="s">
        <v>143</v>
      </c>
      <c r="C11" s="151" t="s">
        <v>140</v>
      </c>
      <c r="D11" s="186"/>
      <c r="E11" s="186"/>
      <c r="F11" s="186"/>
      <c r="G11" s="186"/>
      <c r="H11" s="186"/>
      <c r="I11" s="186"/>
      <c r="J11" s="152">
        <f>SUM(D11:I11)</f>
        <v>0</v>
      </c>
      <c r="K11" s="878">
        <f>ROUND(J12/3*J11,2)</f>
        <v>0</v>
      </c>
      <c r="L11" s="186"/>
      <c r="M11" s="186"/>
      <c r="N11" s="186"/>
      <c r="O11" s="186"/>
      <c r="P11" s="186"/>
      <c r="Q11" s="186"/>
      <c r="R11" s="153">
        <f>SUM(L11:Q11)</f>
        <v>0</v>
      </c>
      <c r="S11" s="878">
        <f>ROUND(R12/5*R11,2)</f>
        <v>0</v>
      </c>
      <c r="T11" s="186"/>
      <c r="U11" s="186"/>
      <c r="V11" s="186"/>
      <c r="W11" s="186"/>
      <c r="X11" s="186"/>
      <c r="Y11" s="186"/>
      <c r="Z11" s="152">
        <f>SUM(T11:Y11)</f>
        <v>0</v>
      </c>
      <c r="AA11" s="878">
        <f>ROUND(Z12/6*Z11,2)</f>
        <v>0</v>
      </c>
      <c r="AB11" s="186"/>
      <c r="AC11" s="186"/>
      <c r="AD11" s="186"/>
      <c r="AE11" s="186"/>
      <c r="AF11" s="186"/>
      <c r="AG11" s="186"/>
      <c r="AH11" s="152">
        <f>SUM(AB11:AG11)</f>
        <v>0</v>
      </c>
      <c r="AI11" s="878">
        <f>ROUND(AH12/15*AH11,2)</f>
        <v>0</v>
      </c>
      <c r="AJ11" s="186"/>
      <c r="AK11" s="186"/>
      <c r="AL11" s="186"/>
      <c r="AM11" s="186"/>
      <c r="AN11" s="186"/>
      <c r="AO11" s="186"/>
      <c r="AP11" s="152">
        <f>SUM(AJ11:AO11)</f>
        <v>0</v>
      </c>
      <c r="AQ11" s="878">
        <f>ROUND(AP12/20*AP11,2)</f>
        <v>0</v>
      </c>
      <c r="AR11" s="186"/>
      <c r="AS11" s="186"/>
      <c r="AT11" s="186"/>
      <c r="AU11" s="186"/>
      <c r="AV11" s="186"/>
      <c r="AW11" s="186"/>
      <c r="AX11" s="154">
        <f>SUM(AR11:AW11)</f>
        <v>0</v>
      </c>
      <c r="AY11" s="878">
        <f>ROUND(AX12/25*AX11,2)</f>
        <v>0</v>
      </c>
      <c r="BA11" s="880">
        <f>ROUND(AY11+AQ11+AI11+AA11+S11+K11,1)</f>
        <v>0</v>
      </c>
      <c r="BB11" s="138" t="str">
        <f>IF(J11+R11=0,"×","○")</f>
        <v>×</v>
      </c>
      <c r="BC11" s="155">
        <f>SUM(J11,R11,Z11,AH11,AP11,AX11)</f>
        <v>0</v>
      </c>
    </row>
    <row r="12" spans="1:55" ht="18.75" customHeight="1">
      <c r="B12" s="877"/>
      <c r="C12" s="156" t="s">
        <v>141</v>
      </c>
      <c r="D12" s="157">
        <f t="shared" ref="D12:I12" si="12">D$4*D11</f>
        <v>0</v>
      </c>
      <c r="E12" s="157">
        <f t="shared" si="12"/>
        <v>0</v>
      </c>
      <c r="F12" s="157">
        <f t="shared" si="12"/>
        <v>0</v>
      </c>
      <c r="G12" s="157">
        <f t="shared" si="12"/>
        <v>0</v>
      </c>
      <c r="H12" s="157">
        <f t="shared" si="12"/>
        <v>0</v>
      </c>
      <c r="I12" s="157">
        <f t="shared" si="12"/>
        <v>0</v>
      </c>
      <c r="J12" s="158">
        <f>IFERROR(ROUND(SUM(D12:I12)/J11,3),0)</f>
        <v>0</v>
      </c>
      <c r="K12" s="879"/>
      <c r="L12" s="159">
        <f t="shared" ref="L12:Q12" si="13">L$4*L11</f>
        <v>0</v>
      </c>
      <c r="M12" s="157">
        <f t="shared" si="13"/>
        <v>0</v>
      </c>
      <c r="N12" s="157">
        <f t="shared" si="13"/>
        <v>0</v>
      </c>
      <c r="O12" s="157">
        <f t="shared" si="13"/>
        <v>0</v>
      </c>
      <c r="P12" s="157">
        <f t="shared" si="13"/>
        <v>0</v>
      </c>
      <c r="Q12" s="157">
        <f t="shared" si="13"/>
        <v>0</v>
      </c>
      <c r="R12" s="158">
        <f>IFERROR(ROUND(SUM(L12:Q12)/R11,3),0)</f>
        <v>0</v>
      </c>
      <c r="S12" s="879"/>
      <c r="T12" s="160">
        <f t="shared" ref="T12:Y12" si="14">T$4*T11</f>
        <v>0</v>
      </c>
      <c r="U12" s="157">
        <f t="shared" si="14"/>
        <v>0</v>
      </c>
      <c r="V12" s="157">
        <f t="shared" si="14"/>
        <v>0</v>
      </c>
      <c r="W12" s="157">
        <f t="shared" si="14"/>
        <v>0</v>
      </c>
      <c r="X12" s="157">
        <f t="shared" si="14"/>
        <v>0</v>
      </c>
      <c r="Y12" s="157">
        <f t="shared" si="14"/>
        <v>0</v>
      </c>
      <c r="Z12" s="158">
        <f>IFERROR(ROUND(SUM(T12:Y12)/Z11,3),0)</f>
        <v>0</v>
      </c>
      <c r="AA12" s="879"/>
      <c r="AB12" s="159">
        <f t="shared" ref="AB12:AG12" si="15">AB$4*AB11</f>
        <v>0</v>
      </c>
      <c r="AC12" s="157">
        <f t="shared" si="15"/>
        <v>0</v>
      </c>
      <c r="AD12" s="157">
        <f t="shared" si="15"/>
        <v>0</v>
      </c>
      <c r="AE12" s="157">
        <f t="shared" si="15"/>
        <v>0</v>
      </c>
      <c r="AF12" s="157">
        <f t="shared" si="15"/>
        <v>0</v>
      </c>
      <c r="AG12" s="157">
        <f t="shared" si="15"/>
        <v>0</v>
      </c>
      <c r="AH12" s="158">
        <f>IFERROR(ROUND(SUM(AB12:AG12)/AH11,3),0)</f>
        <v>0</v>
      </c>
      <c r="AI12" s="879"/>
      <c r="AJ12" s="160">
        <f t="shared" ref="AJ12:AO12" si="16">AJ$4*AJ11</f>
        <v>0</v>
      </c>
      <c r="AK12" s="157">
        <f t="shared" si="16"/>
        <v>0</v>
      </c>
      <c r="AL12" s="157">
        <f t="shared" si="16"/>
        <v>0</v>
      </c>
      <c r="AM12" s="157">
        <f t="shared" si="16"/>
        <v>0</v>
      </c>
      <c r="AN12" s="157">
        <f t="shared" si="16"/>
        <v>0</v>
      </c>
      <c r="AO12" s="157">
        <f t="shared" si="16"/>
        <v>0</v>
      </c>
      <c r="AP12" s="158">
        <f>IFERROR(ROUND(SUM(AJ12:AO12)/AP11,3),0)</f>
        <v>0</v>
      </c>
      <c r="AQ12" s="879"/>
      <c r="AR12" s="159">
        <f t="shared" ref="AR12:AW12" si="17">AR$4*AR11</f>
        <v>0</v>
      </c>
      <c r="AS12" s="157">
        <f t="shared" si="17"/>
        <v>0</v>
      </c>
      <c r="AT12" s="157">
        <f t="shared" si="17"/>
        <v>0</v>
      </c>
      <c r="AU12" s="157">
        <f t="shared" si="17"/>
        <v>0</v>
      </c>
      <c r="AV12" s="157">
        <f t="shared" si="17"/>
        <v>0</v>
      </c>
      <c r="AW12" s="157">
        <f t="shared" si="17"/>
        <v>0</v>
      </c>
      <c r="AX12" s="157">
        <f>IFERROR(ROUND(SUM(AR12:AW12)/AX11,3),0)</f>
        <v>0</v>
      </c>
      <c r="AY12" s="879"/>
      <c r="BA12" s="880"/>
      <c r="BB12" s="138"/>
      <c r="BC12" s="161"/>
    </row>
    <row r="13" spans="1:55" ht="18.75" customHeight="1">
      <c r="B13" s="876" t="s">
        <v>144</v>
      </c>
      <c r="C13" s="151" t="s">
        <v>140</v>
      </c>
      <c r="D13" s="186"/>
      <c r="E13" s="186"/>
      <c r="F13" s="186"/>
      <c r="G13" s="186"/>
      <c r="H13" s="186"/>
      <c r="I13" s="186"/>
      <c r="J13" s="153">
        <f>SUM(D13:I13)</f>
        <v>0</v>
      </c>
      <c r="K13" s="878">
        <f>ROUND(J14/3*J13,2)</f>
        <v>0</v>
      </c>
      <c r="L13" s="186"/>
      <c r="M13" s="186"/>
      <c r="N13" s="186"/>
      <c r="O13" s="186"/>
      <c r="P13" s="186"/>
      <c r="Q13" s="186"/>
      <c r="R13" s="153">
        <f>SUM(L13:Q13)</f>
        <v>0</v>
      </c>
      <c r="S13" s="878">
        <f>ROUND(R14/5*R13,2)</f>
        <v>0</v>
      </c>
      <c r="T13" s="186"/>
      <c r="U13" s="186"/>
      <c r="V13" s="186"/>
      <c r="W13" s="186"/>
      <c r="X13" s="186"/>
      <c r="Y13" s="186"/>
      <c r="Z13" s="152">
        <f>SUM(T13:Y13)</f>
        <v>0</v>
      </c>
      <c r="AA13" s="878">
        <f>ROUND(Z14/6*Z13,2)</f>
        <v>0</v>
      </c>
      <c r="AB13" s="186"/>
      <c r="AC13" s="186"/>
      <c r="AD13" s="186"/>
      <c r="AE13" s="186"/>
      <c r="AF13" s="186"/>
      <c r="AG13" s="186"/>
      <c r="AH13" s="152">
        <f>SUM(AB13:AG13)</f>
        <v>0</v>
      </c>
      <c r="AI13" s="878">
        <f>ROUND(AH14/15*AH13,2)</f>
        <v>0</v>
      </c>
      <c r="AJ13" s="186"/>
      <c r="AK13" s="186"/>
      <c r="AL13" s="186"/>
      <c r="AM13" s="186"/>
      <c r="AN13" s="186"/>
      <c r="AO13" s="186"/>
      <c r="AP13" s="152">
        <f>SUM(AJ13:AO13)</f>
        <v>0</v>
      </c>
      <c r="AQ13" s="878">
        <f>ROUND(AP14/20*AP13,2)</f>
        <v>0</v>
      </c>
      <c r="AR13" s="186"/>
      <c r="AS13" s="186"/>
      <c r="AT13" s="186"/>
      <c r="AU13" s="186"/>
      <c r="AV13" s="186"/>
      <c r="AW13" s="186"/>
      <c r="AX13" s="154">
        <f>SUM(AR13:AW13)</f>
        <v>0</v>
      </c>
      <c r="AY13" s="878">
        <f>ROUND(AX14/25*AX13,2)</f>
        <v>0</v>
      </c>
      <c r="BA13" s="880">
        <f>ROUND(AY13+AQ13+AI13+AA13+S13+K13,1)</f>
        <v>0</v>
      </c>
      <c r="BB13" s="138" t="str">
        <f>IF(J13+R13=0,"×","○")</f>
        <v>×</v>
      </c>
      <c r="BC13" s="155">
        <f>SUM(J13,R13,Z13,AH13,AP13,AX13)</f>
        <v>0</v>
      </c>
    </row>
    <row r="14" spans="1:55" ht="18.75" customHeight="1">
      <c r="B14" s="877"/>
      <c r="C14" s="162" t="s">
        <v>141</v>
      </c>
      <c r="D14" s="157">
        <f t="shared" ref="D14:I14" si="18">D$4*D13</f>
        <v>0</v>
      </c>
      <c r="E14" s="157">
        <f t="shared" si="18"/>
        <v>0</v>
      </c>
      <c r="F14" s="157">
        <f t="shared" si="18"/>
        <v>0</v>
      </c>
      <c r="G14" s="157">
        <f t="shared" si="18"/>
        <v>0</v>
      </c>
      <c r="H14" s="157">
        <f t="shared" si="18"/>
        <v>0</v>
      </c>
      <c r="I14" s="157">
        <f t="shared" si="18"/>
        <v>0</v>
      </c>
      <c r="J14" s="158">
        <f>IFERROR(ROUND(SUM(D14:I14)/J13,3),0)</f>
        <v>0</v>
      </c>
      <c r="K14" s="879"/>
      <c r="L14" s="159">
        <f t="shared" ref="L14:Q14" si="19">L$4*L13</f>
        <v>0</v>
      </c>
      <c r="M14" s="157">
        <f t="shared" si="19"/>
        <v>0</v>
      </c>
      <c r="N14" s="157">
        <f t="shared" si="19"/>
        <v>0</v>
      </c>
      <c r="O14" s="157">
        <f t="shared" si="19"/>
        <v>0</v>
      </c>
      <c r="P14" s="157">
        <f t="shared" si="19"/>
        <v>0</v>
      </c>
      <c r="Q14" s="157">
        <f t="shared" si="19"/>
        <v>0</v>
      </c>
      <c r="R14" s="158">
        <f>IFERROR(ROUND(SUM(L14:Q14)/R13,3),0)</f>
        <v>0</v>
      </c>
      <c r="S14" s="879"/>
      <c r="T14" s="160">
        <f t="shared" ref="T14:Y14" si="20">T$4*T13</f>
        <v>0</v>
      </c>
      <c r="U14" s="157">
        <f t="shared" si="20"/>
        <v>0</v>
      </c>
      <c r="V14" s="157">
        <f t="shared" si="20"/>
        <v>0</v>
      </c>
      <c r="W14" s="157">
        <f t="shared" si="20"/>
        <v>0</v>
      </c>
      <c r="X14" s="157">
        <f t="shared" si="20"/>
        <v>0</v>
      </c>
      <c r="Y14" s="157">
        <f t="shared" si="20"/>
        <v>0</v>
      </c>
      <c r="Z14" s="158">
        <f>IFERROR(ROUND(SUM(T14:Y14)/Z13,3),0)</f>
        <v>0</v>
      </c>
      <c r="AA14" s="879"/>
      <c r="AB14" s="159">
        <f t="shared" ref="AB14:AG14" si="21">AB$4*AB13</f>
        <v>0</v>
      </c>
      <c r="AC14" s="157">
        <f t="shared" si="21"/>
        <v>0</v>
      </c>
      <c r="AD14" s="157">
        <f t="shared" si="21"/>
        <v>0</v>
      </c>
      <c r="AE14" s="157">
        <f t="shared" si="21"/>
        <v>0</v>
      </c>
      <c r="AF14" s="157">
        <f t="shared" si="21"/>
        <v>0</v>
      </c>
      <c r="AG14" s="157">
        <f t="shared" si="21"/>
        <v>0</v>
      </c>
      <c r="AH14" s="158">
        <f>IFERROR(ROUND(SUM(AB14:AG14)/AH13,3),0)</f>
        <v>0</v>
      </c>
      <c r="AI14" s="879"/>
      <c r="AJ14" s="160">
        <f t="shared" ref="AJ14:AO14" si="22">AJ$4*AJ13</f>
        <v>0</v>
      </c>
      <c r="AK14" s="157">
        <f t="shared" si="22"/>
        <v>0</v>
      </c>
      <c r="AL14" s="157">
        <f t="shared" si="22"/>
        <v>0</v>
      </c>
      <c r="AM14" s="157">
        <f t="shared" si="22"/>
        <v>0</v>
      </c>
      <c r="AN14" s="157">
        <f t="shared" si="22"/>
        <v>0</v>
      </c>
      <c r="AO14" s="157">
        <f t="shared" si="22"/>
        <v>0</v>
      </c>
      <c r="AP14" s="158">
        <f>IFERROR(ROUND(SUM(AJ14:AO14)/AP13,3),0)</f>
        <v>0</v>
      </c>
      <c r="AQ14" s="879"/>
      <c r="AR14" s="159">
        <f t="shared" ref="AR14:AW14" si="23">AR$4*AR13</f>
        <v>0</v>
      </c>
      <c r="AS14" s="157">
        <f t="shared" si="23"/>
        <v>0</v>
      </c>
      <c r="AT14" s="157">
        <f t="shared" si="23"/>
        <v>0</v>
      </c>
      <c r="AU14" s="157">
        <f t="shared" si="23"/>
        <v>0</v>
      </c>
      <c r="AV14" s="157">
        <f t="shared" si="23"/>
        <v>0</v>
      </c>
      <c r="AW14" s="157">
        <f t="shared" si="23"/>
        <v>0</v>
      </c>
      <c r="AX14" s="157">
        <f>IFERROR(ROUND(SUM(AR14:AW14)/AX13,3),0)</f>
        <v>0</v>
      </c>
      <c r="AY14" s="879"/>
      <c r="BA14" s="880"/>
      <c r="BB14" s="138"/>
      <c r="BC14" s="161"/>
    </row>
    <row r="15" spans="1:55" ht="18.75" customHeight="1">
      <c r="B15" s="876" t="s">
        <v>145</v>
      </c>
      <c r="C15" s="151" t="s">
        <v>140</v>
      </c>
      <c r="D15" s="186"/>
      <c r="E15" s="186"/>
      <c r="F15" s="186"/>
      <c r="G15" s="186"/>
      <c r="H15" s="186"/>
      <c r="I15" s="186"/>
      <c r="J15" s="152">
        <f>SUM(D15:I15)</f>
        <v>0</v>
      </c>
      <c r="K15" s="878">
        <f>ROUND(J16/3*J15,2)</f>
        <v>0</v>
      </c>
      <c r="L15" s="186"/>
      <c r="M15" s="186"/>
      <c r="N15" s="186"/>
      <c r="O15" s="186"/>
      <c r="P15" s="186"/>
      <c r="Q15" s="186"/>
      <c r="R15" s="153">
        <f>SUM(L15:Q15)</f>
        <v>0</v>
      </c>
      <c r="S15" s="878">
        <f>ROUND(R16/5*R15,2)</f>
        <v>0</v>
      </c>
      <c r="T15" s="186"/>
      <c r="U15" s="186"/>
      <c r="V15" s="186"/>
      <c r="W15" s="186"/>
      <c r="X15" s="186"/>
      <c r="Y15" s="186"/>
      <c r="Z15" s="152">
        <f>SUM(T15:Y15)</f>
        <v>0</v>
      </c>
      <c r="AA15" s="878">
        <f>ROUND(Z16/6*Z15,2)</f>
        <v>0</v>
      </c>
      <c r="AB15" s="186"/>
      <c r="AC15" s="186"/>
      <c r="AD15" s="186"/>
      <c r="AE15" s="186"/>
      <c r="AF15" s="186"/>
      <c r="AG15" s="186"/>
      <c r="AH15" s="152">
        <f>SUM(AB15:AG15)</f>
        <v>0</v>
      </c>
      <c r="AI15" s="878">
        <f>ROUND(AH16/15*AH15,2)</f>
        <v>0</v>
      </c>
      <c r="AJ15" s="186"/>
      <c r="AK15" s="186"/>
      <c r="AL15" s="186"/>
      <c r="AM15" s="186"/>
      <c r="AN15" s="186"/>
      <c r="AO15" s="186"/>
      <c r="AP15" s="152">
        <f>SUM(AJ15:AO15)</f>
        <v>0</v>
      </c>
      <c r="AQ15" s="878">
        <f>ROUND(AP16/20*AP15,2)</f>
        <v>0</v>
      </c>
      <c r="AR15" s="186"/>
      <c r="AS15" s="186"/>
      <c r="AT15" s="186"/>
      <c r="AU15" s="186"/>
      <c r="AV15" s="186"/>
      <c r="AW15" s="186"/>
      <c r="AX15" s="154">
        <f>SUM(AR15:AW15)</f>
        <v>0</v>
      </c>
      <c r="AY15" s="878">
        <f>ROUND(AX16/25*AX15,2)</f>
        <v>0</v>
      </c>
      <c r="BA15" s="880">
        <f>ROUND(AY15+AQ15+AI15+AA15+S15+K15,1)</f>
        <v>0</v>
      </c>
      <c r="BB15" s="138" t="str">
        <f>IF(J15+R15=0,"×","○")</f>
        <v>×</v>
      </c>
      <c r="BC15" s="155">
        <f>SUM(J15,R15,Z15,AH15,AP15,AX15)</f>
        <v>0</v>
      </c>
    </row>
    <row r="16" spans="1:55" ht="18.75" customHeight="1">
      <c r="B16" s="877"/>
      <c r="C16" s="156" t="s">
        <v>141</v>
      </c>
      <c r="D16" s="157">
        <f t="shared" ref="D16:I16" si="24">D$4*D15</f>
        <v>0</v>
      </c>
      <c r="E16" s="157">
        <f t="shared" si="24"/>
        <v>0</v>
      </c>
      <c r="F16" s="157">
        <f t="shared" si="24"/>
        <v>0</v>
      </c>
      <c r="G16" s="157">
        <f t="shared" si="24"/>
        <v>0</v>
      </c>
      <c r="H16" s="157">
        <f t="shared" si="24"/>
        <v>0</v>
      </c>
      <c r="I16" s="157">
        <f t="shared" si="24"/>
        <v>0</v>
      </c>
      <c r="J16" s="158">
        <f>IFERROR(ROUND(SUM(D16:I16)/J15,3),0)</f>
        <v>0</v>
      </c>
      <c r="K16" s="879"/>
      <c r="L16" s="159">
        <f t="shared" ref="L16:Q16" si="25">L$4*L15</f>
        <v>0</v>
      </c>
      <c r="M16" s="157">
        <f t="shared" si="25"/>
        <v>0</v>
      </c>
      <c r="N16" s="157">
        <f t="shared" si="25"/>
        <v>0</v>
      </c>
      <c r="O16" s="157">
        <f t="shared" si="25"/>
        <v>0</v>
      </c>
      <c r="P16" s="157">
        <f t="shared" si="25"/>
        <v>0</v>
      </c>
      <c r="Q16" s="157">
        <f t="shared" si="25"/>
        <v>0</v>
      </c>
      <c r="R16" s="158">
        <f>IFERROR(ROUND(SUM(L16:Q16)/R15,3),0)</f>
        <v>0</v>
      </c>
      <c r="S16" s="879"/>
      <c r="T16" s="160">
        <f t="shared" ref="T16:Y16" si="26">T$4*T15</f>
        <v>0</v>
      </c>
      <c r="U16" s="157">
        <f t="shared" si="26"/>
        <v>0</v>
      </c>
      <c r="V16" s="157">
        <f t="shared" si="26"/>
        <v>0</v>
      </c>
      <c r="W16" s="157">
        <f t="shared" si="26"/>
        <v>0</v>
      </c>
      <c r="X16" s="157">
        <f t="shared" si="26"/>
        <v>0</v>
      </c>
      <c r="Y16" s="157">
        <f t="shared" si="26"/>
        <v>0</v>
      </c>
      <c r="Z16" s="158">
        <f>IFERROR(ROUND(SUM(T16:Y16)/Z15,3),0)</f>
        <v>0</v>
      </c>
      <c r="AA16" s="879"/>
      <c r="AB16" s="159">
        <f t="shared" ref="AB16:AG16" si="27">AB$4*AB15</f>
        <v>0</v>
      </c>
      <c r="AC16" s="157">
        <f t="shared" si="27"/>
        <v>0</v>
      </c>
      <c r="AD16" s="157">
        <f t="shared" si="27"/>
        <v>0</v>
      </c>
      <c r="AE16" s="157">
        <f t="shared" si="27"/>
        <v>0</v>
      </c>
      <c r="AF16" s="157">
        <f t="shared" si="27"/>
        <v>0</v>
      </c>
      <c r="AG16" s="157">
        <f t="shared" si="27"/>
        <v>0</v>
      </c>
      <c r="AH16" s="158">
        <f>IFERROR(ROUND(SUM(AB16:AG16)/AH15,3),0)</f>
        <v>0</v>
      </c>
      <c r="AI16" s="879"/>
      <c r="AJ16" s="160">
        <f t="shared" ref="AJ16:AO16" si="28">AJ$4*AJ15</f>
        <v>0</v>
      </c>
      <c r="AK16" s="157">
        <f t="shared" si="28"/>
        <v>0</v>
      </c>
      <c r="AL16" s="157">
        <f t="shared" si="28"/>
        <v>0</v>
      </c>
      <c r="AM16" s="157">
        <f t="shared" si="28"/>
        <v>0</v>
      </c>
      <c r="AN16" s="157">
        <f t="shared" si="28"/>
        <v>0</v>
      </c>
      <c r="AO16" s="157">
        <f t="shared" si="28"/>
        <v>0</v>
      </c>
      <c r="AP16" s="158">
        <f>IFERROR(ROUND(SUM(AJ16:AO16)/AP15,3),0)</f>
        <v>0</v>
      </c>
      <c r="AQ16" s="879"/>
      <c r="AR16" s="159">
        <f t="shared" ref="AR16:AW16" si="29">AR$4*AR15</f>
        <v>0</v>
      </c>
      <c r="AS16" s="157">
        <f t="shared" si="29"/>
        <v>0</v>
      </c>
      <c r="AT16" s="157">
        <f t="shared" si="29"/>
        <v>0</v>
      </c>
      <c r="AU16" s="157">
        <f t="shared" si="29"/>
        <v>0</v>
      </c>
      <c r="AV16" s="157">
        <f t="shared" si="29"/>
        <v>0</v>
      </c>
      <c r="AW16" s="157">
        <f t="shared" si="29"/>
        <v>0</v>
      </c>
      <c r="AX16" s="157">
        <f>IFERROR(ROUND(SUM(AR16:AW16)/AX15,3),0)</f>
        <v>0</v>
      </c>
      <c r="AY16" s="879"/>
      <c r="BA16" s="880"/>
      <c r="BB16" s="138"/>
      <c r="BC16" s="161"/>
    </row>
    <row r="17" spans="2:55" ht="18.75" customHeight="1">
      <c r="B17" s="876" t="s">
        <v>146</v>
      </c>
      <c r="C17" s="151" t="s">
        <v>140</v>
      </c>
      <c r="D17" s="186"/>
      <c r="E17" s="186"/>
      <c r="F17" s="186"/>
      <c r="G17" s="186"/>
      <c r="H17" s="186"/>
      <c r="I17" s="186"/>
      <c r="J17" s="153">
        <f>SUM(D17:I17)</f>
        <v>0</v>
      </c>
      <c r="K17" s="878">
        <f>ROUND(J18/3*J17,2)</f>
        <v>0</v>
      </c>
      <c r="L17" s="186"/>
      <c r="M17" s="186"/>
      <c r="N17" s="186"/>
      <c r="O17" s="186"/>
      <c r="P17" s="186"/>
      <c r="Q17" s="186"/>
      <c r="R17" s="153">
        <f>SUM(L17:Q17)</f>
        <v>0</v>
      </c>
      <c r="S17" s="878">
        <f>ROUND(R18/5*R17,2)</f>
        <v>0</v>
      </c>
      <c r="T17" s="186"/>
      <c r="U17" s="186"/>
      <c r="V17" s="186"/>
      <c r="W17" s="186"/>
      <c r="X17" s="186"/>
      <c r="Y17" s="186"/>
      <c r="Z17" s="152">
        <f>SUM(T17:Y17)</f>
        <v>0</v>
      </c>
      <c r="AA17" s="878">
        <f>ROUND(Z18/6*Z17,2)</f>
        <v>0</v>
      </c>
      <c r="AB17" s="186"/>
      <c r="AC17" s="186"/>
      <c r="AD17" s="186"/>
      <c r="AE17" s="186"/>
      <c r="AF17" s="186"/>
      <c r="AG17" s="186"/>
      <c r="AH17" s="152">
        <f>SUM(AB17:AG17)</f>
        <v>0</v>
      </c>
      <c r="AI17" s="878">
        <f>ROUND(AH18/15*AH17,2)</f>
        <v>0</v>
      </c>
      <c r="AJ17" s="186"/>
      <c r="AK17" s="186"/>
      <c r="AL17" s="186"/>
      <c r="AM17" s="186"/>
      <c r="AN17" s="186"/>
      <c r="AO17" s="186"/>
      <c r="AP17" s="152">
        <f>SUM(AJ17:AO17)</f>
        <v>0</v>
      </c>
      <c r="AQ17" s="878">
        <f>ROUND(AP18/20*AP17,2)</f>
        <v>0</v>
      </c>
      <c r="AR17" s="186"/>
      <c r="AS17" s="186"/>
      <c r="AT17" s="186"/>
      <c r="AU17" s="186"/>
      <c r="AV17" s="186"/>
      <c r="AW17" s="186"/>
      <c r="AX17" s="154">
        <f>SUM(AR17:AW17)</f>
        <v>0</v>
      </c>
      <c r="AY17" s="878">
        <f>ROUND(AX18/25*AX17,2)</f>
        <v>0</v>
      </c>
      <c r="BA17" s="880">
        <f>ROUND(AY17+AQ17+AI17+AA17+S17+K17,1)</f>
        <v>0</v>
      </c>
      <c r="BB17" s="138" t="str">
        <f>IF(J17+R17=0,"×","○")</f>
        <v>×</v>
      </c>
      <c r="BC17" s="155">
        <f>SUM(J17,R17,Z17,AH17,AP17,AX17)</f>
        <v>0</v>
      </c>
    </row>
    <row r="18" spans="2:55" ht="18.75" customHeight="1">
      <c r="B18" s="877"/>
      <c r="C18" s="162" t="s">
        <v>141</v>
      </c>
      <c r="D18" s="157">
        <f t="shared" ref="D18:I18" si="30">D$4*D17</f>
        <v>0</v>
      </c>
      <c r="E18" s="157">
        <f t="shared" si="30"/>
        <v>0</v>
      </c>
      <c r="F18" s="157">
        <f t="shared" si="30"/>
        <v>0</v>
      </c>
      <c r="G18" s="157">
        <f t="shared" si="30"/>
        <v>0</v>
      </c>
      <c r="H18" s="157">
        <f t="shared" si="30"/>
        <v>0</v>
      </c>
      <c r="I18" s="157">
        <f t="shared" si="30"/>
        <v>0</v>
      </c>
      <c r="J18" s="158">
        <f>IFERROR(ROUND(SUM(D18:I18)/J17,3),0)</f>
        <v>0</v>
      </c>
      <c r="K18" s="879"/>
      <c r="L18" s="159">
        <f t="shared" ref="L18:Q18" si="31">L$4*L17</f>
        <v>0</v>
      </c>
      <c r="M18" s="157">
        <f t="shared" si="31"/>
        <v>0</v>
      </c>
      <c r="N18" s="157">
        <f t="shared" si="31"/>
        <v>0</v>
      </c>
      <c r="O18" s="157">
        <f t="shared" si="31"/>
        <v>0</v>
      </c>
      <c r="P18" s="157">
        <f t="shared" si="31"/>
        <v>0</v>
      </c>
      <c r="Q18" s="157">
        <f t="shared" si="31"/>
        <v>0</v>
      </c>
      <c r="R18" s="158">
        <f>IFERROR(ROUND(SUM(L18:Q18)/R17,3),0)</f>
        <v>0</v>
      </c>
      <c r="S18" s="879"/>
      <c r="T18" s="160">
        <f t="shared" ref="T18:Y18" si="32">T$4*T17</f>
        <v>0</v>
      </c>
      <c r="U18" s="157">
        <f t="shared" si="32"/>
        <v>0</v>
      </c>
      <c r="V18" s="157">
        <f t="shared" si="32"/>
        <v>0</v>
      </c>
      <c r="W18" s="157">
        <f t="shared" si="32"/>
        <v>0</v>
      </c>
      <c r="X18" s="157">
        <f t="shared" si="32"/>
        <v>0</v>
      </c>
      <c r="Y18" s="157">
        <f t="shared" si="32"/>
        <v>0</v>
      </c>
      <c r="Z18" s="158">
        <f>IFERROR(ROUND(SUM(T18:Y18)/Z17,3),0)</f>
        <v>0</v>
      </c>
      <c r="AA18" s="879"/>
      <c r="AB18" s="159">
        <f t="shared" ref="AB18:AG18" si="33">AB$4*AB17</f>
        <v>0</v>
      </c>
      <c r="AC18" s="157">
        <f t="shared" si="33"/>
        <v>0</v>
      </c>
      <c r="AD18" s="157">
        <f t="shared" si="33"/>
        <v>0</v>
      </c>
      <c r="AE18" s="157">
        <f t="shared" si="33"/>
        <v>0</v>
      </c>
      <c r="AF18" s="157">
        <f t="shared" si="33"/>
        <v>0</v>
      </c>
      <c r="AG18" s="157">
        <f t="shared" si="33"/>
        <v>0</v>
      </c>
      <c r="AH18" s="158">
        <f>IFERROR(ROUND(SUM(AB18:AG18)/AH17,3),0)</f>
        <v>0</v>
      </c>
      <c r="AI18" s="879"/>
      <c r="AJ18" s="160">
        <f t="shared" ref="AJ18:AO18" si="34">AJ$4*AJ17</f>
        <v>0</v>
      </c>
      <c r="AK18" s="157">
        <f t="shared" si="34"/>
        <v>0</v>
      </c>
      <c r="AL18" s="157">
        <f t="shared" si="34"/>
        <v>0</v>
      </c>
      <c r="AM18" s="157">
        <f t="shared" si="34"/>
        <v>0</v>
      </c>
      <c r="AN18" s="157">
        <f t="shared" si="34"/>
        <v>0</v>
      </c>
      <c r="AO18" s="157">
        <f t="shared" si="34"/>
        <v>0</v>
      </c>
      <c r="AP18" s="158">
        <f>IFERROR(ROUND(SUM(AJ18:AO18)/AP17,3),0)</f>
        <v>0</v>
      </c>
      <c r="AQ18" s="879"/>
      <c r="AR18" s="159">
        <f t="shared" ref="AR18:AW18" si="35">AR$4*AR17</f>
        <v>0</v>
      </c>
      <c r="AS18" s="157">
        <f t="shared" si="35"/>
        <v>0</v>
      </c>
      <c r="AT18" s="157">
        <f t="shared" si="35"/>
        <v>0</v>
      </c>
      <c r="AU18" s="157">
        <f t="shared" si="35"/>
        <v>0</v>
      </c>
      <c r="AV18" s="157">
        <f t="shared" si="35"/>
        <v>0</v>
      </c>
      <c r="AW18" s="157">
        <f t="shared" si="35"/>
        <v>0</v>
      </c>
      <c r="AX18" s="157">
        <f>IFERROR(ROUND(SUM(AR18:AW18)/AX17,3),0)</f>
        <v>0</v>
      </c>
      <c r="AY18" s="879"/>
      <c r="BA18" s="880"/>
      <c r="BB18" s="138"/>
      <c r="BC18" s="161"/>
    </row>
    <row r="19" spans="2:55" ht="18.75" customHeight="1">
      <c r="B19" s="876" t="s">
        <v>147</v>
      </c>
      <c r="C19" s="151" t="s">
        <v>140</v>
      </c>
      <c r="D19" s="186"/>
      <c r="E19" s="186"/>
      <c r="F19" s="186"/>
      <c r="G19" s="186"/>
      <c r="H19" s="186"/>
      <c r="I19" s="186"/>
      <c r="J19" s="153">
        <f>SUM(D19:I19)</f>
        <v>0</v>
      </c>
      <c r="K19" s="878">
        <f>ROUND(J20/3*J19,2)</f>
        <v>0</v>
      </c>
      <c r="L19" s="186"/>
      <c r="M19" s="186"/>
      <c r="N19" s="186"/>
      <c r="O19" s="186"/>
      <c r="P19" s="186"/>
      <c r="Q19" s="186"/>
      <c r="R19" s="153">
        <f>SUM(L19:Q19)</f>
        <v>0</v>
      </c>
      <c r="S19" s="878">
        <f>ROUND(R20/5*R19,2)</f>
        <v>0</v>
      </c>
      <c r="T19" s="186"/>
      <c r="U19" s="186"/>
      <c r="V19" s="186"/>
      <c r="W19" s="186"/>
      <c r="X19" s="186"/>
      <c r="Y19" s="186"/>
      <c r="Z19" s="152">
        <f>SUM(T19:Y19)</f>
        <v>0</v>
      </c>
      <c r="AA19" s="878">
        <f>ROUND(Z20/6*Z19,2)</f>
        <v>0</v>
      </c>
      <c r="AB19" s="186"/>
      <c r="AC19" s="186"/>
      <c r="AD19" s="186"/>
      <c r="AE19" s="186"/>
      <c r="AF19" s="186"/>
      <c r="AG19" s="186"/>
      <c r="AH19" s="152">
        <f>SUM(AB19:AG19)</f>
        <v>0</v>
      </c>
      <c r="AI19" s="878">
        <f>ROUND(AH20/15*AH19,2)</f>
        <v>0</v>
      </c>
      <c r="AJ19" s="186"/>
      <c r="AK19" s="186"/>
      <c r="AL19" s="186"/>
      <c r="AM19" s="186"/>
      <c r="AN19" s="186"/>
      <c r="AO19" s="186"/>
      <c r="AP19" s="152">
        <f>SUM(AJ19:AO19)</f>
        <v>0</v>
      </c>
      <c r="AQ19" s="878">
        <f>ROUND(AP20/20*AP19,2)</f>
        <v>0</v>
      </c>
      <c r="AR19" s="186"/>
      <c r="AS19" s="186"/>
      <c r="AT19" s="186"/>
      <c r="AU19" s="186"/>
      <c r="AV19" s="186"/>
      <c r="AW19" s="186"/>
      <c r="AX19" s="154">
        <f>SUM(AR19:AW19)</f>
        <v>0</v>
      </c>
      <c r="AY19" s="878">
        <f>ROUND(AX20/25*AX19,2)</f>
        <v>0</v>
      </c>
      <c r="BA19" s="880">
        <f>ROUND(AY19+AQ19+AI19+AA19+S19+K19,1)</f>
        <v>0</v>
      </c>
      <c r="BB19" s="138" t="str">
        <f>IF(J19+R19=0,"×","○")</f>
        <v>×</v>
      </c>
      <c r="BC19" s="155">
        <f>SUM(J19,R19,Z19,AH19,AP19,AX19)</f>
        <v>0</v>
      </c>
    </row>
    <row r="20" spans="2:55" ht="18.75" customHeight="1">
      <c r="B20" s="877"/>
      <c r="C20" s="156" t="s">
        <v>141</v>
      </c>
      <c r="D20" s="157">
        <f t="shared" ref="D20:I20" si="36">D$4*D19</f>
        <v>0</v>
      </c>
      <c r="E20" s="157">
        <f t="shared" si="36"/>
        <v>0</v>
      </c>
      <c r="F20" s="157">
        <f t="shared" si="36"/>
        <v>0</v>
      </c>
      <c r="G20" s="157">
        <f t="shared" si="36"/>
        <v>0</v>
      </c>
      <c r="H20" s="157">
        <f t="shared" si="36"/>
        <v>0</v>
      </c>
      <c r="I20" s="157">
        <f t="shared" si="36"/>
        <v>0</v>
      </c>
      <c r="J20" s="158">
        <f>IFERROR(ROUND(SUM(D20:I20)/J19,3),0)</f>
        <v>0</v>
      </c>
      <c r="K20" s="879"/>
      <c r="L20" s="159">
        <f t="shared" ref="L20:Q20" si="37">L$4*L19</f>
        <v>0</v>
      </c>
      <c r="M20" s="157">
        <f t="shared" si="37"/>
        <v>0</v>
      </c>
      <c r="N20" s="157">
        <f t="shared" si="37"/>
        <v>0</v>
      </c>
      <c r="O20" s="157">
        <f t="shared" si="37"/>
        <v>0</v>
      </c>
      <c r="P20" s="157">
        <f t="shared" si="37"/>
        <v>0</v>
      </c>
      <c r="Q20" s="157">
        <f t="shared" si="37"/>
        <v>0</v>
      </c>
      <c r="R20" s="158">
        <f>IFERROR(ROUND(SUM(L20:Q20)/R19,3),0)</f>
        <v>0</v>
      </c>
      <c r="S20" s="879"/>
      <c r="T20" s="160">
        <f t="shared" ref="T20:Y20" si="38">T$4*T19</f>
        <v>0</v>
      </c>
      <c r="U20" s="157">
        <f t="shared" si="38"/>
        <v>0</v>
      </c>
      <c r="V20" s="157">
        <f t="shared" si="38"/>
        <v>0</v>
      </c>
      <c r="W20" s="157">
        <f t="shared" si="38"/>
        <v>0</v>
      </c>
      <c r="X20" s="157">
        <f t="shared" si="38"/>
        <v>0</v>
      </c>
      <c r="Y20" s="157">
        <f t="shared" si="38"/>
        <v>0</v>
      </c>
      <c r="Z20" s="158">
        <f>IFERROR(ROUND(SUM(T20:Y20)/Z19,3),0)</f>
        <v>0</v>
      </c>
      <c r="AA20" s="879"/>
      <c r="AB20" s="159">
        <f t="shared" ref="AB20:AG20" si="39">AB$4*AB19</f>
        <v>0</v>
      </c>
      <c r="AC20" s="157">
        <f t="shared" si="39"/>
        <v>0</v>
      </c>
      <c r="AD20" s="157">
        <f t="shared" si="39"/>
        <v>0</v>
      </c>
      <c r="AE20" s="157">
        <f t="shared" si="39"/>
        <v>0</v>
      </c>
      <c r="AF20" s="157">
        <f t="shared" si="39"/>
        <v>0</v>
      </c>
      <c r="AG20" s="157">
        <f t="shared" si="39"/>
        <v>0</v>
      </c>
      <c r="AH20" s="158">
        <f>IFERROR(ROUND(SUM(AB20:AG20)/AH19,3),0)</f>
        <v>0</v>
      </c>
      <c r="AI20" s="879"/>
      <c r="AJ20" s="160">
        <f t="shared" ref="AJ20:AO20" si="40">AJ$4*AJ19</f>
        <v>0</v>
      </c>
      <c r="AK20" s="157">
        <f t="shared" si="40"/>
        <v>0</v>
      </c>
      <c r="AL20" s="157">
        <f t="shared" si="40"/>
        <v>0</v>
      </c>
      <c r="AM20" s="157">
        <f t="shared" si="40"/>
        <v>0</v>
      </c>
      <c r="AN20" s="157">
        <f t="shared" si="40"/>
        <v>0</v>
      </c>
      <c r="AO20" s="157">
        <f t="shared" si="40"/>
        <v>0</v>
      </c>
      <c r="AP20" s="158">
        <f>IFERROR(ROUND(SUM(AJ20:AO20)/AP19,3),0)</f>
        <v>0</v>
      </c>
      <c r="AQ20" s="879"/>
      <c r="AR20" s="159">
        <f t="shared" ref="AR20:AW20" si="41">AR$4*AR19</f>
        <v>0</v>
      </c>
      <c r="AS20" s="157">
        <f t="shared" si="41"/>
        <v>0</v>
      </c>
      <c r="AT20" s="157">
        <f t="shared" si="41"/>
        <v>0</v>
      </c>
      <c r="AU20" s="157">
        <f t="shared" si="41"/>
        <v>0</v>
      </c>
      <c r="AV20" s="157">
        <f t="shared" si="41"/>
        <v>0</v>
      </c>
      <c r="AW20" s="157">
        <f t="shared" si="41"/>
        <v>0</v>
      </c>
      <c r="AX20" s="157">
        <f>IFERROR(ROUND(SUM(AR20:AW20)/AX19,3),0)</f>
        <v>0</v>
      </c>
      <c r="AY20" s="879"/>
      <c r="BA20" s="880"/>
      <c r="BB20" s="138"/>
      <c r="BC20" s="161"/>
    </row>
    <row r="21" spans="2:55" ht="18.75" customHeight="1">
      <c r="B21" s="876" t="s">
        <v>148</v>
      </c>
      <c r="C21" s="151" t="s">
        <v>140</v>
      </c>
      <c r="D21" s="186"/>
      <c r="E21" s="186"/>
      <c r="F21" s="186"/>
      <c r="G21" s="186"/>
      <c r="H21" s="186"/>
      <c r="I21" s="186"/>
      <c r="J21" s="153">
        <f>SUM(D21:I21)</f>
        <v>0</v>
      </c>
      <c r="K21" s="878">
        <f>ROUND(J22/3*J21,2)</f>
        <v>0</v>
      </c>
      <c r="L21" s="186"/>
      <c r="M21" s="186"/>
      <c r="N21" s="186"/>
      <c r="O21" s="186"/>
      <c r="P21" s="186"/>
      <c r="Q21" s="186"/>
      <c r="R21" s="153">
        <f>SUM(L21:Q21)</f>
        <v>0</v>
      </c>
      <c r="S21" s="878">
        <f>ROUND(R22/5*R21,2)</f>
        <v>0</v>
      </c>
      <c r="T21" s="186"/>
      <c r="U21" s="186"/>
      <c r="V21" s="186"/>
      <c r="W21" s="186"/>
      <c r="X21" s="186"/>
      <c r="Y21" s="186"/>
      <c r="Z21" s="152">
        <f>SUM(T21:Y21)</f>
        <v>0</v>
      </c>
      <c r="AA21" s="878">
        <f>ROUND(Z22/6*Z21,2)</f>
        <v>0</v>
      </c>
      <c r="AB21" s="186"/>
      <c r="AC21" s="186"/>
      <c r="AD21" s="186"/>
      <c r="AE21" s="186"/>
      <c r="AF21" s="186"/>
      <c r="AG21" s="186"/>
      <c r="AH21" s="152">
        <f>SUM(AB21:AG21)</f>
        <v>0</v>
      </c>
      <c r="AI21" s="878">
        <f>ROUND(AH22/15*AH21,2)</f>
        <v>0</v>
      </c>
      <c r="AJ21" s="186"/>
      <c r="AK21" s="186"/>
      <c r="AL21" s="186"/>
      <c r="AM21" s="186"/>
      <c r="AN21" s="186"/>
      <c r="AO21" s="186"/>
      <c r="AP21" s="152">
        <f>SUM(AJ21:AO21)</f>
        <v>0</v>
      </c>
      <c r="AQ21" s="878">
        <f>ROUND(AP22/20*AP21,2)</f>
        <v>0</v>
      </c>
      <c r="AR21" s="186"/>
      <c r="AS21" s="186"/>
      <c r="AT21" s="186"/>
      <c r="AU21" s="186"/>
      <c r="AV21" s="186"/>
      <c r="AW21" s="186"/>
      <c r="AX21" s="154">
        <f>SUM(AR21:AW21)</f>
        <v>0</v>
      </c>
      <c r="AY21" s="878">
        <f>ROUND(AX22/25*AX21,2)</f>
        <v>0</v>
      </c>
      <c r="BA21" s="880">
        <f>ROUND(AY21+AQ21+AI21+AA21+S21+K21,1)</f>
        <v>0</v>
      </c>
      <c r="BB21" s="138" t="str">
        <f>IF(J21+R21=0,"×","○")</f>
        <v>×</v>
      </c>
      <c r="BC21" s="155">
        <f>SUM(J21,R21,Z21,AH21,AP21,AX21)</f>
        <v>0</v>
      </c>
    </row>
    <row r="22" spans="2:55" ht="18.75" customHeight="1">
      <c r="B22" s="877"/>
      <c r="C22" s="162" t="s">
        <v>141</v>
      </c>
      <c r="D22" s="157">
        <f t="shared" ref="D22:I22" si="42">D$4*D21</f>
        <v>0</v>
      </c>
      <c r="E22" s="157">
        <f t="shared" si="42"/>
        <v>0</v>
      </c>
      <c r="F22" s="157">
        <f t="shared" si="42"/>
        <v>0</v>
      </c>
      <c r="G22" s="157">
        <f t="shared" si="42"/>
        <v>0</v>
      </c>
      <c r="H22" s="157">
        <f t="shared" si="42"/>
        <v>0</v>
      </c>
      <c r="I22" s="157">
        <f t="shared" si="42"/>
        <v>0</v>
      </c>
      <c r="J22" s="158">
        <f>IFERROR(ROUND(SUM(D22:I22)/J21,3),0)</f>
        <v>0</v>
      </c>
      <c r="K22" s="879"/>
      <c r="L22" s="159">
        <f t="shared" ref="L22:Q22" si="43">L$4*L21</f>
        <v>0</v>
      </c>
      <c r="M22" s="157">
        <f t="shared" si="43"/>
        <v>0</v>
      </c>
      <c r="N22" s="157">
        <f t="shared" si="43"/>
        <v>0</v>
      </c>
      <c r="O22" s="157">
        <f t="shared" si="43"/>
        <v>0</v>
      </c>
      <c r="P22" s="157">
        <f t="shared" si="43"/>
        <v>0</v>
      </c>
      <c r="Q22" s="157">
        <f t="shared" si="43"/>
        <v>0</v>
      </c>
      <c r="R22" s="158">
        <f>IFERROR(ROUND(SUM(L22:Q22)/R21,3),0)</f>
        <v>0</v>
      </c>
      <c r="S22" s="879"/>
      <c r="T22" s="160">
        <f t="shared" ref="T22:Y22" si="44">T$4*T21</f>
        <v>0</v>
      </c>
      <c r="U22" s="157">
        <f t="shared" si="44"/>
        <v>0</v>
      </c>
      <c r="V22" s="157">
        <f t="shared" si="44"/>
        <v>0</v>
      </c>
      <c r="W22" s="157">
        <f t="shared" si="44"/>
        <v>0</v>
      </c>
      <c r="X22" s="157">
        <f t="shared" si="44"/>
        <v>0</v>
      </c>
      <c r="Y22" s="157">
        <f t="shared" si="44"/>
        <v>0</v>
      </c>
      <c r="Z22" s="158">
        <f>IFERROR(ROUND(SUM(T22:Y22)/Z21,3),0)</f>
        <v>0</v>
      </c>
      <c r="AA22" s="879"/>
      <c r="AB22" s="159">
        <f t="shared" ref="AB22:AG22" si="45">AB$4*AB21</f>
        <v>0</v>
      </c>
      <c r="AC22" s="157">
        <f t="shared" si="45"/>
        <v>0</v>
      </c>
      <c r="AD22" s="157">
        <f t="shared" si="45"/>
        <v>0</v>
      </c>
      <c r="AE22" s="157">
        <f t="shared" si="45"/>
        <v>0</v>
      </c>
      <c r="AF22" s="157">
        <f t="shared" si="45"/>
        <v>0</v>
      </c>
      <c r="AG22" s="157">
        <f t="shared" si="45"/>
        <v>0</v>
      </c>
      <c r="AH22" s="158">
        <f>IFERROR(ROUND(SUM(AB22:AG22)/AH21,3),0)</f>
        <v>0</v>
      </c>
      <c r="AI22" s="879"/>
      <c r="AJ22" s="160">
        <f t="shared" ref="AJ22:AO22" si="46">AJ$4*AJ21</f>
        <v>0</v>
      </c>
      <c r="AK22" s="157">
        <f t="shared" si="46"/>
        <v>0</v>
      </c>
      <c r="AL22" s="157">
        <f t="shared" si="46"/>
        <v>0</v>
      </c>
      <c r="AM22" s="157">
        <f t="shared" si="46"/>
        <v>0</v>
      </c>
      <c r="AN22" s="157">
        <f t="shared" si="46"/>
        <v>0</v>
      </c>
      <c r="AO22" s="157">
        <f t="shared" si="46"/>
        <v>0</v>
      </c>
      <c r="AP22" s="158">
        <f>IFERROR(ROUND(SUM(AJ22:AO22)/AP21,3),0)</f>
        <v>0</v>
      </c>
      <c r="AQ22" s="879"/>
      <c r="AR22" s="159">
        <f t="shared" ref="AR22:AW22" si="47">AR$4*AR21</f>
        <v>0</v>
      </c>
      <c r="AS22" s="157">
        <f t="shared" si="47"/>
        <v>0</v>
      </c>
      <c r="AT22" s="157">
        <f t="shared" si="47"/>
        <v>0</v>
      </c>
      <c r="AU22" s="157">
        <f t="shared" si="47"/>
        <v>0</v>
      </c>
      <c r="AV22" s="157">
        <f t="shared" si="47"/>
        <v>0</v>
      </c>
      <c r="AW22" s="157">
        <f t="shared" si="47"/>
        <v>0</v>
      </c>
      <c r="AX22" s="157">
        <f>IFERROR(ROUND(SUM(AR22:AW22)/AX21,3),0)</f>
        <v>0</v>
      </c>
      <c r="AY22" s="879"/>
      <c r="BA22" s="880"/>
      <c r="BB22" s="138"/>
      <c r="BC22" s="161"/>
    </row>
    <row r="23" spans="2:55" ht="18.75" customHeight="1">
      <c r="B23" s="876" t="s">
        <v>149</v>
      </c>
      <c r="C23" s="151" t="s">
        <v>140</v>
      </c>
      <c r="D23" s="186"/>
      <c r="E23" s="186"/>
      <c r="F23" s="186"/>
      <c r="G23" s="186"/>
      <c r="H23" s="186"/>
      <c r="I23" s="186"/>
      <c r="J23" s="153">
        <f>SUM(D23:I23)</f>
        <v>0</v>
      </c>
      <c r="K23" s="878">
        <f>ROUND(J24/3*J23,2)</f>
        <v>0</v>
      </c>
      <c r="L23" s="186"/>
      <c r="M23" s="186"/>
      <c r="N23" s="186"/>
      <c r="O23" s="186"/>
      <c r="P23" s="186"/>
      <c r="Q23" s="186"/>
      <c r="R23" s="153">
        <f>SUM(L23:Q23)</f>
        <v>0</v>
      </c>
      <c r="S23" s="878">
        <f>ROUND(R24/5*R23,2)</f>
        <v>0</v>
      </c>
      <c r="T23" s="186"/>
      <c r="U23" s="186"/>
      <c r="V23" s="186"/>
      <c r="W23" s="186"/>
      <c r="X23" s="186"/>
      <c r="Y23" s="186"/>
      <c r="Z23" s="152">
        <f>SUM(T23:Y23)</f>
        <v>0</v>
      </c>
      <c r="AA23" s="878">
        <f>ROUND(Z24/6*Z23,2)</f>
        <v>0</v>
      </c>
      <c r="AB23" s="186"/>
      <c r="AC23" s="186"/>
      <c r="AD23" s="186"/>
      <c r="AE23" s="186"/>
      <c r="AF23" s="186"/>
      <c r="AG23" s="186"/>
      <c r="AH23" s="152">
        <f>SUM(AB23:AG23)</f>
        <v>0</v>
      </c>
      <c r="AI23" s="878">
        <f>ROUND(AH24/15*AH23,2)</f>
        <v>0</v>
      </c>
      <c r="AJ23" s="186"/>
      <c r="AK23" s="186"/>
      <c r="AL23" s="186"/>
      <c r="AM23" s="186"/>
      <c r="AN23" s="186"/>
      <c r="AO23" s="186"/>
      <c r="AP23" s="152">
        <f>SUM(AJ23:AO23)</f>
        <v>0</v>
      </c>
      <c r="AQ23" s="878">
        <f>ROUND(AP24/20*AP23,2)</f>
        <v>0</v>
      </c>
      <c r="AR23" s="186"/>
      <c r="AS23" s="186"/>
      <c r="AT23" s="186"/>
      <c r="AU23" s="186"/>
      <c r="AV23" s="186"/>
      <c r="AW23" s="186"/>
      <c r="AX23" s="154">
        <f>SUM(AR23:AW23)</f>
        <v>0</v>
      </c>
      <c r="AY23" s="878">
        <f>ROUND(AX24/25*AX23,2)</f>
        <v>0</v>
      </c>
      <c r="BA23" s="880">
        <f>ROUND(AY23+AQ23+AI23+AA23+S23+K23,1)</f>
        <v>0</v>
      </c>
      <c r="BB23" s="138" t="str">
        <f>IF(J23+R23=0,"×","○")</f>
        <v>×</v>
      </c>
      <c r="BC23" s="155">
        <f>SUM(J23,R23,Z23,AH23,AP23,AX23)</f>
        <v>0</v>
      </c>
    </row>
    <row r="24" spans="2:55" ht="18.75" customHeight="1">
      <c r="B24" s="877"/>
      <c r="C24" s="162" t="s">
        <v>141</v>
      </c>
      <c r="D24" s="157">
        <f t="shared" ref="D24:I24" si="48">D$4*D23</f>
        <v>0</v>
      </c>
      <c r="E24" s="157">
        <f t="shared" si="48"/>
        <v>0</v>
      </c>
      <c r="F24" s="157">
        <f t="shared" si="48"/>
        <v>0</v>
      </c>
      <c r="G24" s="157">
        <f t="shared" si="48"/>
        <v>0</v>
      </c>
      <c r="H24" s="157">
        <f t="shared" si="48"/>
        <v>0</v>
      </c>
      <c r="I24" s="157">
        <f t="shared" si="48"/>
        <v>0</v>
      </c>
      <c r="J24" s="158">
        <f>IFERROR(ROUND(SUM(D24:I24)/J23,3),0)</f>
        <v>0</v>
      </c>
      <c r="K24" s="879"/>
      <c r="L24" s="159">
        <f t="shared" ref="L24:Q24" si="49">L$4*L23</f>
        <v>0</v>
      </c>
      <c r="M24" s="157">
        <f t="shared" si="49"/>
        <v>0</v>
      </c>
      <c r="N24" s="157">
        <f t="shared" si="49"/>
        <v>0</v>
      </c>
      <c r="O24" s="157">
        <f t="shared" si="49"/>
        <v>0</v>
      </c>
      <c r="P24" s="157">
        <f t="shared" si="49"/>
        <v>0</v>
      </c>
      <c r="Q24" s="157">
        <f t="shared" si="49"/>
        <v>0</v>
      </c>
      <c r="R24" s="158">
        <f>IFERROR(ROUND(SUM(L24:Q24)/R23,3),0)</f>
        <v>0</v>
      </c>
      <c r="S24" s="879"/>
      <c r="T24" s="160">
        <f t="shared" ref="T24:Y24" si="50">T$4*T23</f>
        <v>0</v>
      </c>
      <c r="U24" s="157">
        <f t="shared" si="50"/>
        <v>0</v>
      </c>
      <c r="V24" s="157">
        <f t="shared" si="50"/>
        <v>0</v>
      </c>
      <c r="W24" s="157">
        <f t="shared" si="50"/>
        <v>0</v>
      </c>
      <c r="X24" s="157">
        <f t="shared" si="50"/>
        <v>0</v>
      </c>
      <c r="Y24" s="157">
        <f t="shared" si="50"/>
        <v>0</v>
      </c>
      <c r="Z24" s="158">
        <f>IFERROR(ROUND(SUM(T24:Y24)/Z23,3),0)</f>
        <v>0</v>
      </c>
      <c r="AA24" s="879"/>
      <c r="AB24" s="159">
        <f t="shared" ref="AB24:AG24" si="51">AB$4*AB23</f>
        <v>0</v>
      </c>
      <c r="AC24" s="157">
        <f t="shared" si="51"/>
        <v>0</v>
      </c>
      <c r="AD24" s="157">
        <f t="shared" si="51"/>
        <v>0</v>
      </c>
      <c r="AE24" s="157">
        <f t="shared" si="51"/>
        <v>0</v>
      </c>
      <c r="AF24" s="157">
        <f t="shared" si="51"/>
        <v>0</v>
      </c>
      <c r="AG24" s="157">
        <f t="shared" si="51"/>
        <v>0</v>
      </c>
      <c r="AH24" s="158">
        <f>IFERROR(ROUND(SUM(AB24:AG24)/AH23,3),0)</f>
        <v>0</v>
      </c>
      <c r="AI24" s="879"/>
      <c r="AJ24" s="160">
        <f t="shared" ref="AJ24:AO24" si="52">AJ$4*AJ23</f>
        <v>0</v>
      </c>
      <c r="AK24" s="157">
        <f t="shared" si="52"/>
        <v>0</v>
      </c>
      <c r="AL24" s="157">
        <f t="shared" si="52"/>
        <v>0</v>
      </c>
      <c r="AM24" s="157">
        <f t="shared" si="52"/>
        <v>0</v>
      </c>
      <c r="AN24" s="157">
        <f t="shared" si="52"/>
        <v>0</v>
      </c>
      <c r="AO24" s="157">
        <f t="shared" si="52"/>
        <v>0</v>
      </c>
      <c r="AP24" s="158">
        <f>IFERROR(ROUND(SUM(AJ24:AO24)/AP23,3),0)</f>
        <v>0</v>
      </c>
      <c r="AQ24" s="879"/>
      <c r="AR24" s="159">
        <f t="shared" ref="AR24:AW24" si="53">AR$4*AR23</f>
        <v>0</v>
      </c>
      <c r="AS24" s="157">
        <f t="shared" si="53"/>
        <v>0</v>
      </c>
      <c r="AT24" s="157">
        <f t="shared" si="53"/>
        <v>0</v>
      </c>
      <c r="AU24" s="157">
        <f t="shared" si="53"/>
        <v>0</v>
      </c>
      <c r="AV24" s="157">
        <f t="shared" si="53"/>
        <v>0</v>
      </c>
      <c r="AW24" s="157">
        <f t="shared" si="53"/>
        <v>0</v>
      </c>
      <c r="AX24" s="157">
        <f>IFERROR(ROUND(SUM(AR24:AW24)/AX23,3),0)</f>
        <v>0</v>
      </c>
      <c r="AY24" s="879"/>
      <c r="BA24" s="880"/>
      <c r="BB24" s="138"/>
      <c r="BC24" s="161"/>
    </row>
    <row r="25" spans="2:55" ht="18.75" customHeight="1">
      <c r="B25" s="876" t="s">
        <v>150</v>
      </c>
      <c r="C25" s="151" t="s">
        <v>140</v>
      </c>
      <c r="D25" s="186"/>
      <c r="E25" s="186"/>
      <c r="F25" s="186"/>
      <c r="G25" s="186"/>
      <c r="H25" s="186"/>
      <c r="I25" s="186"/>
      <c r="J25" s="153">
        <f>SUM(D25:I25)</f>
        <v>0</v>
      </c>
      <c r="K25" s="878">
        <f>ROUND(J26/3*J25,2)</f>
        <v>0</v>
      </c>
      <c r="L25" s="186"/>
      <c r="M25" s="186"/>
      <c r="N25" s="186"/>
      <c r="O25" s="186"/>
      <c r="P25" s="186"/>
      <c r="Q25" s="186"/>
      <c r="R25" s="153">
        <f>SUM(L25:Q25)</f>
        <v>0</v>
      </c>
      <c r="S25" s="878">
        <f>ROUND(R26/5*R25,2)</f>
        <v>0</v>
      </c>
      <c r="T25" s="186"/>
      <c r="U25" s="186"/>
      <c r="V25" s="186"/>
      <c r="W25" s="186"/>
      <c r="X25" s="186"/>
      <c r="Y25" s="186"/>
      <c r="Z25" s="152">
        <f>SUM(T25:Y25)</f>
        <v>0</v>
      </c>
      <c r="AA25" s="878">
        <f>ROUND(Z26/6*Z25,2)</f>
        <v>0</v>
      </c>
      <c r="AB25" s="186"/>
      <c r="AC25" s="186"/>
      <c r="AD25" s="186"/>
      <c r="AE25" s="186"/>
      <c r="AF25" s="186"/>
      <c r="AG25" s="186"/>
      <c r="AH25" s="152">
        <f>SUM(AB25:AG25)</f>
        <v>0</v>
      </c>
      <c r="AI25" s="878">
        <f>ROUND(AH26/15*AH25,2)</f>
        <v>0</v>
      </c>
      <c r="AJ25" s="186"/>
      <c r="AK25" s="186"/>
      <c r="AL25" s="186"/>
      <c r="AM25" s="186"/>
      <c r="AN25" s="186"/>
      <c r="AO25" s="186"/>
      <c r="AP25" s="152">
        <f>SUM(AJ25:AO25)</f>
        <v>0</v>
      </c>
      <c r="AQ25" s="878">
        <f>ROUND(AP26/20*AP25,2)</f>
        <v>0</v>
      </c>
      <c r="AR25" s="186"/>
      <c r="AS25" s="186"/>
      <c r="AT25" s="186"/>
      <c r="AU25" s="186"/>
      <c r="AV25" s="186"/>
      <c r="AW25" s="186"/>
      <c r="AX25" s="154">
        <f>SUM(AR25:AW25)</f>
        <v>0</v>
      </c>
      <c r="AY25" s="878">
        <f>ROUND(AX26/25*AX25,2)</f>
        <v>0</v>
      </c>
      <c r="BA25" s="880">
        <f>ROUND(AY25+AQ25+AI25+AA25+S25+K25,1)</f>
        <v>0</v>
      </c>
      <c r="BB25" s="138" t="str">
        <f>IF(J25+R25=0,"×","○")</f>
        <v>×</v>
      </c>
      <c r="BC25" s="155">
        <f>SUM(J25,R25,Z25,AH25,AP25,AX25)</f>
        <v>0</v>
      </c>
    </row>
    <row r="26" spans="2:55" ht="18.75" customHeight="1">
      <c r="B26" s="877"/>
      <c r="C26" s="162" t="s">
        <v>141</v>
      </c>
      <c r="D26" s="157">
        <f t="shared" ref="D26:I26" si="54">D$4*D25</f>
        <v>0</v>
      </c>
      <c r="E26" s="157">
        <f t="shared" si="54"/>
        <v>0</v>
      </c>
      <c r="F26" s="157">
        <f t="shared" si="54"/>
        <v>0</v>
      </c>
      <c r="G26" s="157">
        <f t="shared" si="54"/>
        <v>0</v>
      </c>
      <c r="H26" s="157">
        <f t="shared" si="54"/>
        <v>0</v>
      </c>
      <c r="I26" s="157">
        <f t="shared" si="54"/>
        <v>0</v>
      </c>
      <c r="J26" s="158">
        <f>IFERROR(ROUND(SUM(D26:I26)/J25,3),0)</f>
        <v>0</v>
      </c>
      <c r="K26" s="879"/>
      <c r="L26" s="159">
        <f t="shared" ref="L26:Q26" si="55">L$4*L25</f>
        <v>0</v>
      </c>
      <c r="M26" s="157">
        <f t="shared" si="55"/>
        <v>0</v>
      </c>
      <c r="N26" s="157">
        <f t="shared" si="55"/>
        <v>0</v>
      </c>
      <c r="O26" s="157">
        <f t="shared" si="55"/>
        <v>0</v>
      </c>
      <c r="P26" s="157">
        <f t="shared" si="55"/>
        <v>0</v>
      </c>
      <c r="Q26" s="157">
        <f t="shared" si="55"/>
        <v>0</v>
      </c>
      <c r="R26" s="158">
        <f>IFERROR(ROUND(SUM(L26:Q26)/R25,3),0)</f>
        <v>0</v>
      </c>
      <c r="S26" s="879"/>
      <c r="T26" s="160">
        <f t="shared" ref="T26:Y26" si="56">T$4*T25</f>
        <v>0</v>
      </c>
      <c r="U26" s="157">
        <f t="shared" si="56"/>
        <v>0</v>
      </c>
      <c r="V26" s="157">
        <f t="shared" si="56"/>
        <v>0</v>
      </c>
      <c r="W26" s="157">
        <f t="shared" si="56"/>
        <v>0</v>
      </c>
      <c r="X26" s="157">
        <f t="shared" si="56"/>
        <v>0</v>
      </c>
      <c r="Y26" s="157">
        <f t="shared" si="56"/>
        <v>0</v>
      </c>
      <c r="Z26" s="158">
        <f>IFERROR(ROUND(SUM(T26:Y26)/Z25,3),0)</f>
        <v>0</v>
      </c>
      <c r="AA26" s="879"/>
      <c r="AB26" s="159">
        <f t="shared" ref="AB26:AG26" si="57">AB$4*AB25</f>
        <v>0</v>
      </c>
      <c r="AC26" s="157">
        <f t="shared" si="57"/>
        <v>0</v>
      </c>
      <c r="AD26" s="157">
        <f t="shared" si="57"/>
        <v>0</v>
      </c>
      <c r="AE26" s="157">
        <f t="shared" si="57"/>
        <v>0</v>
      </c>
      <c r="AF26" s="157">
        <f t="shared" si="57"/>
        <v>0</v>
      </c>
      <c r="AG26" s="157">
        <f t="shared" si="57"/>
        <v>0</v>
      </c>
      <c r="AH26" s="158">
        <f>IFERROR(ROUND(SUM(AB26:AG26)/AH25,3),0)</f>
        <v>0</v>
      </c>
      <c r="AI26" s="879"/>
      <c r="AJ26" s="160">
        <f t="shared" ref="AJ26:AO26" si="58">AJ$4*AJ25</f>
        <v>0</v>
      </c>
      <c r="AK26" s="157">
        <f t="shared" si="58"/>
        <v>0</v>
      </c>
      <c r="AL26" s="157">
        <f t="shared" si="58"/>
        <v>0</v>
      </c>
      <c r="AM26" s="157">
        <f t="shared" si="58"/>
        <v>0</v>
      </c>
      <c r="AN26" s="157">
        <f t="shared" si="58"/>
        <v>0</v>
      </c>
      <c r="AO26" s="157">
        <f t="shared" si="58"/>
        <v>0</v>
      </c>
      <c r="AP26" s="158">
        <f>IFERROR(ROUND(SUM(AJ26:AO26)/AP25,3),0)</f>
        <v>0</v>
      </c>
      <c r="AQ26" s="879"/>
      <c r="AR26" s="159">
        <f t="shared" ref="AR26:AW26" si="59">AR$4*AR25</f>
        <v>0</v>
      </c>
      <c r="AS26" s="157">
        <f t="shared" si="59"/>
        <v>0</v>
      </c>
      <c r="AT26" s="157">
        <f t="shared" si="59"/>
        <v>0</v>
      </c>
      <c r="AU26" s="157">
        <f t="shared" si="59"/>
        <v>0</v>
      </c>
      <c r="AV26" s="157">
        <f t="shared" si="59"/>
        <v>0</v>
      </c>
      <c r="AW26" s="157">
        <f t="shared" si="59"/>
        <v>0</v>
      </c>
      <c r="AX26" s="157">
        <f>IFERROR(ROUND(SUM(AR26:AW26)/AX25,3),0)</f>
        <v>0</v>
      </c>
      <c r="AY26" s="879"/>
      <c r="BA26" s="880"/>
      <c r="BB26" s="138"/>
      <c r="BC26" s="161"/>
    </row>
    <row r="27" spans="2:55" ht="18.75" customHeight="1">
      <c r="B27" s="876" t="s">
        <v>15</v>
      </c>
      <c r="C27" s="151" t="s">
        <v>140</v>
      </c>
      <c r="D27" s="186"/>
      <c r="E27" s="186"/>
      <c r="F27" s="186"/>
      <c r="G27" s="186"/>
      <c r="H27" s="186"/>
      <c r="I27" s="186"/>
      <c r="J27" s="153">
        <f>SUM(D27:I27)</f>
        <v>0</v>
      </c>
      <c r="K27" s="878">
        <f>ROUND(J28/3*J27,2)</f>
        <v>0</v>
      </c>
      <c r="L27" s="186"/>
      <c r="M27" s="186"/>
      <c r="N27" s="186"/>
      <c r="O27" s="186"/>
      <c r="P27" s="186"/>
      <c r="Q27" s="186"/>
      <c r="R27" s="153">
        <f>SUM(L27:Q27)</f>
        <v>0</v>
      </c>
      <c r="S27" s="878">
        <f>ROUND(R28/5*R27,2)</f>
        <v>0</v>
      </c>
      <c r="T27" s="186"/>
      <c r="U27" s="186"/>
      <c r="V27" s="186"/>
      <c r="W27" s="186"/>
      <c r="X27" s="186"/>
      <c r="Y27" s="186"/>
      <c r="Z27" s="152">
        <f>SUM(T27:Y27)</f>
        <v>0</v>
      </c>
      <c r="AA27" s="878">
        <f>ROUND(Z28/6*Z27,2)</f>
        <v>0</v>
      </c>
      <c r="AB27" s="186"/>
      <c r="AC27" s="186"/>
      <c r="AD27" s="186"/>
      <c r="AE27" s="186"/>
      <c r="AF27" s="186"/>
      <c r="AG27" s="186"/>
      <c r="AH27" s="152">
        <f>SUM(AB27:AG27)</f>
        <v>0</v>
      </c>
      <c r="AI27" s="878">
        <f>ROUND(AH28/15*AH27,2)</f>
        <v>0</v>
      </c>
      <c r="AJ27" s="186"/>
      <c r="AK27" s="186"/>
      <c r="AL27" s="186"/>
      <c r="AM27" s="186"/>
      <c r="AN27" s="186"/>
      <c r="AO27" s="186"/>
      <c r="AP27" s="152">
        <f>SUM(AJ27:AO27)</f>
        <v>0</v>
      </c>
      <c r="AQ27" s="878">
        <f>ROUND(AP28/20*AP27,2)</f>
        <v>0</v>
      </c>
      <c r="AR27" s="186"/>
      <c r="AS27" s="186"/>
      <c r="AT27" s="186"/>
      <c r="AU27" s="186"/>
      <c r="AV27" s="186"/>
      <c r="AW27" s="186"/>
      <c r="AX27" s="154">
        <f>SUM(AR27:AW27)</f>
        <v>0</v>
      </c>
      <c r="AY27" s="878">
        <f>ROUND(AX28/25*AX27,2)</f>
        <v>0</v>
      </c>
      <c r="BA27" s="880">
        <f>ROUND(AY27+AQ27+AI27+AA27+S27+K27,1)</f>
        <v>0</v>
      </c>
      <c r="BB27" s="138" t="str">
        <f>IF(J27+R27=0,"×","○")</f>
        <v>×</v>
      </c>
      <c r="BC27" s="155">
        <f>SUM(J27,R27,Z27,AH27,AP27,AX27)</f>
        <v>0</v>
      </c>
    </row>
    <row r="28" spans="2:55" ht="18.75" customHeight="1">
      <c r="B28" s="877"/>
      <c r="C28" s="162" t="s">
        <v>141</v>
      </c>
      <c r="D28" s="157">
        <f t="shared" ref="D28:I28" si="60">D$4*D27</f>
        <v>0</v>
      </c>
      <c r="E28" s="157">
        <f t="shared" si="60"/>
        <v>0</v>
      </c>
      <c r="F28" s="157">
        <f t="shared" si="60"/>
        <v>0</v>
      </c>
      <c r="G28" s="157">
        <f t="shared" si="60"/>
        <v>0</v>
      </c>
      <c r="H28" s="157">
        <f t="shared" si="60"/>
        <v>0</v>
      </c>
      <c r="I28" s="157">
        <f t="shared" si="60"/>
        <v>0</v>
      </c>
      <c r="J28" s="158">
        <f>IFERROR(ROUND(SUM(D28:I28)/J27,3),0)</f>
        <v>0</v>
      </c>
      <c r="K28" s="879"/>
      <c r="L28" s="159">
        <f t="shared" ref="L28:Q28" si="61">L$4*L27</f>
        <v>0</v>
      </c>
      <c r="M28" s="157">
        <f t="shared" si="61"/>
        <v>0</v>
      </c>
      <c r="N28" s="157">
        <f t="shared" si="61"/>
        <v>0</v>
      </c>
      <c r="O28" s="157">
        <f t="shared" si="61"/>
        <v>0</v>
      </c>
      <c r="P28" s="157">
        <f t="shared" si="61"/>
        <v>0</v>
      </c>
      <c r="Q28" s="157">
        <f t="shared" si="61"/>
        <v>0</v>
      </c>
      <c r="R28" s="158">
        <f>IFERROR(ROUND(SUM(L28:Q28)/R27,3),0)</f>
        <v>0</v>
      </c>
      <c r="S28" s="879"/>
      <c r="T28" s="160">
        <f t="shared" ref="T28:Y28" si="62">T$4*T27</f>
        <v>0</v>
      </c>
      <c r="U28" s="157">
        <f t="shared" si="62"/>
        <v>0</v>
      </c>
      <c r="V28" s="157">
        <f t="shared" si="62"/>
        <v>0</v>
      </c>
      <c r="W28" s="157">
        <f t="shared" si="62"/>
        <v>0</v>
      </c>
      <c r="X28" s="157">
        <f t="shared" si="62"/>
        <v>0</v>
      </c>
      <c r="Y28" s="157">
        <f t="shared" si="62"/>
        <v>0</v>
      </c>
      <c r="Z28" s="158">
        <f>IFERROR(ROUND(SUM(T28:Y28)/Z27,3),0)</f>
        <v>0</v>
      </c>
      <c r="AA28" s="879"/>
      <c r="AB28" s="159">
        <f t="shared" ref="AB28:AG28" si="63">AB$4*AB27</f>
        <v>0</v>
      </c>
      <c r="AC28" s="157">
        <f t="shared" si="63"/>
        <v>0</v>
      </c>
      <c r="AD28" s="157">
        <f t="shared" si="63"/>
        <v>0</v>
      </c>
      <c r="AE28" s="157">
        <f t="shared" si="63"/>
        <v>0</v>
      </c>
      <c r="AF28" s="157">
        <f t="shared" si="63"/>
        <v>0</v>
      </c>
      <c r="AG28" s="157">
        <f t="shared" si="63"/>
        <v>0</v>
      </c>
      <c r="AH28" s="158">
        <f>IFERROR(ROUND(SUM(AB28:AG28)/AH27,3),0)</f>
        <v>0</v>
      </c>
      <c r="AI28" s="879"/>
      <c r="AJ28" s="160">
        <f t="shared" ref="AJ28:AO28" si="64">AJ$4*AJ27</f>
        <v>0</v>
      </c>
      <c r="AK28" s="157">
        <f t="shared" si="64"/>
        <v>0</v>
      </c>
      <c r="AL28" s="157">
        <f t="shared" si="64"/>
        <v>0</v>
      </c>
      <c r="AM28" s="157">
        <f t="shared" si="64"/>
        <v>0</v>
      </c>
      <c r="AN28" s="157">
        <f t="shared" si="64"/>
        <v>0</v>
      </c>
      <c r="AO28" s="157">
        <f t="shared" si="64"/>
        <v>0</v>
      </c>
      <c r="AP28" s="158">
        <f>IFERROR(ROUND(SUM(AJ28:AO28)/AP27,3),0)</f>
        <v>0</v>
      </c>
      <c r="AQ28" s="879"/>
      <c r="AR28" s="159">
        <f t="shared" ref="AR28:AW28" si="65">AR$4*AR27</f>
        <v>0</v>
      </c>
      <c r="AS28" s="157">
        <f t="shared" si="65"/>
        <v>0</v>
      </c>
      <c r="AT28" s="157">
        <f t="shared" si="65"/>
        <v>0</v>
      </c>
      <c r="AU28" s="157">
        <f t="shared" si="65"/>
        <v>0</v>
      </c>
      <c r="AV28" s="157">
        <f t="shared" si="65"/>
        <v>0</v>
      </c>
      <c r="AW28" s="157">
        <f t="shared" si="65"/>
        <v>0</v>
      </c>
      <c r="AX28" s="157">
        <f>IFERROR(ROUND(SUM(AR28:AW28)/AX27,3),0)</f>
        <v>0</v>
      </c>
      <c r="AY28" s="879"/>
      <c r="BA28" s="880"/>
      <c r="BB28" s="138"/>
      <c r="BC28" s="161"/>
    </row>
    <row r="29" spans="2:55" ht="18.75" customHeight="1">
      <c r="B29" s="876" t="s">
        <v>151</v>
      </c>
      <c r="C29" s="187" t="s">
        <v>140</v>
      </c>
      <c r="D29" s="186"/>
      <c r="E29" s="186"/>
      <c r="F29" s="186"/>
      <c r="G29" s="186"/>
      <c r="H29" s="186"/>
      <c r="I29" s="186"/>
      <c r="J29" s="153">
        <f>SUM(D29:I29)</f>
        <v>0</v>
      </c>
      <c r="K29" s="878">
        <f>ROUND(J30/3*J29,2)</f>
        <v>0</v>
      </c>
      <c r="L29" s="186"/>
      <c r="M29" s="186"/>
      <c r="N29" s="186"/>
      <c r="O29" s="186"/>
      <c r="P29" s="186"/>
      <c r="Q29" s="186"/>
      <c r="R29" s="153">
        <f>SUM(L29:Q29)</f>
        <v>0</v>
      </c>
      <c r="S29" s="878">
        <f>ROUND(R30/5*R29,2)</f>
        <v>0</v>
      </c>
      <c r="T29" s="186"/>
      <c r="U29" s="186"/>
      <c r="V29" s="186"/>
      <c r="W29" s="186"/>
      <c r="X29" s="186"/>
      <c r="Y29" s="186"/>
      <c r="Z29" s="152">
        <f>SUM(T29:Y29)</f>
        <v>0</v>
      </c>
      <c r="AA29" s="878">
        <f>ROUND(Z30/6*Z29,2)</f>
        <v>0</v>
      </c>
      <c r="AB29" s="186"/>
      <c r="AC29" s="186"/>
      <c r="AD29" s="186"/>
      <c r="AE29" s="186"/>
      <c r="AF29" s="186"/>
      <c r="AG29" s="186"/>
      <c r="AH29" s="152">
        <f>SUM(AB29:AG29)</f>
        <v>0</v>
      </c>
      <c r="AI29" s="878">
        <f>ROUND(AH30/15*AH29,2)</f>
        <v>0</v>
      </c>
      <c r="AJ29" s="186"/>
      <c r="AK29" s="186"/>
      <c r="AL29" s="186"/>
      <c r="AM29" s="186"/>
      <c r="AN29" s="186"/>
      <c r="AO29" s="186"/>
      <c r="AP29" s="152">
        <f>SUM(AJ29:AO29)</f>
        <v>0</v>
      </c>
      <c r="AQ29" s="878">
        <f>ROUND(AP30/20*AP29,2)</f>
        <v>0</v>
      </c>
      <c r="AR29" s="186"/>
      <c r="AS29" s="186"/>
      <c r="AT29" s="186"/>
      <c r="AU29" s="186"/>
      <c r="AV29" s="186"/>
      <c r="AW29" s="186"/>
      <c r="AX29" s="154">
        <f>SUM(AR29:AW29)</f>
        <v>0</v>
      </c>
      <c r="AY29" s="878">
        <f>ROUND(AX30/25*AX29,2)</f>
        <v>0</v>
      </c>
      <c r="BA29" s="880">
        <f>ROUND(AY29+AQ29+AI29+AA29+S29+K29,1)</f>
        <v>0</v>
      </c>
      <c r="BB29" s="138" t="str">
        <f>IF(J29+R29=0,"×","○")</f>
        <v>×</v>
      </c>
      <c r="BC29" s="155">
        <f>SUM(J29,R29,Z29,AH29,AP29,AX29)</f>
        <v>0</v>
      </c>
    </row>
    <row r="30" spans="2:55" ht="18.75" customHeight="1" thickBot="1">
      <c r="B30" s="884"/>
      <c r="C30" s="163" t="s">
        <v>141</v>
      </c>
      <c r="D30" s="164">
        <f t="shared" ref="D30:I30" si="66">D$4*D29</f>
        <v>0</v>
      </c>
      <c r="E30" s="164">
        <f t="shared" si="66"/>
        <v>0</v>
      </c>
      <c r="F30" s="164">
        <f t="shared" si="66"/>
        <v>0</v>
      </c>
      <c r="G30" s="164">
        <f t="shared" si="66"/>
        <v>0</v>
      </c>
      <c r="H30" s="164">
        <f t="shared" si="66"/>
        <v>0</v>
      </c>
      <c r="I30" s="164">
        <f t="shared" si="66"/>
        <v>0</v>
      </c>
      <c r="J30" s="165">
        <f>IFERROR(ROUND(SUM(D30:I30)/J29,3),0)</f>
        <v>0</v>
      </c>
      <c r="K30" s="879"/>
      <c r="L30" s="166">
        <f t="shared" ref="L30:Q30" si="67">L$4*L29</f>
        <v>0</v>
      </c>
      <c r="M30" s="164">
        <f t="shared" si="67"/>
        <v>0</v>
      </c>
      <c r="N30" s="164">
        <f t="shared" si="67"/>
        <v>0</v>
      </c>
      <c r="O30" s="164">
        <f t="shared" si="67"/>
        <v>0</v>
      </c>
      <c r="P30" s="164">
        <f t="shared" si="67"/>
        <v>0</v>
      </c>
      <c r="Q30" s="164">
        <f t="shared" si="67"/>
        <v>0</v>
      </c>
      <c r="R30" s="165">
        <f>IFERROR(ROUND(SUM(L30:Q30)/R29,3),0)</f>
        <v>0</v>
      </c>
      <c r="S30" s="879"/>
      <c r="T30" s="167">
        <f t="shared" ref="T30:Y30" si="68">T$4*T29</f>
        <v>0</v>
      </c>
      <c r="U30" s="164">
        <f t="shared" si="68"/>
        <v>0</v>
      </c>
      <c r="V30" s="164">
        <f t="shared" si="68"/>
        <v>0</v>
      </c>
      <c r="W30" s="164">
        <f t="shared" si="68"/>
        <v>0</v>
      </c>
      <c r="X30" s="164">
        <f t="shared" si="68"/>
        <v>0</v>
      </c>
      <c r="Y30" s="164">
        <f t="shared" si="68"/>
        <v>0</v>
      </c>
      <c r="Z30" s="165">
        <f>IFERROR(ROUND(SUM(T30:Y30)/Z29,3),0)</f>
        <v>0</v>
      </c>
      <c r="AA30" s="879"/>
      <c r="AB30" s="166">
        <f t="shared" ref="AB30:AG30" si="69">AB$4*AB29</f>
        <v>0</v>
      </c>
      <c r="AC30" s="164">
        <f t="shared" si="69"/>
        <v>0</v>
      </c>
      <c r="AD30" s="164">
        <f t="shared" si="69"/>
        <v>0</v>
      </c>
      <c r="AE30" s="164">
        <f t="shared" si="69"/>
        <v>0</v>
      </c>
      <c r="AF30" s="164">
        <f t="shared" si="69"/>
        <v>0</v>
      </c>
      <c r="AG30" s="164">
        <f t="shared" si="69"/>
        <v>0</v>
      </c>
      <c r="AH30" s="165">
        <f>IFERROR(ROUND(SUM(AB30:AG30)/AH29,3),0)</f>
        <v>0</v>
      </c>
      <c r="AI30" s="879"/>
      <c r="AJ30" s="167">
        <f t="shared" ref="AJ30:AO30" si="70">AJ$4*AJ29</f>
        <v>0</v>
      </c>
      <c r="AK30" s="164">
        <f t="shared" si="70"/>
        <v>0</v>
      </c>
      <c r="AL30" s="164">
        <f t="shared" si="70"/>
        <v>0</v>
      </c>
      <c r="AM30" s="164">
        <f t="shared" si="70"/>
        <v>0</v>
      </c>
      <c r="AN30" s="164">
        <f t="shared" si="70"/>
        <v>0</v>
      </c>
      <c r="AO30" s="164">
        <f t="shared" si="70"/>
        <v>0</v>
      </c>
      <c r="AP30" s="165">
        <f>IFERROR(ROUND(SUM(AJ30:AO30)/AP29,3),)</f>
        <v>0</v>
      </c>
      <c r="AQ30" s="879"/>
      <c r="AR30" s="166">
        <f t="shared" ref="AR30:AW30" si="71">AR$4*AR29</f>
        <v>0</v>
      </c>
      <c r="AS30" s="164">
        <f t="shared" si="71"/>
        <v>0</v>
      </c>
      <c r="AT30" s="164">
        <f t="shared" si="71"/>
        <v>0</v>
      </c>
      <c r="AU30" s="164">
        <f t="shared" si="71"/>
        <v>0</v>
      </c>
      <c r="AV30" s="164">
        <f t="shared" si="71"/>
        <v>0</v>
      </c>
      <c r="AW30" s="164">
        <f t="shared" si="71"/>
        <v>0</v>
      </c>
      <c r="AX30" s="168">
        <f>IFERROR(ROUND(SUM(AR30:AW30)/AX29,3),0)</f>
        <v>0</v>
      </c>
      <c r="AY30" s="879"/>
      <c r="BA30" s="880"/>
    </row>
    <row r="31" spans="2:55" ht="20.25" customHeight="1">
      <c r="B31" s="881" t="s">
        <v>152</v>
      </c>
      <c r="C31" s="151" t="s">
        <v>140</v>
      </c>
      <c r="D31" s="216">
        <f>ROUND(SUM(D7,D9,D11,D13,D15,D17,D19,D21,D23,D25,D27,D29)/12,0)</f>
        <v>0</v>
      </c>
      <c r="E31" s="217">
        <f>ROUND(SUM(E7,E9,E11,E13,E15,E17,E19,E21,E23,E25,E27,E29)/12,0)</f>
        <v>0</v>
      </c>
      <c r="F31" s="217">
        <f t="shared" ref="F31:I31" si="72">ROUND(SUM(F7,F9,F11,F13,F15,F17,F19,F21,F23,F25,F27,F29)/12,0)</f>
        <v>0</v>
      </c>
      <c r="G31" s="217">
        <f t="shared" si="72"/>
        <v>0</v>
      </c>
      <c r="H31" s="217">
        <f t="shared" si="72"/>
        <v>0</v>
      </c>
      <c r="I31" s="217">
        <f t="shared" si="72"/>
        <v>0</v>
      </c>
      <c r="J31" s="217">
        <f>SUM(D31:I31)</f>
        <v>0</v>
      </c>
      <c r="K31" s="878">
        <f>ROUND(J32/3*J31,2)</f>
        <v>0</v>
      </c>
      <c r="L31" s="216">
        <f t="shared" ref="L31:Q31" si="73">ROUND(SUM(L7,L9,L11,L13,L15,L17,L19,L21,L23,L25,L27,L29)/12,0)</f>
        <v>0</v>
      </c>
      <c r="M31" s="217">
        <f t="shared" si="73"/>
        <v>0</v>
      </c>
      <c r="N31" s="217">
        <f t="shared" si="73"/>
        <v>0</v>
      </c>
      <c r="O31" s="217">
        <f t="shared" si="73"/>
        <v>0</v>
      </c>
      <c r="P31" s="217">
        <f t="shared" si="73"/>
        <v>0</v>
      </c>
      <c r="Q31" s="217">
        <f t="shared" si="73"/>
        <v>0</v>
      </c>
      <c r="R31" s="217">
        <f>SUM(L31:Q31)</f>
        <v>0</v>
      </c>
      <c r="S31" s="878">
        <f>ROUND(R32/5*R31,2)</f>
        <v>0</v>
      </c>
      <c r="T31" s="216">
        <f>ROUND(SUM(T7,T9,T11,T13,T15,T17,T19,T21,T23,T25,T27,T29)/12,0)</f>
        <v>0</v>
      </c>
      <c r="U31" s="217">
        <f>ROUND(SUM(U7,U9,U11,U13,U15,U17,U19,U21,U23,U25,U27,U29)/12,0)</f>
        <v>0</v>
      </c>
      <c r="V31" s="217">
        <f t="shared" ref="V31:Y31" si="74">ROUND(SUM(V7,V9,V11,V13,V15,V17,V19,V21,V23,V25,V27,V29)/12,0)</f>
        <v>0</v>
      </c>
      <c r="W31" s="217">
        <f t="shared" si="74"/>
        <v>0</v>
      </c>
      <c r="X31" s="217">
        <f t="shared" si="74"/>
        <v>0</v>
      </c>
      <c r="Y31" s="217">
        <f t="shared" si="74"/>
        <v>0</v>
      </c>
      <c r="Z31" s="217">
        <f>SUM(T31:Y31)</f>
        <v>0</v>
      </c>
      <c r="AA31" s="878">
        <f>ROUND(Z32/6*Z31,2)</f>
        <v>0</v>
      </c>
      <c r="AB31" s="216">
        <f>ROUND(SUM(AB7,AB9,AB11,AB13,AB15,AB17,AB19,AB21,AB23,AB25,AB27,AB29)/12,0)</f>
        <v>0</v>
      </c>
      <c r="AC31" s="217">
        <f>ROUND(SUM(AC7,AC9,AC11,AC13,AC15,AC17,AC19,AC21,AC23,AC25,AC27,AC29)/12,0)</f>
        <v>0</v>
      </c>
      <c r="AD31" s="217">
        <f t="shared" ref="AD31:AG31" si="75">ROUND(SUM(AD7,AD9,AD11,AD13,AD15,AD17,AD19,AD21,AD23,AD25,AD27,AD29)/12,0)</f>
        <v>0</v>
      </c>
      <c r="AE31" s="217">
        <f t="shared" si="75"/>
        <v>0</v>
      </c>
      <c r="AF31" s="217">
        <f t="shared" si="75"/>
        <v>0</v>
      </c>
      <c r="AG31" s="217">
        <f t="shared" si="75"/>
        <v>0</v>
      </c>
      <c r="AH31" s="217">
        <f>SUM(AB31:AG31)</f>
        <v>0</v>
      </c>
      <c r="AI31" s="878">
        <f>ROUND(AH32/15*AH31,2)</f>
        <v>0</v>
      </c>
      <c r="AJ31" s="216">
        <f>ROUND(SUM(AJ7,AJ9,AJ11,AJ13,AJ15,AJ17,AJ19,AJ21,AJ23,AJ25,AJ27,AJ29)/12,0)</f>
        <v>0</v>
      </c>
      <c r="AK31" s="217">
        <f>ROUND(SUM(AK7,AK9,AK11,AK13,AK15,AK17,AK19,AK21,AK23,AK25,AK27,AK29)/12,0)</f>
        <v>0</v>
      </c>
      <c r="AL31" s="217">
        <f t="shared" ref="AL31:AO31" si="76">ROUND(SUM(AL7,AL9,AL11,AL13,AL15,AL17,AL19,AL21,AL23,AL25,AL27,AL29)/12,0)</f>
        <v>0</v>
      </c>
      <c r="AM31" s="217">
        <f t="shared" si="76"/>
        <v>0</v>
      </c>
      <c r="AN31" s="217">
        <f t="shared" si="76"/>
        <v>0</v>
      </c>
      <c r="AO31" s="217">
        <f t="shared" si="76"/>
        <v>0</v>
      </c>
      <c r="AP31" s="217">
        <f>SUM(AJ31:AO31)</f>
        <v>0</v>
      </c>
      <c r="AQ31" s="878">
        <f>ROUND(AP32/20*AP31,2)</f>
        <v>0</v>
      </c>
      <c r="AR31" s="216">
        <f>ROUND(SUM(AR7,AR9,AR11,AR13,AR15,AR17,AR19,AR21,AR23,AR25,AR27,AR29)/12,0)</f>
        <v>0</v>
      </c>
      <c r="AS31" s="217">
        <f>ROUND(SUM(AS7,AS9,AS11,AS13,AS15,AS17,AS19,AS21,AS23,AS25,AS27,AS29)/12,0)</f>
        <v>0</v>
      </c>
      <c r="AT31" s="217">
        <f t="shared" ref="AT31:AW31" si="77">ROUND(SUM(AT7,AT9,AT11,AT13,AT15,AT17,AT19,AT21,AT23,AT25,AT27,AT29)/12,0)</f>
        <v>0</v>
      </c>
      <c r="AU31" s="217">
        <f t="shared" si="77"/>
        <v>0</v>
      </c>
      <c r="AV31" s="217">
        <f t="shared" si="77"/>
        <v>0</v>
      </c>
      <c r="AW31" s="217">
        <f t="shared" si="77"/>
        <v>0</v>
      </c>
      <c r="AX31" s="217">
        <f>SUM(AR31:AW31)</f>
        <v>0</v>
      </c>
      <c r="AY31" s="878">
        <f>ROUND(AX32/25*AX31,2)</f>
        <v>0</v>
      </c>
      <c r="BA31" s="880">
        <f>ROUND(AY31+AQ31+AI31+AA31+S31+K31,1)</f>
        <v>0</v>
      </c>
      <c r="BB31" s="192" t="str">
        <f>IF(J31+R31=0,"×","○")</f>
        <v>×</v>
      </c>
      <c r="BC31" s="155">
        <f>SUM(J31,R31,Z31,AH31,AP31,AX31)</f>
        <v>0</v>
      </c>
    </row>
    <row r="32" spans="2:55" ht="20.25" customHeight="1" thickBot="1">
      <c r="B32" s="882"/>
      <c r="C32" s="169" t="s">
        <v>141</v>
      </c>
      <c r="D32" s="171">
        <f>D$4*D31</f>
        <v>0</v>
      </c>
      <c r="E32" s="168">
        <f t="shared" ref="E32:H32" si="78">E$4*E31</f>
        <v>0</v>
      </c>
      <c r="F32" s="168">
        <f t="shared" si="78"/>
        <v>0</v>
      </c>
      <c r="G32" s="168">
        <f t="shared" si="78"/>
        <v>0</v>
      </c>
      <c r="H32" s="168">
        <f t="shared" si="78"/>
        <v>0</v>
      </c>
      <c r="I32" s="168">
        <f>I$4*I31</f>
        <v>0</v>
      </c>
      <c r="J32" s="170">
        <f>IFERROR(ROUND(SUM(D32:I32)/J31,3),0)</f>
        <v>0</v>
      </c>
      <c r="K32" s="885"/>
      <c r="L32" s="171">
        <f>L$4*L31</f>
        <v>0</v>
      </c>
      <c r="M32" s="168">
        <f>M$4*M31</f>
        <v>0</v>
      </c>
      <c r="N32" s="168">
        <f t="shared" ref="N32:Q32" si="79">N$4*N31</f>
        <v>0</v>
      </c>
      <c r="O32" s="168">
        <f t="shared" si="79"/>
        <v>0</v>
      </c>
      <c r="P32" s="168">
        <f t="shared" si="79"/>
        <v>0</v>
      </c>
      <c r="Q32" s="168">
        <f t="shared" si="79"/>
        <v>0</v>
      </c>
      <c r="R32" s="170">
        <f>IFERROR(ROUND(SUM(L32:Q32)/R31,3),0)</f>
        <v>0</v>
      </c>
      <c r="S32" s="885"/>
      <c r="T32" s="171">
        <f>T$4*T31</f>
        <v>0</v>
      </c>
      <c r="U32" s="168">
        <f>U$4*U31</f>
        <v>0</v>
      </c>
      <c r="V32" s="168">
        <f t="shared" ref="V32:Y32" si="80">V$4*V31</f>
        <v>0</v>
      </c>
      <c r="W32" s="168">
        <f t="shared" si="80"/>
        <v>0</v>
      </c>
      <c r="X32" s="168">
        <f t="shared" si="80"/>
        <v>0</v>
      </c>
      <c r="Y32" s="168">
        <f t="shared" si="80"/>
        <v>0</v>
      </c>
      <c r="Z32" s="170">
        <f>IFERROR(ROUND(SUM(T32:Y32)/Z31,3),0)</f>
        <v>0</v>
      </c>
      <c r="AA32" s="885"/>
      <c r="AB32" s="171">
        <f>AB$4*AB31</f>
        <v>0</v>
      </c>
      <c r="AC32" s="168">
        <f>AC$4*AC31</f>
        <v>0</v>
      </c>
      <c r="AD32" s="168">
        <f t="shared" ref="AD32:AG32" si="81">AD$4*AD31</f>
        <v>0</v>
      </c>
      <c r="AE32" s="168">
        <f t="shared" si="81"/>
        <v>0</v>
      </c>
      <c r="AF32" s="168">
        <f t="shared" si="81"/>
        <v>0</v>
      </c>
      <c r="AG32" s="168">
        <f t="shared" si="81"/>
        <v>0</v>
      </c>
      <c r="AH32" s="170">
        <f>IFERROR(ROUND(SUM(AB32:AG32)/AH31,3),0)</f>
        <v>0</v>
      </c>
      <c r="AI32" s="885"/>
      <c r="AJ32" s="171">
        <f>AJ$4*AJ31</f>
        <v>0</v>
      </c>
      <c r="AK32" s="168">
        <f>AK$4*AK31</f>
        <v>0</v>
      </c>
      <c r="AL32" s="168">
        <f t="shared" ref="AL32:AO32" si="82">AL$4*AL31</f>
        <v>0</v>
      </c>
      <c r="AM32" s="168">
        <f t="shared" si="82"/>
        <v>0</v>
      </c>
      <c r="AN32" s="168">
        <f t="shared" si="82"/>
        <v>0</v>
      </c>
      <c r="AO32" s="168">
        <f t="shared" si="82"/>
        <v>0</v>
      </c>
      <c r="AP32" s="170">
        <f>IFERROR(ROUND(SUM(AJ32:AO32)/AP31,3),0)</f>
        <v>0</v>
      </c>
      <c r="AQ32" s="885"/>
      <c r="AR32" s="171">
        <f>AR$4*AR31</f>
        <v>0</v>
      </c>
      <c r="AS32" s="168">
        <f>AS$4*AS31</f>
        <v>0</v>
      </c>
      <c r="AT32" s="168">
        <f t="shared" ref="AT32:AW32" si="83">AT$4*AT31</f>
        <v>0</v>
      </c>
      <c r="AU32" s="168">
        <f t="shared" si="83"/>
        <v>0</v>
      </c>
      <c r="AV32" s="168">
        <f t="shared" si="83"/>
        <v>0</v>
      </c>
      <c r="AW32" s="168">
        <f t="shared" si="83"/>
        <v>0</v>
      </c>
      <c r="AX32" s="170">
        <f>IFERROR(ROUND(SUM(AR32:AW32)/AX31,3),0)</f>
        <v>0</v>
      </c>
      <c r="AY32" s="885"/>
      <c r="BA32" s="880"/>
    </row>
    <row r="33" spans="2:50" ht="20.25" customHeight="1">
      <c r="B33" s="883"/>
      <c r="C33" s="883"/>
      <c r="J33" s="172"/>
      <c r="K33" s="172"/>
      <c r="R33" s="188"/>
      <c r="S33" s="172"/>
      <c r="Z33" s="188"/>
      <c r="AA33" s="172"/>
      <c r="AH33" s="188"/>
      <c r="AI33" s="172"/>
      <c r="AP33" s="188"/>
      <c r="AQ33" s="188"/>
      <c r="AR33" s="189"/>
      <c r="AS33" s="189"/>
      <c r="AT33" s="189"/>
      <c r="AU33" s="189"/>
      <c r="AV33" s="189"/>
      <c r="AW33" s="189"/>
      <c r="AX33" s="188"/>
    </row>
  </sheetData>
  <sheetProtection algorithmName="SHA-512" hashValue="tkulW6r+KFQJNnbi5Rjfr2rqqQAsy61Uufj7kOI87MRq1YNcvXY30+I28diplHvPqVI7lWcB6wlbBsSJHyzIbA==" saltValue="t6oUWYP2bK7bIUHHl7RHqQ==" spinCount="100000" sheet="1" objects="1" scenarios="1"/>
  <mergeCells count="118">
    <mergeCell ref="BA29:BA30"/>
    <mergeCell ref="B31:B32"/>
    <mergeCell ref="B33:C33"/>
    <mergeCell ref="B29:B30"/>
    <mergeCell ref="K29:K30"/>
    <mergeCell ref="S29:S30"/>
    <mergeCell ref="AA29:AA30"/>
    <mergeCell ref="AI29:AI30"/>
    <mergeCell ref="AQ29:AQ30"/>
    <mergeCell ref="K31:K32"/>
    <mergeCell ref="S31:S32"/>
    <mergeCell ref="AA31:AA32"/>
    <mergeCell ref="AI31:AI32"/>
    <mergeCell ref="AQ31:AQ32"/>
    <mergeCell ref="AY31:AY32"/>
    <mergeCell ref="BA31:BA32"/>
    <mergeCell ref="AY27:AY28"/>
    <mergeCell ref="AY29:AY30"/>
    <mergeCell ref="B25:B26"/>
    <mergeCell ref="K25:K26"/>
    <mergeCell ref="S25:S26"/>
    <mergeCell ref="AA25:AA26"/>
    <mergeCell ref="AI25:AI26"/>
    <mergeCell ref="AQ25:AQ26"/>
    <mergeCell ref="AY25:AY26"/>
    <mergeCell ref="BA25:BA26"/>
    <mergeCell ref="B27:B28"/>
    <mergeCell ref="K27:K28"/>
    <mergeCell ref="S27:S28"/>
    <mergeCell ref="AA27:AA28"/>
    <mergeCell ref="AI27:AI28"/>
    <mergeCell ref="AQ27:AQ28"/>
    <mergeCell ref="BA27:BA28"/>
    <mergeCell ref="B21:B22"/>
    <mergeCell ref="K21:K22"/>
    <mergeCell ref="S21:S22"/>
    <mergeCell ref="AA21:AA22"/>
    <mergeCell ref="AI21:AI22"/>
    <mergeCell ref="AQ21:AQ22"/>
    <mergeCell ref="AY21:AY22"/>
    <mergeCell ref="BA21:BA22"/>
    <mergeCell ref="B23:B24"/>
    <mergeCell ref="K23:K24"/>
    <mergeCell ref="S23:S24"/>
    <mergeCell ref="AA23:AA24"/>
    <mergeCell ref="AI23:AI24"/>
    <mergeCell ref="AQ23:AQ24"/>
    <mergeCell ref="AY23:AY24"/>
    <mergeCell ref="BA23:BA24"/>
    <mergeCell ref="B17:B18"/>
    <mergeCell ref="K17:K18"/>
    <mergeCell ref="S17:S18"/>
    <mergeCell ref="AA17:AA18"/>
    <mergeCell ref="AI17:AI18"/>
    <mergeCell ref="AQ17:AQ18"/>
    <mergeCell ref="AY17:AY18"/>
    <mergeCell ref="BA17:BA18"/>
    <mergeCell ref="B19:B20"/>
    <mergeCell ref="K19:K20"/>
    <mergeCell ref="S19:S20"/>
    <mergeCell ref="AA19:AA20"/>
    <mergeCell ref="AI19:AI20"/>
    <mergeCell ref="AQ19:AQ20"/>
    <mergeCell ref="AY19:AY20"/>
    <mergeCell ref="BA19:BA20"/>
    <mergeCell ref="B13:B14"/>
    <mergeCell ref="K13:K14"/>
    <mergeCell ref="S13:S14"/>
    <mergeCell ref="AA13:AA14"/>
    <mergeCell ref="AI13:AI14"/>
    <mergeCell ref="AQ13:AQ14"/>
    <mergeCell ref="AY13:AY14"/>
    <mergeCell ref="BA13:BA14"/>
    <mergeCell ref="B15:B16"/>
    <mergeCell ref="K15:K16"/>
    <mergeCell ref="S15:S16"/>
    <mergeCell ref="AA15:AA16"/>
    <mergeCell ref="AI15:AI16"/>
    <mergeCell ref="AQ15:AQ16"/>
    <mergeCell ref="AY15:AY16"/>
    <mergeCell ref="BA15:BA16"/>
    <mergeCell ref="B9:B10"/>
    <mergeCell ref="K9:K10"/>
    <mergeCell ref="S9:S10"/>
    <mergeCell ref="AA9:AA10"/>
    <mergeCell ref="AI9:AI10"/>
    <mergeCell ref="AQ9:AQ10"/>
    <mergeCell ref="AY9:AY10"/>
    <mergeCell ref="BA9:BA10"/>
    <mergeCell ref="B11:B12"/>
    <mergeCell ref="K11:K12"/>
    <mergeCell ref="S11:S12"/>
    <mergeCell ref="AA11:AA12"/>
    <mergeCell ref="AI11:AI12"/>
    <mergeCell ref="AQ11:AQ12"/>
    <mergeCell ref="AY11:AY12"/>
    <mergeCell ref="BA11:BA12"/>
    <mergeCell ref="AR5:AY5"/>
    <mergeCell ref="BA5:BA6"/>
    <mergeCell ref="BB5:BB6"/>
    <mergeCell ref="BC5:BC6"/>
    <mergeCell ref="B7:B8"/>
    <mergeCell ref="K7:K8"/>
    <mergeCell ref="S7:S8"/>
    <mergeCell ref="AA7:AA8"/>
    <mergeCell ref="AI7:AI8"/>
    <mergeCell ref="AQ7:AQ8"/>
    <mergeCell ref="AY7:AY8"/>
    <mergeCell ref="BA7:BA8"/>
    <mergeCell ref="A1:D2"/>
    <mergeCell ref="B5:C6"/>
    <mergeCell ref="D5:K5"/>
    <mergeCell ref="L5:S5"/>
    <mergeCell ref="T5:Z5"/>
    <mergeCell ref="AB5:AI5"/>
    <mergeCell ref="AI1:AQ1"/>
    <mergeCell ref="F1:X2"/>
    <mergeCell ref="AJ5:AQ5"/>
  </mergeCells>
  <phoneticPr fontId="3"/>
  <pageMargins left="0.7" right="0.7" top="0.75" bottom="0.75" header="0.3" footer="0.3"/>
  <pageSetup paperSize="9" scale="22"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C000"/>
    <pageSetUpPr fitToPage="1"/>
  </sheetPr>
  <dimension ref="A1:BC33"/>
  <sheetViews>
    <sheetView view="pageBreakPreview" zoomScale="80" zoomScaleNormal="100" zoomScaleSheetLayoutView="80" workbookViewId="0">
      <selection activeCell="D7" sqref="D7"/>
    </sheetView>
  </sheetViews>
  <sheetFormatPr defaultRowHeight="13.5"/>
  <cols>
    <col min="2" max="2" width="6.5" bestFit="1" customWidth="1"/>
    <col min="3" max="3" width="6.5" customWidth="1"/>
    <col min="4" max="4" width="7.75" bestFit="1" customWidth="1"/>
    <col min="5" max="5" width="7.75" customWidth="1"/>
    <col min="6" max="7" width="7.875" bestFit="1" customWidth="1"/>
    <col min="8" max="8" width="8.875" bestFit="1" customWidth="1"/>
    <col min="9" max="9" width="7.625" bestFit="1" customWidth="1"/>
    <col min="10" max="11" width="7.625" customWidth="1"/>
    <col min="12" max="12" width="7.75" bestFit="1" customWidth="1"/>
    <col min="13" max="13" width="7" customWidth="1"/>
    <col min="14" max="14" width="7.75" bestFit="1" customWidth="1"/>
    <col min="15" max="15" width="7.625" bestFit="1" customWidth="1"/>
    <col min="16" max="16" width="8.75" bestFit="1" customWidth="1"/>
    <col min="17" max="17" width="7.625" bestFit="1" customWidth="1"/>
    <col min="18" max="19" width="7.25" customWidth="1"/>
    <col min="20" max="20" width="7.75" bestFit="1" customWidth="1"/>
    <col min="21" max="21" width="7.625" bestFit="1" customWidth="1"/>
    <col min="22" max="22" width="7.75" bestFit="1" customWidth="1"/>
    <col min="23" max="23" width="7.625" bestFit="1" customWidth="1"/>
    <col min="24" max="24" width="8.75" bestFit="1" customWidth="1"/>
    <col min="25" max="25" width="7.625" bestFit="1" customWidth="1"/>
    <col min="26" max="27" width="7.125" customWidth="1"/>
    <col min="28" max="35" width="7.5" customWidth="1"/>
    <col min="36" max="43" width="8" customWidth="1"/>
    <col min="44" max="50" width="7.5" customWidth="1"/>
    <col min="52" max="52" width="1.125" customWidth="1"/>
  </cols>
  <sheetData>
    <row r="1" spans="1:55">
      <c r="A1" s="857" t="s">
        <v>234</v>
      </c>
      <c r="B1" s="858"/>
      <c r="C1" s="858"/>
      <c r="D1" s="859"/>
      <c r="F1" s="873" t="s">
        <v>233</v>
      </c>
      <c r="G1" s="873"/>
      <c r="H1" s="873"/>
      <c r="I1" s="873"/>
      <c r="J1" s="873"/>
      <c r="K1" s="873"/>
      <c r="L1" s="873"/>
      <c r="M1" s="873"/>
      <c r="N1" s="873"/>
      <c r="O1" s="873"/>
      <c r="P1" s="873"/>
      <c r="Q1" s="873"/>
      <c r="R1" s="873"/>
      <c r="S1" s="873"/>
      <c r="T1" s="873"/>
      <c r="U1" s="873"/>
      <c r="V1" s="873"/>
      <c r="W1" s="873"/>
      <c r="X1" s="873"/>
    </row>
    <row r="2" spans="1:55">
      <c r="A2" s="860"/>
      <c r="B2" s="861"/>
      <c r="C2" s="861"/>
      <c r="D2" s="862"/>
      <c r="F2" s="873"/>
      <c r="G2" s="873"/>
      <c r="H2" s="873"/>
      <c r="I2" s="873"/>
      <c r="J2" s="873"/>
      <c r="K2" s="873"/>
      <c r="L2" s="873"/>
      <c r="M2" s="873"/>
      <c r="N2" s="873"/>
      <c r="O2" s="873"/>
      <c r="P2" s="873"/>
      <c r="Q2" s="873"/>
      <c r="R2" s="873"/>
      <c r="S2" s="873"/>
      <c r="T2" s="873"/>
      <c r="U2" s="873"/>
      <c r="V2" s="873"/>
      <c r="W2" s="873"/>
      <c r="X2" s="873"/>
    </row>
    <row r="3" spans="1:55">
      <c r="A3" s="142"/>
      <c r="B3" s="142"/>
      <c r="C3" s="142"/>
      <c r="D3" s="142"/>
      <c r="BB3" t="e">
        <v>#DIV/0!</v>
      </c>
    </row>
    <row r="4" spans="1:55">
      <c r="D4" s="143">
        <f>ROUND((8.5-8)/8,3)</f>
        <v>6.3E-2</v>
      </c>
      <c r="E4" s="143">
        <f>ROUND((9-8)/8,3)</f>
        <v>0.125</v>
      </c>
      <c r="F4" s="143">
        <f>ROUND((9.5-8)/8,3)</f>
        <v>0.188</v>
      </c>
      <c r="G4" s="143">
        <f>ROUND((10-8)/8,3)</f>
        <v>0.25</v>
      </c>
      <c r="H4" s="143">
        <f>ROUND((10.5-8)/8,3)</f>
        <v>0.313</v>
      </c>
      <c r="I4" s="143">
        <f>ROUND((11-8)/8,3)</f>
        <v>0.375</v>
      </c>
      <c r="L4" s="143">
        <f>ROUND((8.5-8)/8,3)</f>
        <v>6.3E-2</v>
      </c>
      <c r="M4" s="143">
        <f>ROUND((9-8)/8,3)</f>
        <v>0.125</v>
      </c>
      <c r="N4" s="143">
        <f>ROUND((9.5-8)/8,3)</f>
        <v>0.188</v>
      </c>
      <c r="O4" s="143">
        <f>ROUND((10-8)/8,3)</f>
        <v>0.25</v>
      </c>
      <c r="P4" s="143">
        <f>ROUND((10.5-8)/8,3)</f>
        <v>0.313</v>
      </c>
      <c r="Q4" s="143">
        <f>ROUND((11-8)/8,3)</f>
        <v>0.375</v>
      </c>
      <c r="T4" s="143">
        <f>ROUND((8.5-8)/8,3)</f>
        <v>6.3E-2</v>
      </c>
      <c r="U4" s="143">
        <f>ROUND((9-8)/8,3)</f>
        <v>0.125</v>
      </c>
      <c r="V4" s="143">
        <f>ROUND((9.5-8)/8,3)</f>
        <v>0.188</v>
      </c>
      <c r="W4" s="143">
        <f>ROUND((10-8)/8,3)</f>
        <v>0.25</v>
      </c>
      <c r="X4" s="143">
        <f>ROUND((10.5-8)/8,3)</f>
        <v>0.313</v>
      </c>
      <c r="Y4" s="143">
        <f>ROUND((11-8)/8,3)</f>
        <v>0.375</v>
      </c>
      <c r="AB4" s="143">
        <f>ROUND((8.5-8)/8,3)</f>
        <v>6.3E-2</v>
      </c>
      <c r="AC4" s="143">
        <f>ROUND((9-8)/8,3)</f>
        <v>0.125</v>
      </c>
      <c r="AD4" s="143">
        <f>ROUND((9.5-8)/8,3)</f>
        <v>0.188</v>
      </c>
      <c r="AE4" s="143">
        <f>ROUND((10-8)/8,3)</f>
        <v>0.25</v>
      </c>
      <c r="AF4" s="143">
        <f>ROUND((10.5-8)/8,3)</f>
        <v>0.313</v>
      </c>
      <c r="AG4" s="143">
        <f>ROUND((11-8)/8,3)</f>
        <v>0.375</v>
      </c>
      <c r="AJ4" s="143">
        <f>ROUND((8.5-8)/8,3)</f>
        <v>6.3E-2</v>
      </c>
      <c r="AK4" s="143">
        <f>ROUND((9-8)/8,3)</f>
        <v>0.125</v>
      </c>
      <c r="AL4" s="143">
        <f>ROUND((9.5-8)/8,3)</f>
        <v>0.188</v>
      </c>
      <c r="AM4" s="143">
        <f>ROUND((10-8)/8,3)</f>
        <v>0.25</v>
      </c>
      <c r="AN4" s="143">
        <f>ROUND((10.5-8)/8,3)</f>
        <v>0.313</v>
      </c>
      <c r="AO4" s="143">
        <f>ROUND((11-8)/8,3)</f>
        <v>0.375</v>
      </c>
      <c r="AR4" s="143">
        <f>ROUND((8.5-8)/8,3)</f>
        <v>6.3E-2</v>
      </c>
      <c r="AS4" s="143">
        <f>ROUND((9-8)/8,3)</f>
        <v>0.125</v>
      </c>
      <c r="AT4" s="143">
        <f>ROUND((9.5-8)/8,3)</f>
        <v>0.188</v>
      </c>
      <c r="AU4" s="143">
        <f>ROUND((10-8)/8,3)</f>
        <v>0.25</v>
      </c>
      <c r="AV4" s="143">
        <f>ROUND((10.5-8)/8,3)</f>
        <v>0.313</v>
      </c>
      <c r="AW4" s="143">
        <f>ROUND((11-8)/8,3)</f>
        <v>0.375</v>
      </c>
    </row>
    <row r="5" spans="1:55" ht="20.25" customHeight="1">
      <c r="B5" s="863"/>
      <c r="C5" s="864"/>
      <c r="D5" s="867" t="s">
        <v>123</v>
      </c>
      <c r="E5" s="868"/>
      <c r="F5" s="868"/>
      <c r="G5" s="868"/>
      <c r="H5" s="868"/>
      <c r="I5" s="868"/>
      <c r="J5" s="868"/>
      <c r="K5" s="869"/>
      <c r="L5" s="870" t="s">
        <v>124</v>
      </c>
      <c r="M5" s="868"/>
      <c r="N5" s="868"/>
      <c r="O5" s="868"/>
      <c r="P5" s="868"/>
      <c r="Q5" s="868"/>
      <c r="R5" s="868"/>
      <c r="S5" s="869"/>
      <c r="T5" s="871" t="s">
        <v>125</v>
      </c>
      <c r="U5" s="599"/>
      <c r="V5" s="599"/>
      <c r="W5" s="599"/>
      <c r="X5" s="599"/>
      <c r="Y5" s="599"/>
      <c r="Z5" s="867"/>
      <c r="AA5" s="146"/>
      <c r="AB5" s="870" t="s">
        <v>126</v>
      </c>
      <c r="AC5" s="868"/>
      <c r="AD5" s="868"/>
      <c r="AE5" s="868"/>
      <c r="AF5" s="868"/>
      <c r="AG5" s="868"/>
      <c r="AH5" s="868"/>
      <c r="AI5" s="868"/>
      <c r="AJ5" s="868" t="s">
        <v>127</v>
      </c>
      <c r="AK5" s="868"/>
      <c r="AL5" s="868"/>
      <c r="AM5" s="868"/>
      <c r="AN5" s="868"/>
      <c r="AO5" s="868"/>
      <c r="AP5" s="868"/>
      <c r="AQ5" s="869"/>
      <c r="AR5" s="870" t="s">
        <v>128</v>
      </c>
      <c r="AS5" s="868"/>
      <c r="AT5" s="868"/>
      <c r="AU5" s="868"/>
      <c r="AV5" s="868"/>
      <c r="AW5" s="868"/>
      <c r="AX5" s="868"/>
      <c r="AY5" s="869"/>
      <c r="BB5" s="875" t="s">
        <v>130</v>
      </c>
      <c r="BC5" s="875" t="s">
        <v>131</v>
      </c>
    </row>
    <row r="6" spans="1:55" ht="16.5" customHeight="1">
      <c r="B6" s="865"/>
      <c r="C6" s="866"/>
      <c r="D6" s="139" t="s">
        <v>132</v>
      </c>
      <c r="E6" s="139" t="s">
        <v>133</v>
      </c>
      <c r="F6" s="139" t="s">
        <v>134</v>
      </c>
      <c r="G6" s="139" t="s">
        <v>135</v>
      </c>
      <c r="H6" s="139" t="s">
        <v>136</v>
      </c>
      <c r="I6" s="139" t="s">
        <v>137</v>
      </c>
      <c r="J6" s="144" t="s">
        <v>138</v>
      </c>
      <c r="K6" s="147" t="s">
        <v>139</v>
      </c>
      <c r="L6" s="148" t="s">
        <v>132</v>
      </c>
      <c r="M6" s="139" t="s">
        <v>133</v>
      </c>
      <c r="N6" s="139" t="s">
        <v>134</v>
      </c>
      <c r="O6" s="139" t="s">
        <v>135</v>
      </c>
      <c r="P6" s="139" t="s">
        <v>136</v>
      </c>
      <c r="Q6" s="139" t="s">
        <v>137</v>
      </c>
      <c r="R6" s="144" t="s">
        <v>138</v>
      </c>
      <c r="S6" s="147" t="s">
        <v>139</v>
      </c>
      <c r="T6" s="145" t="s">
        <v>132</v>
      </c>
      <c r="U6" s="139" t="s">
        <v>133</v>
      </c>
      <c r="V6" s="139" t="s">
        <v>134</v>
      </c>
      <c r="W6" s="139" t="s">
        <v>135</v>
      </c>
      <c r="X6" s="139" t="s">
        <v>136</v>
      </c>
      <c r="Y6" s="139" t="s">
        <v>137</v>
      </c>
      <c r="Z6" s="144" t="s">
        <v>138</v>
      </c>
      <c r="AA6" s="147" t="s">
        <v>139</v>
      </c>
      <c r="AB6" s="148" t="s">
        <v>132</v>
      </c>
      <c r="AC6" s="139" t="s">
        <v>133</v>
      </c>
      <c r="AD6" s="139" t="s">
        <v>134</v>
      </c>
      <c r="AE6" s="139" t="s">
        <v>135</v>
      </c>
      <c r="AF6" s="139" t="s">
        <v>136</v>
      </c>
      <c r="AG6" s="139" t="s">
        <v>137</v>
      </c>
      <c r="AH6" s="144" t="s">
        <v>138</v>
      </c>
      <c r="AI6" s="147" t="s">
        <v>139</v>
      </c>
      <c r="AJ6" s="145" t="s">
        <v>132</v>
      </c>
      <c r="AK6" s="139" t="s">
        <v>133</v>
      </c>
      <c r="AL6" s="139" t="s">
        <v>134</v>
      </c>
      <c r="AM6" s="139" t="s">
        <v>135</v>
      </c>
      <c r="AN6" s="139" t="s">
        <v>136</v>
      </c>
      <c r="AO6" s="139" t="s">
        <v>137</v>
      </c>
      <c r="AP6" s="144" t="s">
        <v>138</v>
      </c>
      <c r="AQ6" s="147" t="s">
        <v>139</v>
      </c>
      <c r="AR6" s="149" t="s">
        <v>132</v>
      </c>
      <c r="AS6" s="150" t="s">
        <v>133</v>
      </c>
      <c r="AT6" s="150" t="s">
        <v>134</v>
      </c>
      <c r="AU6" s="150" t="s">
        <v>135</v>
      </c>
      <c r="AV6" s="150" t="s">
        <v>136</v>
      </c>
      <c r="AW6" s="150" t="s">
        <v>137</v>
      </c>
      <c r="AX6" s="150" t="s">
        <v>138</v>
      </c>
      <c r="AY6" s="147" t="s">
        <v>139</v>
      </c>
      <c r="BB6" s="875"/>
      <c r="BC6" s="875"/>
    </row>
    <row r="7" spans="1:55" ht="18.75" customHeight="1">
      <c r="B7" s="876" t="s">
        <v>11</v>
      </c>
      <c r="C7" s="151" t="s">
        <v>140</v>
      </c>
      <c r="D7" s="185"/>
      <c r="E7" s="185"/>
      <c r="F7" s="185"/>
      <c r="G7" s="185"/>
      <c r="H7" s="185"/>
      <c r="I7" s="185"/>
      <c r="J7" s="152">
        <f>SUM(D7:I7)</f>
        <v>0</v>
      </c>
      <c r="K7" s="878">
        <f>IFERROR(ROUND(J8/3*J7,2),0)</f>
        <v>0</v>
      </c>
      <c r="L7" s="185"/>
      <c r="M7" s="185"/>
      <c r="N7" s="185"/>
      <c r="O7" s="185"/>
      <c r="P7" s="185"/>
      <c r="Q7" s="185"/>
      <c r="R7" s="153">
        <f>SUM(L7:Q7)</f>
        <v>0</v>
      </c>
      <c r="S7" s="878">
        <f>IFERROR(ROUND(R8/5*R7,2),0)</f>
        <v>0</v>
      </c>
      <c r="T7" s="185"/>
      <c r="U7" s="185"/>
      <c r="V7" s="185"/>
      <c r="W7" s="185"/>
      <c r="X7" s="185"/>
      <c r="Y7" s="185"/>
      <c r="Z7" s="152">
        <f>SUM(T7:Y7)</f>
        <v>0</v>
      </c>
      <c r="AA7" s="878">
        <f>IFERROR(ROUND(Z8/6*Z7,2),0)</f>
        <v>0</v>
      </c>
      <c r="AB7" s="185"/>
      <c r="AC7" s="185"/>
      <c r="AD7" s="185"/>
      <c r="AE7" s="185"/>
      <c r="AF7" s="185"/>
      <c r="AG7" s="185"/>
      <c r="AH7" s="152">
        <f>SUM(AB7:AG7)</f>
        <v>0</v>
      </c>
      <c r="AI7" s="878">
        <f>IFERROR(ROUND(AH8/15*AH7,2),0)</f>
        <v>0</v>
      </c>
      <c r="AJ7" s="185"/>
      <c r="AK7" s="185"/>
      <c r="AL7" s="185"/>
      <c r="AM7" s="185"/>
      <c r="AN7" s="185"/>
      <c r="AO7" s="185"/>
      <c r="AP7" s="152">
        <f>SUM(AJ7:AO7)</f>
        <v>0</v>
      </c>
      <c r="AQ7" s="878">
        <f>IFERROR(ROUND(AP8/20*AP7,2),0)</f>
        <v>0</v>
      </c>
      <c r="AR7" s="185"/>
      <c r="AS7" s="185"/>
      <c r="AT7" s="185"/>
      <c r="AU7" s="185"/>
      <c r="AV7" s="185"/>
      <c r="AW7" s="185"/>
      <c r="AX7" s="154">
        <f>SUM(AR7:AW7)</f>
        <v>0</v>
      </c>
      <c r="AY7" s="878">
        <f>IFERROR(ROUND(AX8/25*AX7,2),0)</f>
        <v>0</v>
      </c>
      <c r="BA7" s="880">
        <f>ROUND(AY7+AQ7+AI7+AA7+S7+K7,1)</f>
        <v>0</v>
      </c>
      <c r="BB7" s="138" t="str">
        <f>IF(J7+R7=0,"×","○")</f>
        <v>×</v>
      </c>
      <c r="BC7" s="155">
        <f>SUM(J7,R7,Z7,AH7,AP7,AX7)</f>
        <v>0</v>
      </c>
    </row>
    <row r="8" spans="1:55" ht="18.75" customHeight="1">
      <c r="B8" s="877"/>
      <c r="C8" s="156" t="s">
        <v>141</v>
      </c>
      <c r="D8" s="157">
        <f t="shared" ref="D8:I8" si="0">D$4*D7</f>
        <v>0</v>
      </c>
      <c r="E8" s="157">
        <f t="shared" si="0"/>
        <v>0</v>
      </c>
      <c r="F8" s="157">
        <f t="shared" si="0"/>
        <v>0</v>
      </c>
      <c r="G8" s="157">
        <f>G$4*G7</f>
        <v>0</v>
      </c>
      <c r="H8" s="157">
        <f t="shared" si="0"/>
        <v>0</v>
      </c>
      <c r="I8" s="157">
        <f t="shared" si="0"/>
        <v>0</v>
      </c>
      <c r="J8" s="158">
        <f>IFERROR(ROUND(SUM(D8:I8)/J7,3),0)</f>
        <v>0</v>
      </c>
      <c r="K8" s="879"/>
      <c r="L8" s="159">
        <f t="shared" ref="L8:Q8" si="1">L$4*L7</f>
        <v>0</v>
      </c>
      <c r="M8" s="157">
        <f t="shared" si="1"/>
        <v>0</v>
      </c>
      <c r="N8" s="157">
        <f t="shared" si="1"/>
        <v>0</v>
      </c>
      <c r="O8" s="157">
        <f t="shared" si="1"/>
        <v>0</v>
      </c>
      <c r="P8" s="157">
        <f t="shared" si="1"/>
        <v>0</v>
      </c>
      <c r="Q8" s="157">
        <f t="shared" si="1"/>
        <v>0</v>
      </c>
      <c r="R8" s="158">
        <f>IFERROR(ROUND(SUM(L8:Q8)/R7,3),0)</f>
        <v>0</v>
      </c>
      <c r="S8" s="879"/>
      <c r="T8" s="160">
        <f t="shared" ref="T8:Y8" si="2">T$4*T7</f>
        <v>0</v>
      </c>
      <c r="U8" s="157">
        <f t="shared" si="2"/>
        <v>0</v>
      </c>
      <c r="V8" s="157">
        <f t="shared" si="2"/>
        <v>0</v>
      </c>
      <c r="W8" s="157">
        <f t="shared" si="2"/>
        <v>0</v>
      </c>
      <c r="X8" s="157">
        <f t="shared" si="2"/>
        <v>0</v>
      </c>
      <c r="Y8" s="157">
        <f t="shared" si="2"/>
        <v>0</v>
      </c>
      <c r="Z8" s="158">
        <f>IFERROR(ROUND(SUM(T8:Y8)/Z7,3),0)</f>
        <v>0</v>
      </c>
      <c r="AA8" s="879"/>
      <c r="AB8" s="159">
        <f t="shared" ref="AB8:AG8" si="3">AB$4*AB7</f>
        <v>0</v>
      </c>
      <c r="AC8" s="157">
        <f t="shared" si="3"/>
        <v>0</v>
      </c>
      <c r="AD8" s="157">
        <f t="shared" si="3"/>
        <v>0</v>
      </c>
      <c r="AE8" s="157">
        <f t="shared" si="3"/>
        <v>0</v>
      </c>
      <c r="AF8" s="157">
        <f t="shared" si="3"/>
        <v>0</v>
      </c>
      <c r="AG8" s="157">
        <f t="shared" si="3"/>
        <v>0</v>
      </c>
      <c r="AH8" s="158">
        <f>IFERROR(ROUND(SUM(AB8:AG8)/AH7,3),0)</f>
        <v>0</v>
      </c>
      <c r="AI8" s="879"/>
      <c r="AJ8" s="160">
        <f t="shared" ref="AJ8:AO8" si="4">AJ$4*AJ7</f>
        <v>0</v>
      </c>
      <c r="AK8" s="157">
        <f t="shared" si="4"/>
        <v>0</v>
      </c>
      <c r="AL8" s="157">
        <f t="shared" si="4"/>
        <v>0</v>
      </c>
      <c r="AM8" s="157">
        <f t="shared" si="4"/>
        <v>0</v>
      </c>
      <c r="AN8" s="157">
        <f t="shared" si="4"/>
        <v>0</v>
      </c>
      <c r="AO8" s="157">
        <f t="shared" si="4"/>
        <v>0</v>
      </c>
      <c r="AP8" s="158">
        <f>IFERROR(ROUND(SUM(AJ8:AO8)/AP7,3),0)</f>
        <v>0</v>
      </c>
      <c r="AQ8" s="879"/>
      <c r="AR8" s="159">
        <f t="shared" ref="AR8:AW8" si="5">AR$4*AR7</f>
        <v>0</v>
      </c>
      <c r="AS8" s="157">
        <f t="shared" si="5"/>
        <v>0</v>
      </c>
      <c r="AT8" s="157">
        <f t="shared" si="5"/>
        <v>0</v>
      </c>
      <c r="AU8" s="157">
        <f t="shared" si="5"/>
        <v>0</v>
      </c>
      <c r="AV8" s="157">
        <f t="shared" si="5"/>
        <v>0</v>
      </c>
      <c r="AW8" s="157">
        <f t="shared" si="5"/>
        <v>0</v>
      </c>
      <c r="AX8" s="157">
        <f>IFERROR(ROUND(SUM(AR8:AW8)/AX7,3),0)</f>
        <v>0</v>
      </c>
      <c r="AY8" s="879"/>
      <c r="BA8" s="880"/>
      <c r="BB8" s="138"/>
      <c r="BC8" s="161"/>
    </row>
    <row r="9" spans="1:55" ht="18.75" customHeight="1">
      <c r="B9" s="876" t="s">
        <v>142</v>
      </c>
      <c r="C9" s="151" t="s">
        <v>140</v>
      </c>
      <c r="D9" s="185"/>
      <c r="E9" s="185"/>
      <c r="F9" s="185"/>
      <c r="G9" s="185"/>
      <c r="H9" s="185"/>
      <c r="I9" s="185"/>
      <c r="J9" s="153">
        <f>SUM(D9:I9)</f>
        <v>0</v>
      </c>
      <c r="K9" s="878">
        <f>ROUND(J10/3*J9,2)</f>
        <v>0</v>
      </c>
      <c r="L9" s="185"/>
      <c r="M9" s="185"/>
      <c r="N9" s="185"/>
      <c r="O9" s="185"/>
      <c r="P9" s="185"/>
      <c r="Q9" s="185"/>
      <c r="R9" s="153">
        <f>SUM(L9:Q9)</f>
        <v>0</v>
      </c>
      <c r="S9" s="878">
        <f>ROUND(R10/5*R9,2)</f>
        <v>0</v>
      </c>
      <c r="T9" s="185"/>
      <c r="U9" s="185"/>
      <c r="V9" s="185"/>
      <c r="W9" s="185"/>
      <c r="X9" s="185"/>
      <c r="Y9" s="185"/>
      <c r="Z9" s="153">
        <f>SUM(T9:Y9)</f>
        <v>0</v>
      </c>
      <c r="AA9" s="878">
        <f>ROUND(Z10/6*Z9,2)</f>
        <v>0</v>
      </c>
      <c r="AB9" s="185"/>
      <c r="AC9" s="185"/>
      <c r="AD9" s="185"/>
      <c r="AE9" s="185"/>
      <c r="AF9" s="185"/>
      <c r="AG9" s="185"/>
      <c r="AH9" s="153">
        <f>SUM(AB9:AG9)</f>
        <v>0</v>
      </c>
      <c r="AI9" s="878">
        <f>ROUND(AH10/15*AH9,2)</f>
        <v>0</v>
      </c>
      <c r="AJ9" s="185"/>
      <c r="AK9" s="185"/>
      <c r="AL9" s="185"/>
      <c r="AM9" s="185"/>
      <c r="AN9" s="185"/>
      <c r="AO9" s="185"/>
      <c r="AP9" s="153">
        <f>SUM(AJ9:AO9)</f>
        <v>0</v>
      </c>
      <c r="AQ9" s="878">
        <f>ROUND(AP10/20*AP9,2)</f>
        <v>0</v>
      </c>
      <c r="AR9" s="185"/>
      <c r="AS9" s="185"/>
      <c r="AT9" s="185"/>
      <c r="AU9" s="185"/>
      <c r="AV9" s="185"/>
      <c r="AW9" s="185"/>
      <c r="AX9" s="173">
        <f>SUM(AR9:AW9)</f>
        <v>0</v>
      </c>
      <c r="AY9" s="878">
        <f>ROUND(AX10/25*AX9,2)</f>
        <v>0</v>
      </c>
      <c r="BA9" s="880">
        <f>ROUND(AY9+AQ9+AI9+AA9+S9+K9,1)</f>
        <v>0</v>
      </c>
      <c r="BB9" s="138" t="str">
        <f>IF(J9+R9=0,"×","○")</f>
        <v>×</v>
      </c>
      <c r="BC9" s="155">
        <f>SUM(J9,R9,Z9,AH9,AP9,AX9)</f>
        <v>0</v>
      </c>
    </row>
    <row r="10" spans="1:55" ht="18.75" customHeight="1">
      <c r="B10" s="877"/>
      <c r="C10" s="162" t="s">
        <v>141</v>
      </c>
      <c r="D10" s="157">
        <f t="shared" ref="D10:I10" si="6">D$4*D9</f>
        <v>0</v>
      </c>
      <c r="E10" s="157">
        <f t="shared" si="6"/>
        <v>0</v>
      </c>
      <c r="F10" s="157">
        <f t="shared" si="6"/>
        <v>0</v>
      </c>
      <c r="G10" s="157">
        <f t="shared" si="6"/>
        <v>0</v>
      </c>
      <c r="H10" s="157">
        <f t="shared" si="6"/>
        <v>0</v>
      </c>
      <c r="I10" s="157">
        <f t="shared" si="6"/>
        <v>0</v>
      </c>
      <c r="J10" s="158">
        <f>IFERROR(ROUND(SUM(D10:I10)/J9,3),0)</f>
        <v>0</v>
      </c>
      <c r="K10" s="879"/>
      <c r="L10" s="159">
        <f t="shared" ref="L10:Q10" si="7">L$4*L9</f>
        <v>0</v>
      </c>
      <c r="M10" s="157">
        <f t="shared" si="7"/>
        <v>0</v>
      </c>
      <c r="N10" s="157">
        <f t="shared" si="7"/>
        <v>0</v>
      </c>
      <c r="O10" s="157">
        <f t="shared" si="7"/>
        <v>0</v>
      </c>
      <c r="P10" s="157">
        <f t="shared" si="7"/>
        <v>0</v>
      </c>
      <c r="Q10" s="157">
        <f t="shared" si="7"/>
        <v>0</v>
      </c>
      <c r="R10" s="158">
        <f>IFERROR(ROUND(SUM(L10:Q10)/R9,3),0)</f>
        <v>0</v>
      </c>
      <c r="S10" s="879"/>
      <c r="T10" s="160">
        <f t="shared" ref="T10:Y10" si="8">T$4*T9</f>
        <v>0</v>
      </c>
      <c r="U10" s="157">
        <f t="shared" si="8"/>
        <v>0</v>
      </c>
      <c r="V10" s="157">
        <f t="shared" si="8"/>
        <v>0</v>
      </c>
      <c r="W10" s="157">
        <f t="shared" si="8"/>
        <v>0</v>
      </c>
      <c r="X10" s="157">
        <f t="shared" si="8"/>
        <v>0</v>
      </c>
      <c r="Y10" s="157">
        <f t="shared" si="8"/>
        <v>0</v>
      </c>
      <c r="Z10" s="158">
        <f>IFERROR(ROUND(SUM(T10:Y10)/Z9,3),0)</f>
        <v>0</v>
      </c>
      <c r="AA10" s="879"/>
      <c r="AB10" s="159">
        <f t="shared" ref="AB10:AG10" si="9">AB$4*AB9</f>
        <v>0</v>
      </c>
      <c r="AC10" s="157">
        <f t="shared" si="9"/>
        <v>0</v>
      </c>
      <c r="AD10" s="157">
        <f t="shared" si="9"/>
        <v>0</v>
      </c>
      <c r="AE10" s="157">
        <f t="shared" si="9"/>
        <v>0</v>
      </c>
      <c r="AF10" s="157">
        <f t="shared" si="9"/>
        <v>0</v>
      </c>
      <c r="AG10" s="157">
        <f t="shared" si="9"/>
        <v>0</v>
      </c>
      <c r="AH10" s="158">
        <f>IFERROR(ROUND(SUM(AB10:AG10)/AH9,3),0)</f>
        <v>0</v>
      </c>
      <c r="AI10" s="879"/>
      <c r="AJ10" s="160">
        <f t="shared" ref="AJ10:AO10" si="10">AJ$4*AJ9</f>
        <v>0</v>
      </c>
      <c r="AK10" s="157">
        <f t="shared" si="10"/>
        <v>0</v>
      </c>
      <c r="AL10" s="157">
        <f t="shared" si="10"/>
        <v>0</v>
      </c>
      <c r="AM10" s="157">
        <f t="shared" si="10"/>
        <v>0</v>
      </c>
      <c r="AN10" s="157">
        <f t="shared" si="10"/>
        <v>0</v>
      </c>
      <c r="AO10" s="157">
        <f t="shared" si="10"/>
        <v>0</v>
      </c>
      <c r="AP10" s="158">
        <f>IFERROR(ROUND(SUM(AJ10:AO10)/AP9,3),0)</f>
        <v>0</v>
      </c>
      <c r="AQ10" s="879"/>
      <c r="AR10" s="159">
        <f t="shared" ref="AR10:AW10" si="11">AR$4*AR9</f>
        <v>0</v>
      </c>
      <c r="AS10" s="157">
        <f t="shared" si="11"/>
        <v>0</v>
      </c>
      <c r="AT10" s="157">
        <f t="shared" si="11"/>
        <v>0</v>
      </c>
      <c r="AU10" s="157">
        <f t="shared" si="11"/>
        <v>0</v>
      </c>
      <c r="AV10" s="157">
        <f t="shared" si="11"/>
        <v>0</v>
      </c>
      <c r="AW10" s="157">
        <f t="shared" si="11"/>
        <v>0</v>
      </c>
      <c r="AX10" s="157">
        <f>IFERROR(ROUND(SUM(AR10:AW10)/AX9,3),0)</f>
        <v>0</v>
      </c>
      <c r="AY10" s="879"/>
      <c r="BA10" s="880"/>
      <c r="BB10" s="138"/>
      <c r="BC10" s="161"/>
    </row>
    <row r="11" spans="1:55" ht="18.75" customHeight="1">
      <c r="B11" s="876" t="s">
        <v>143</v>
      </c>
      <c r="C11" s="151" t="s">
        <v>140</v>
      </c>
      <c r="D11" s="185"/>
      <c r="E11" s="185"/>
      <c r="F11" s="185"/>
      <c r="G11" s="185"/>
      <c r="H11" s="185"/>
      <c r="I11" s="185"/>
      <c r="J11" s="152">
        <f>SUM(D11:I11)</f>
        <v>0</v>
      </c>
      <c r="K11" s="878">
        <f>ROUND(J12/3*J11,2)</f>
        <v>0</v>
      </c>
      <c r="L11" s="185"/>
      <c r="M11" s="185"/>
      <c r="N11" s="185"/>
      <c r="O11" s="185"/>
      <c r="P11" s="185"/>
      <c r="Q11" s="185"/>
      <c r="R11" s="152">
        <f>SUM(L11:Q11)</f>
        <v>0</v>
      </c>
      <c r="S11" s="878">
        <f>ROUND(R12/5*R11,2)</f>
        <v>0</v>
      </c>
      <c r="T11" s="185"/>
      <c r="U11" s="185"/>
      <c r="V11" s="185"/>
      <c r="W11" s="185"/>
      <c r="X11" s="185"/>
      <c r="Y11" s="185"/>
      <c r="Z11" s="152">
        <f>SUM(T11:Y11)</f>
        <v>0</v>
      </c>
      <c r="AA11" s="878">
        <f>ROUND(Z12/6*Z11,2)</f>
        <v>0</v>
      </c>
      <c r="AB11" s="185"/>
      <c r="AC11" s="185"/>
      <c r="AD11" s="185"/>
      <c r="AE11" s="185"/>
      <c r="AF11" s="185"/>
      <c r="AG11" s="185"/>
      <c r="AH11" s="152">
        <f>SUM(AB11:AG11)</f>
        <v>0</v>
      </c>
      <c r="AI11" s="878">
        <f>ROUND(AH12/15*AH11,2)</f>
        <v>0</v>
      </c>
      <c r="AJ11" s="185"/>
      <c r="AK11" s="185"/>
      <c r="AL11" s="185"/>
      <c r="AM11" s="185"/>
      <c r="AN11" s="185"/>
      <c r="AO11" s="185"/>
      <c r="AP11" s="152">
        <f>SUM(AJ11:AO11)</f>
        <v>0</v>
      </c>
      <c r="AQ11" s="878">
        <f>ROUND(AP12/20*AP11,2)</f>
        <v>0</v>
      </c>
      <c r="AR11" s="185"/>
      <c r="AS11" s="185"/>
      <c r="AT11" s="185"/>
      <c r="AU11" s="185"/>
      <c r="AV11" s="185"/>
      <c r="AW11" s="185"/>
      <c r="AX11" s="154">
        <f>SUM(AR11:AW11)</f>
        <v>0</v>
      </c>
      <c r="AY11" s="878">
        <f>ROUND(AX12/25*AX11,2)</f>
        <v>0</v>
      </c>
      <c r="BA11" s="880">
        <f>ROUND(AY11+AQ11+AI11+AA11+S11+K11,1)</f>
        <v>0</v>
      </c>
      <c r="BB11" s="138" t="str">
        <f>IF(J11+R11=0,"×","○")</f>
        <v>×</v>
      </c>
      <c r="BC11" s="155">
        <f>SUM(J11,R11,Z11,AH11,AP11,AX11)</f>
        <v>0</v>
      </c>
    </row>
    <row r="12" spans="1:55" ht="18.75" customHeight="1">
      <c r="B12" s="877"/>
      <c r="C12" s="156" t="s">
        <v>141</v>
      </c>
      <c r="D12" s="157">
        <f t="shared" ref="D12:I12" si="12">D$4*D11</f>
        <v>0</v>
      </c>
      <c r="E12" s="157">
        <f t="shared" si="12"/>
        <v>0</v>
      </c>
      <c r="F12" s="157">
        <f t="shared" si="12"/>
        <v>0</v>
      </c>
      <c r="G12" s="157">
        <f t="shared" si="12"/>
        <v>0</v>
      </c>
      <c r="H12" s="157">
        <f t="shared" si="12"/>
        <v>0</v>
      </c>
      <c r="I12" s="157">
        <f t="shared" si="12"/>
        <v>0</v>
      </c>
      <c r="J12" s="158">
        <f>IFERROR(ROUND(SUM(D12:I12)/J11,3),0)</f>
        <v>0</v>
      </c>
      <c r="K12" s="879"/>
      <c r="L12" s="159">
        <f t="shared" ref="L12:Q12" si="13">L$4*L11</f>
        <v>0</v>
      </c>
      <c r="M12" s="157">
        <f t="shared" si="13"/>
        <v>0</v>
      </c>
      <c r="N12" s="157">
        <f t="shared" si="13"/>
        <v>0</v>
      </c>
      <c r="O12" s="157">
        <f t="shared" si="13"/>
        <v>0</v>
      </c>
      <c r="P12" s="157">
        <f t="shared" si="13"/>
        <v>0</v>
      </c>
      <c r="Q12" s="157">
        <f t="shared" si="13"/>
        <v>0</v>
      </c>
      <c r="R12" s="158">
        <f>IFERROR(ROUND(SUM(L12:Q12)/R11,3),0)</f>
        <v>0</v>
      </c>
      <c r="S12" s="879"/>
      <c r="T12" s="160">
        <f t="shared" ref="T12:Y12" si="14">T$4*T11</f>
        <v>0</v>
      </c>
      <c r="U12" s="157">
        <f t="shared" si="14"/>
        <v>0</v>
      </c>
      <c r="V12" s="157">
        <f t="shared" si="14"/>
        <v>0</v>
      </c>
      <c r="W12" s="157">
        <f t="shared" si="14"/>
        <v>0</v>
      </c>
      <c r="X12" s="157">
        <f t="shared" si="14"/>
        <v>0</v>
      </c>
      <c r="Y12" s="157">
        <f t="shared" si="14"/>
        <v>0</v>
      </c>
      <c r="Z12" s="158">
        <f>IFERROR(ROUND(SUM(T12:Y12)/Z11,3),0)</f>
        <v>0</v>
      </c>
      <c r="AA12" s="879"/>
      <c r="AB12" s="159">
        <f t="shared" ref="AB12:AG12" si="15">AB$4*AB11</f>
        <v>0</v>
      </c>
      <c r="AC12" s="157">
        <f t="shared" si="15"/>
        <v>0</v>
      </c>
      <c r="AD12" s="157">
        <f t="shared" si="15"/>
        <v>0</v>
      </c>
      <c r="AE12" s="157">
        <f t="shared" si="15"/>
        <v>0</v>
      </c>
      <c r="AF12" s="157">
        <f t="shared" si="15"/>
        <v>0</v>
      </c>
      <c r="AG12" s="157">
        <f t="shared" si="15"/>
        <v>0</v>
      </c>
      <c r="AH12" s="158">
        <f>IFERROR(ROUND(SUM(AB12:AG12)/AH11,3),0)</f>
        <v>0</v>
      </c>
      <c r="AI12" s="879"/>
      <c r="AJ12" s="160">
        <f t="shared" ref="AJ12:AO12" si="16">AJ$4*AJ11</f>
        <v>0</v>
      </c>
      <c r="AK12" s="157">
        <f t="shared" si="16"/>
        <v>0</v>
      </c>
      <c r="AL12" s="157">
        <f t="shared" si="16"/>
        <v>0</v>
      </c>
      <c r="AM12" s="157">
        <f t="shared" si="16"/>
        <v>0</v>
      </c>
      <c r="AN12" s="157">
        <f t="shared" si="16"/>
        <v>0</v>
      </c>
      <c r="AO12" s="157">
        <f t="shared" si="16"/>
        <v>0</v>
      </c>
      <c r="AP12" s="158">
        <f>IFERROR(ROUND(SUM(AJ12:AO12)/AP11,3),0)</f>
        <v>0</v>
      </c>
      <c r="AQ12" s="879"/>
      <c r="AR12" s="159">
        <f t="shared" ref="AR12:AW12" si="17">AR$4*AR11</f>
        <v>0</v>
      </c>
      <c r="AS12" s="157">
        <f t="shared" si="17"/>
        <v>0</v>
      </c>
      <c r="AT12" s="157">
        <f t="shared" si="17"/>
        <v>0</v>
      </c>
      <c r="AU12" s="157">
        <f t="shared" si="17"/>
        <v>0</v>
      </c>
      <c r="AV12" s="157">
        <f t="shared" si="17"/>
        <v>0</v>
      </c>
      <c r="AW12" s="157">
        <f t="shared" si="17"/>
        <v>0</v>
      </c>
      <c r="AX12" s="157">
        <f>IFERROR(ROUND(SUM(AR12:AW12)/AX11,3),0)</f>
        <v>0</v>
      </c>
      <c r="AY12" s="879"/>
      <c r="BA12" s="880"/>
      <c r="BB12" s="138"/>
      <c r="BC12" s="161"/>
    </row>
    <row r="13" spans="1:55" ht="18.75" customHeight="1">
      <c r="B13" s="876" t="s">
        <v>144</v>
      </c>
      <c r="C13" s="151" t="s">
        <v>140</v>
      </c>
      <c r="D13" s="185"/>
      <c r="E13" s="185"/>
      <c r="F13" s="185"/>
      <c r="G13" s="185"/>
      <c r="H13" s="185"/>
      <c r="I13" s="185"/>
      <c r="J13" s="153">
        <f>SUM(D13:I13)</f>
        <v>0</v>
      </c>
      <c r="K13" s="878">
        <f>ROUND(J14/3*J13,2)</f>
        <v>0</v>
      </c>
      <c r="L13" s="185"/>
      <c r="M13" s="185"/>
      <c r="N13" s="185"/>
      <c r="O13" s="185"/>
      <c r="P13" s="185"/>
      <c r="Q13" s="185"/>
      <c r="R13" s="153">
        <f>SUM(L13:Q13)</f>
        <v>0</v>
      </c>
      <c r="S13" s="878">
        <f>ROUND(R14/5*R13,2)</f>
        <v>0</v>
      </c>
      <c r="T13" s="185"/>
      <c r="U13" s="185"/>
      <c r="V13" s="185"/>
      <c r="W13" s="185"/>
      <c r="X13" s="185"/>
      <c r="Y13" s="185"/>
      <c r="Z13" s="153">
        <f>SUM(T13:Y13)</f>
        <v>0</v>
      </c>
      <c r="AA13" s="878">
        <f>ROUND(Z14/6*Z13,2)</f>
        <v>0</v>
      </c>
      <c r="AB13" s="185"/>
      <c r="AC13" s="185"/>
      <c r="AD13" s="185"/>
      <c r="AE13" s="185"/>
      <c r="AF13" s="185"/>
      <c r="AG13" s="185"/>
      <c r="AH13" s="153">
        <f>SUM(AB13:AG13)</f>
        <v>0</v>
      </c>
      <c r="AI13" s="878">
        <f>ROUND(AH14/15*AH13,2)</f>
        <v>0</v>
      </c>
      <c r="AJ13" s="185"/>
      <c r="AK13" s="185"/>
      <c r="AL13" s="185"/>
      <c r="AM13" s="185"/>
      <c r="AN13" s="185"/>
      <c r="AO13" s="185"/>
      <c r="AP13" s="153">
        <f>SUM(AJ13:AO13)</f>
        <v>0</v>
      </c>
      <c r="AQ13" s="878">
        <f>ROUND(AP14/20*AP13,2)</f>
        <v>0</v>
      </c>
      <c r="AR13" s="185"/>
      <c r="AS13" s="185"/>
      <c r="AT13" s="185"/>
      <c r="AU13" s="185"/>
      <c r="AV13" s="185"/>
      <c r="AW13" s="185"/>
      <c r="AX13" s="173">
        <f>SUM(AR13:AW13)</f>
        <v>0</v>
      </c>
      <c r="AY13" s="878">
        <f>ROUND(AX14/25*AX13,2)</f>
        <v>0</v>
      </c>
      <c r="BA13" s="880">
        <f>ROUND(AY13+AQ13+AI13+AA13+S13+K13,1)</f>
        <v>0</v>
      </c>
      <c r="BB13" s="138" t="str">
        <f>IF(J13+R13=0,"×","○")</f>
        <v>×</v>
      </c>
      <c r="BC13" s="155">
        <f>SUM(J13,R13,Z13,AH13,AP13,AX13)</f>
        <v>0</v>
      </c>
    </row>
    <row r="14" spans="1:55" ht="18.75" customHeight="1">
      <c r="B14" s="877"/>
      <c r="C14" s="162" t="s">
        <v>141</v>
      </c>
      <c r="D14" s="157">
        <f t="shared" ref="D14:I14" si="18">D$4*D13</f>
        <v>0</v>
      </c>
      <c r="E14" s="157">
        <f t="shared" si="18"/>
        <v>0</v>
      </c>
      <c r="F14" s="157">
        <f t="shared" si="18"/>
        <v>0</v>
      </c>
      <c r="G14" s="157">
        <f t="shared" si="18"/>
        <v>0</v>
      </c>
      <c r="H14" s="157">
        <f t="shared" si="18"/>
        <v>0</v>
      </c>
      <c r="I14" s="157">
        <f t="shared" si="18"/>
        <v>0</v>
      </c>
      <c r="J14" s="158">
        <f>IFERROR(ROUND(SUM(D14:I14)/J13,3),0)</f>
        <v>0</v>
      </c>
      <c r="K14" s="879"/>
      <c r="L14" s="159">
        <f t="shared" ref="L14:Q14" si="19">L$4*L13</f>
        <v>0</v>
      </c>
      <c r="M14" s="157">
        <f t="shared" si="19"/>
        <v>0</v>
      </c>
      <c r="N14" s="157">
        <f t="shared" si="19"/>
        <v>0</v>
      </c>
      <c r="O14" s="157">
        <f t="shared" si="19"/>
        <v>0</v>
      </c>
      <c r="P14" s="157">
        <f t="shared" si="19"/>
        <v>0</v>
      </c>
      <c r="Q14" s="157">
        <f t="shared" si="19"/>
        <v>0</v>
      </c>
      <c r="R14" s="158">
        <f>IFERROR(ROUND(SUM(L14:Q14)/R13,3),0)</f>
        <v>0</v>
      </c>
      <c r="S14" s="879"/>
      <c r="T14" s="160">
        <f t="shared" ref="T14:Y14" si="20">T$4*T13</f>
        <v>0</v>
      </c>
      <c r="U14" s="157">
        <f t="shared" si="20"/>
        <v>0</v>
      </c>
      <c r="V14" s="157">
        <f t="shared" si="20"/>
        <v>0</v>
      </c>
      <c r="W14" s="157">
        <f t="shared" si="20"/>
        <v>0</v>
      </c>
      <c r="X14" s="157">
        <f t="shared" si="20"/>
        <v>0</v>
      </c>
      <c r="Y14" s="157">
        <f t="shared" si="20"/>
        <v>0</v>
      </c>
      <c r="Z14" s="158">
        <f>IFERROR(ROUND(SUM(T14:Y14)/Z13,3),0)</f>
        <v>0</v>
      </c>
      <c r="AA14" s="879"/>
      <c r="AB14" s="159">
        <f t="shared" ref="AB14:AG14" si="21">AB$4*AB13</f>
        <v>0</v>
      </c>
      <c r="AC14" s="157">
        <f t="shared" si="21"/>
        <v>0</v>
      </c>
      <c r="AD14" s="157">
        <f t="shared" si="21"/>
        <v>0</v>
      </c>
      <c r="AE14" s="157">
        <f t="shared" si="21"/>
        <v>0</v>
      </c>
      <c r="AF14" s="157">
        <f t="shared" si="21"/>
        <v>0</v>
      </c>
      <c r="AG14" s="157">
        <f t="shared" si="21"/>
        <v>0</v>
      </c>
      <c r="AH14" s="158">
        <f>IFERROR(ROUND(SUM(AB14:AG14)/AH13,3),0)</f>
        <v>0</v>
      </c>
      <c r="AI14" s="879"/>
      <c r="AJ14" s="160">
        <f t="shared" ref="AJ14:AO14" si="22">AJ$4*AJ13</f>
        <v>0</v>
      </c>
      <c r="AK14" s="157">
        <f t="shared" si="22"/>
        <v>0</v>
      </c>
      <c r="AL14" s="157">
        <f t="shared" si="22"/>
        <v>0</v>
      </c>
      <c r="AM14" s="157">
        <f t="shared" si="22"/>
        <v>0</v>
      </c>
      <c r="AN14" s="157">
        <f t="shared" si="22"/>
        <v>0</v>
      </c>
      <c r="AO14" s="157">
        <f t="shared" si="22"/>
        <v>0</v>
      </c>
      <c r="AP14" s="158">
        <f>IFERROR(ROUND(SUM(AJ14:AO14)/AP13,3),0)</f>
        <v>0</v>
      </c>
      <c r="AQ14" s="879"/>
      <c r="AR14" s="159">
        <f t="shared" ref="AR14:AW14" si="23">AR$4*AR13</f>
        <v>0</v>
      </c>
      <c r="AS14" s="157">
        <f t="shared" si="23"/>
        <v>0</v>
      </c>
      <c r="AT14" s="157">
        <f t="shared" si="23"/>
        <v>0</v>
      </c>
      <c r="AU14" s="157">
        <f t="shared" si="23"/>
        <v>0</v>
      </c>
      <c r="AV14" s="157">
        <f t="shared" si="23"/>
        <v>0</v>
      </c>
      <c r="AW14" s="157">
        <f t="shared" si="23"/>
        <v>0</v>
      </c>
      <c r="AX14" s="157">
        <f>IFERROR(ROUND(SUM(AR14:AW14)/AX13,3),0)</f>
        <v>0</v>
      </c>
      <c r="AY14" s="879"/>
      <c r="BA14" s="880"/>
      <c r="BB14" s="138"/>
      <c r="BC14" s="161"/>
    </row>
    <row r="15" spans="1:55" ht="18.75" customHeight="1">
      <c r="B15" s="876" t="s">
        <v>145</v>
      </c>
      <c r="C15" s="151" t="s">
        <v>140</v>
      </c>
      <c r="D15" s="185"/>
      <c r="E15" s="185"/>
      <c r="F15" s="185"/>
      <c r="G15" s="185"/>
      <c r="H15" s="185"/>
      <c r="I15" s="185"/>
      <c r="J15" s="152">
        <f>SUM(D15:I15)</f>
        <v>0</v>
      </c>
      <c r="K15" s="878">
        <f>ROUND(J16/3*J15,2)</f>
        <v>0</v>
      </c>
      <c r="L15" s="185"/>
      <c r="M15" s="185"/>
      <c r="N15" s="185"/>
      <c r="O15" s="185"/>
      <c r="P15" s="185"/>
      <c r="Q15" s="185"/>
      <c r="R15" s="152">
        <f>SUM(L15:Q15)</f>
        <v>0</v>
      </c>
      <c r="S15" s="878">
        <f>ROUND(R16/5*R15,2)</f>
        <v>0</v>
      </c>
      <c r="T15" s="185"/>
      <c r="U15" s="185"/>
      <c r="V15" s="185"/>
      <c r="W15" s="185"/>
      <c r="X15" s="185"/>
      <c r="Y15" s="185"/>
      <c r="Z15" s="152">
        <f>SUM(T15:Y15)</f>
        <v>0</v>
      </c>
      <c r="AA15" s="878">
        <f>ROUND(Z16/6*Z15,2)</f>
        <v>0</v>
      </c>
      <c r="AB15" s="185"/>
      <c r="AC15" s="185"/>
      <c r="AD15" s="185"/>
      <c r="AE15" s="185"/>
      <c r="AF15" s="185"/>
      <c r="AG15" s="185"/>
      <c r="AH15" s="152">
        <f>SUM(AB15:AG15)</f>
        <v>0</v>
      </c>
      <c r="AI15" s="878">
        <f>ROUND(AH16/15*AH15,2)</f>
        <v>0</v>
      </c>
      <c r="AJ15" s="185"/>
      <c r="AK15" s="185"/>
      <c r="AL15" s="185"/>
      <c r="AM15" s="185"/>
      <c r="AN15" s="185"/>
      <c r="AO15" s="185"/>
      <c r="AP15" s="152">
        <f>SUM(AJ15:AO15)</f>
        <v>0</v>
      </c>
      <c r="AQ15" s="878">
        <f>ROUND(AP16/20*AP15,2)</f>
        <v>0</v>
      </c>
      <c r="AR15" s="185"/>
      <c r="AS15" s="185"/>
      <c r="AT15" s="185"/>
      <c r="AU15" s="185"/>
      <c r="AV15" s="185"/>
      <c r="AW15" s="185"/>
      <c r="AX15" s="154">
        <f>SUM(AR15:AW15)</f>
        <v>0</v>
      </c>
      <c r="AY15" s="878">
        <f>ROUND(AX16/25*AX15,2)</f>
        <v>0</v>
      </c>
      <c r="BA15" s="880">
        <f>ROUND(AY15+AQ15+AI15+AA15+S15+K15,1)</f>
        <v>0</v>
      </c>
      <c r="BB15" s="138" t="str">
        <f>IF(J15+R15=0,"×","○")</f>
        <v>×</v>
      </c>
      <c r="BC15" s="155">
        <f>SUM(J15,R15,Z15,AH15,AP15,AX15)</f>
        <v>0</v>
      </c>
    </row>
    <row r="16" spans="1:55" ht="18.75" customHeight="1">
      <c r="B16" s="877"/>
      <c r="C16" s="156" t="s">
        <v>141</v>
      </c>
      <c r="D16" s="157">
        <f t="shared" ref="D16:I16" si="24">D$4*D15</f>
        <v>0</v>
      </c>
      <c r="E16" s="157">
        <f t="shared" si="24"/>
        <v>0</v>
      </c>
      <c r="F16" s="157">
        <f t="shared" si="24"/>
        <v>0</v>
      </c>
      <c r="G16" s="157">
        <f t="shared" si="24"/>
        <v>0</v>
      </c>
      <c r="H16" s="157">
        <f t="shared" si="24"/>
        <v>0</v>
      </c>
      <c r="I16" s="157">
        <f t="shared" si="24"/>
        <v>0</v>
      </c>
      <c r="J16" s="158">
        <f>IFERROR(ROUND(SUM(D16:I16)/J15,3),0)</f>
        <v>0</v>
      </c>
      <c r="K16" s="879"/>
      <c r="L16" s="159">
        <f t="shared" ref="L16:Q16" si="25">L$4*L15</f>
        <v>0</v>
      </c>
      <c r="M16" s="157">
        <f t="shared" si="25"/>
        <v>0</v>
      </c>
      <c r="N16" s="157">
        <f t="shared" si="25"/>
        <v>0</v>
      </c>
      <c r="O16" s="157">
        <f t="shared" si="25"/>
        <v>0</v>
      </c>
      <c r="P16" s="157">
        <f t="shared" si="25"/>
        <v>0</v>
      </c>
      <c r="Q16" s="157">
        <f t="shared" si="25"/>
        <v>0</v>
      </c>
      <c r="R16" s="158">
        <f>IFERROR(ROUND(SUM(L16:Q16)/R15,3),0)</f>
        <v>0</v>
      </c>
      <c r="S16" s="879"/>
      <c r="T16" s="160">
        <f t="shared" ref="T16:Y16" si="26">T$4*T15</f>
        <v>0</v>
      </c>
      <c r="U16" s="157">
        <f t="shared" si="26"/>
        <v>0</v>
      </c>
      <c r="V16" s="157">
        <f t="shared" si="26"/>
        <v>0</v>
      </c>
      <c r="W16" s="157">
        <f t="shared" si="26"/>
        <v>0</v>
      </c>
      <c r="X16" s="157">
        <f t="shared" si="26"/>
        <v>0</v>
      </c>
      <c r="Y16" s="157">
        <f t="shared" si="26"/>
        <v>0</v>
      </c>
      <c r="Z16" s="158">
        <f>IFERROR(ROUND(SUM(T16:Y16)/Z15,3),0)</f>
        <v>0</v>
      </c>
      <c r="AA16" s="879"/>
      <c r="AB16" s="159">
        <f t="shared" ref="AB16:AG16" si="27">AB$4*AB15</f>
        <v>0</v>
      </c>
      <c r="AC16" s="157">
        <f t="shared" si="27"/>
        <v>0</v>
      </c>
      <c r="AD16" s="157">
        <f t="shared" si="27"/>
        <v>0</v>
      </c>
      <c r="AE16" s="157">
        <f t="shared" si="27"/>
        <v>0</v>
      </c>
      <c r="AF16" s="157">
        <f t="shared" si="27"/>
        <v>0</v>
      </c>
      <c r="AG16" s="157">
        <f t="shared" si="27"/>
        <v>0</v>
      </c>
      <c r="AH16" s="158">
        <f>IFERROR(ROUND(SUM(AB16:AG16)/AH15,3),0)</f>
        <v>0</v>
      </c>
      <c r="AI16" s="879"/>
      <c r="AJ16" s="160">
        <f t="shared" ref="AJ16:AO16" si="28">AJ$4*AJ15</f>
        <v>0</v>
      </c>
      <c r="AK16" s="157">
        <f t="shared" si="28"/>
        <v>0</v>
      </c>
      <c r="AL16" s="157">
        <f t="shared" si="28"/>
        <v>0</v>
      </c>
      <c r="AM16" s="157">
        <f t="shared" si="28"/>
        <v>0</v>
      </c>
      <c r="AN16" s="157">
        <f t="shared" si="28"/>
        <v>0</v>
      </c>
      <c r="AO16" s="157">
        <f t="shared" si="28"/>
        <v>0</v>
      </c>
      <c r="AP16" s="158">
        <f>IFERROR(ROUND(SUM(AJ16:AO16)/AP15,3),0)</f>
        <v>0</v>
      </c>
      <c r="AQ16" s="879"/>
      <c r="AR16" s="159">
        <f t="shared" ref="AR16:AW16" si="29">AR$4*AR15</f>
        <v>0</v>
      </c>
      <c r="AS16" s="157">
        <f t="shared" si="29"/>
        <v>0</v>
      </c>
      <c r="AT16" s="157">
        <f t="shared" si="29"/>
        <v>0</v>
      </c>
      <c r="AU16" s="157">
        <f t="shared" si="29"/>
        <v>0</v>
      </c>
      <c r="AV16" s="157">
        <f t="shared" si="29"/>
        <v>0</v>
      </c>
      <c r="AW16" s="157">
        <f t="shared" si="29"/>
        <v>0</v>
      </c>
      <c r="AX16" s="157">
        <f>IFERROR(ROUND(SUM(AR16:AW16)/AX15,3),0)</f>
        <v>0</v>
      </c>
      <c r="AY16" s="879"/>
      <c r="BA16" s="880"/>
      <c r="BB16" s="138"/>
      <c r="BC16" s="161"/>
    </row>
    <row r="17" spans="2:55" ht="18.75" customHeight="1">
      <c r="B17" s="876" t="s">
        <v>146</v>
      </c>
      <c r="C17" s="151" t="s">
        <v>140</v>
      </c>
      <c r="D17" s="185"/>
      <c r="E17" s="185"/>
      <c r="F17" s="185"/>
      <c r="G17" s="185"/>
      <c r="H17" s="185"/>
      <c r="I17" s="185"/>
      <c r="J17" s="153">
        <f>SUM(D17:I17)</f>
        <v>0</v>
      </c>
      <c r="K17" s="878">
        <f>ROUND(J18/3*J17,2)</f>
        <v>0</v>
      </c>
      <c r="L17" s="185"/>
      <c r="M17" s="185"/>
      <c r="N17" s="185"/>
      <c r="O17" s="185"/>
      <c r="P17" s="185"/>
      <c r="Q17" s="185"/>
      <c r="R17" s="153">
        <f>SUM(L17:Q17)</f>
        <v>0</v>
      </c>
      <c r="S17" s="878">
        <f>ROUND(R18/5*R17,2)</f>
        <v>0</v>
      </c>
      <c r="T17" s="185"/>
      <c r="U17" s="185"/>
      <c r="V17" s="185"/>
      <c r="W17" s="185"/>
      <c r="X17" s="185"/>
      <c r="Y17" s="185"/>
      <c r="Z17" s="153">
        <f>SUM(T17:Y17)</f>
        <v>0</v>
      </c>
      <c r="AA17" s="878">
        <f>ROUND(Z18/6*Z17,2)</f>
        <v>0</v>
      </c>
      <c r="AB17" s="185"/>
      <c r="AC17" s="185"/>
      <c r="AD17" s="185"/>
      <c r="AE17" s="185"/>
      <c r="AF17" s="185"/>
      <c r="AG17" s="185"/>
      <c r="AH17" s="153">
        <f>SUM(AB17:AG17)</f>
        <v>0</v>
      </c>
      <c r="AI17" s="878">
        <f>ROUND(AH18/15*AH17,2)</f>
        <v>0</v>
      </c>
      <c r="AJ17" s="185"/>
      <c r="AK17" s="185"/>
      <c r="AL17" s="185"/>
      <c r="AM17" s="185"/>
      <c r="AN17" s="185"/>
      <c r="AO17" s="185"/>
      <c r="AP17" s="153">
        <f>SUM(AJ17:AO17)</f>
        <v>0</v>
      </c>
      <c r="AQ17" s="878">
        <f>ROUND(AP18/20*AP17,2)</f>
        <v>0</v>
      </c>
      <c r="AR17" s="185"/>
      <c r="AS17" s="185"/>
      <c r="AT17" s="185"/>
      <c r="AU17" s="185"/>
      <c r="AV17" s="185"/>
      <c r="AW17" s="185"/>
      <c r="AX17" s="173">
        <f>SUM(AR17:AW17)</f>
        <v>0</v>
      </c>
      <c r="AY17" s="878">
        <f>ROUND(AX18/25*AX17,2)</f>
        <v>0</v>
      </c>
      <c r="BA17" s="880">
        <f>ROUND(AY17+AQ17+AI17+AA17+S17+K17,1)</f>
        <v>0</v>
      </c>
      <c r="BB17" s="138" t="str">
        <f>IF(J17+R17=0,"×","○")</f>
        <v>×</v>
      </c>
      <c r="BC17" s="155">
        <f>SUM(J17,R17,Z17,AH17,AP17,AX17)</f>
        <v>0</v>
      </c>
    </row>
    <row r="18" spans="2:55" ht="18.75" customHeight="1">
      <c r="B18" s="877"/>
      <c r="C18" s="162" t="s">
        <v>141</v>
      </c>
      <c r="D18" s="157">
        <f t="shared" ref="D18:I18" si="30">D$4*D17</f>
        <v>0</v>
      </c>
      <c r="E18" s="157">
        <f t="shared" si="30"/>
        <v>0</v>
      </c>
      <c r="F18" s="157">
        <f t="shared" si="30"/>
        <v>0</v>
      </c>
      <c r="G18" s="157">
        <f t="shared" si="30"/>
        <v>0</v>
      </c>
      <c r="H18" s="157">
        <f t="shared" si="30"/>
        <v>0</v>
      </c>
      <c r="I18" s="157">
        <f t="shared" si="30"/>
        <v>0</v>
      </c>
      <c r="J18" s="158">
        <f>IFERROR(ROUND(SUM(D18:I18)/J17,3),0)</f>
        <v>0</v>
      </c>
      <c r="K18" s="879"/>
      <c r="L18" s="159">
        <f t="shared" ref="L18:Q18" si="31">L$4*L17</f>
        <v>0</v>
      </c>
      <c r="M18" s="157">
        <f t="shared" si="31"/>
        <v>0</v>
      </c>
      <c r="N18" s="157">
        <f t="shared" si="31"/>
        <v>0</v>
      </c>
      <c r="O18" s="157">
        <f t="shared" si="31"/>
        <v>0</v>
      </c>
      <c r="P18" s="157">
        <f t="shared" si="31"/>
        <v>0</v>
      </c>
      <c r="Q18" s="157">
        <f t="shared" si="31"/>
        <v>0</v>
      </c>
      <c r="R18" s="158">
        <f>IFERROR(ROUND(SUM(L18:Q18)/R17,3),0)</f>
        <v>0</v>
      </c>
      <c r="S18" s="879"/>
      <c r="T18" s="160">
        <f t="shared" ref="T18:Y18" si="32">T$4*T17</f>
        <v>0</v>
      </c>
      <c r="U18" s="157">
        <f t="shared" si="32"/>
        <v>0</v>
      </c>
      <c r="V18" s="157">
        <f t="shared" si="32"/>
        <v>0</v>
      </c>
      <c r="W18" s="157">
        <f t="shared" si="32"/>
        <v>0</v>
      </c>
      <c r="X18" s="157">
        <f t="shared" si="32"/>
        <v>0</v>
      </c>
      <c r="Y18" s="157">
        <f t="shared" si="32"/>
        <v>0</v>
      </c>
      <c r="Z18" s="158">
        <f>IFERROR(ROUND(SUM(T18:Y18)/Z17,3),0)</f>
        <v>0</v>
      </c>
      <c r="AA18" s="879"/>
      <c r="AB18" s="159">
        <f t="shared" ref="AB18:AG18" si="33">AB$4*AB17</f>
        <v>0</v>
      </c>
      <c r="AC18" s="157">
        <f t="shared" si="33"/>
        <v>0</v>
      </c>
      <c r="AD18" s="157">
        <f t="shared" si="33"/>
        <v>0</v>
      </c>
      <c r="AE18" s="157">
        <f t="shared" si="33"/>
        <v>0</v>
      </c>
      <c r="AF18" s="157">
        <f t="shared" si="33"/>
        <v>0</v>
      </c>
      <c r="AG18" s="157">
        <f t="shared" si="33"/>
        <v>0</v>
      </c>
      <c r="AH18" s="158">
        <f>IFERROR(ROUND(SUM(AB18:AG18)/AH17,3),0)</f>
        <v>0</v>
      </c>
      <c r="AI18" s="879"/>
      <c r="AJ18" s="160">
        <f t="shared" ref="AJ18:AO18" si="34">AJ$4*AJ17</f>
        <v>0</v>
      </c>
      <c r="AK18" s="157">
        <f t="shared" si="34"/>
        <v>0</v>
      </c>
      <c r="AL18" s="157">
        <f t="shared" si="34"/>
        <v>0</v>
      </c>
      <c r="AM18" s="157">
        <f t="shared" si="34"/>
        <v>0</v>
      </c>
      <c r="AN18" s="157">
        <f t="shared" si="34"/>
        <v>0</v>
      </c>
      <c r="AO18" s="157">
        <f t="shared" si="34"/>
        <v>0</v>
      </c>
      <c r="AP18" s="158">
        <f>IFERROR(ROUND(SUM(AJ18:AO18)/AP17,3),0)</f>
        <v>0</v>
      </c>
      <c r="AQ18" s="879"/>
      <c r="AR18" s="159">
        <f t="shared" ref="AR18:AW18" si="35">AR$4*AR17</f>
        <v>0</v>
      </c>
      <c r="AS18" s="157">
        <f t="shared" si="35"/>
        <v>0</v>
      </c>
      <c r="AT18" s="157">
        <f t="shared" si="35"/>
        <v>0</v>
      </c>
      <c r="AU18" s="157">
        <f t="shared" si="35"/>
        <v>0</v>
      </c>
      <c r="AV18" s="157">
        <f t="shared" si="35"/>
        <v>0</v>
      </c>
      <c r="AW18" s="157">
        <f t="shared" si="35"/>
        <v>0</v>
      </c>
      <c r="AX18" s="157">
        <f>IFERROR(ROUND(SUM(AR18:AW18)/AX17,3),0)</f>
        <v>0</v>
      </c>
      <c r="AY18" s="879"/>
      <c r="BA18" s="880"/>
      <c r="BB18" s="138"/>
      <c r="BC18" s="161"/>
    </row>
    <row r="19" spans="2:55" ht="18.75" customHeight="1">
      <c r="B19" s="876" t="s">
        <v>147</v>
      </c>
      <c r="C19" s="151" t="s">
        <v>140</v>
      </c>
      <c r="D19" s="185"/>
      <c r="E19" s="185"/>
      <c r="F19" s="185"/>
      <c r="G19" s="185"/>
      <c r="H19" s="185"/>
      <c r="I19" s="185"/>
      <c r="J19" s="152">
        <f>SUM(D19:I19)</f>
        <v>0</v>
      </c>
      <c r="K19" s="878">
        <f>ROUND(J20/3*J19,2)</f>
        <v>0</v>
      </c>
      <c r="L19" s="185"/>
      <c r="M19" s="185"/>
      <c r="N19" s="185"/>
      <c r="O19" s="185"/>
      <c r="P19" s="185"/>
      <c r="Q19" s="185"/>
      <c r="R19" s="152">
        <f>SUM(L19:Q19)</f>
        <v>0</v>
      </c>
      <c r="S19" s="878">
        <f>ROUND(R20/5*R19,2)</f>
        <v>0</v>
      </c>
      <c r="T19" s="185"/>
      <c r="U19" s="185"/>
      <c r="V19" s="185"/>
      <c r="W19" s="185"/>
      <c r="X19" s="185"/>
      <c r="Y19" s="185"/>
      <c r="Z19" s="152">
        <f>SUM(T19:Y19)</f>
        <v>0</v>
      </c>
      <c r="AA19" s="878">
        <f>ROUND(Z20/6*Z19,2)</f>
        <v>0</v>
      </c>
      <c r="AB19" s="185"/>
      <c r="AC19" s="185"/>
      <c r="AD19" s="185"/>
      <c r="AE19" s="185"/>
      <c r="AF19" s="185"/>
      <c r="AG19" s="185"/>
      <c r="AH19" s="152">
        <f>SUM(AB19:AG19)</f>
        <v>0</v>
      </c>
      <c r="AI19" s="878">
        <f>ROUND(AH20/15*AH19,2)</f>
        <v>0</v>
      </c>
      <c r="AJ19" s="185"/>
      <c r="AK19" s="185"/>
      <c r="AL19" s="185"/>
      <c r="AM19" s="185"/>
      <c r="AN19" s="185"/>
      <c r="AO19" s="185"/>
      <c r="AP19" s="152">
        <f>SUM(AJ19:AO19)</f>
        <v>0</v>
      </c>
      <c r="AQ19" s="878">
        <f>ROUND(AP20/20*AP19,2)</f>
        <v>0</v>
      </c>
      <c r="AR19" s="185"/>
      <c r="AS19" s="185"/>
      <c r="AT19" s="185"/>
      <c r="AU19" s="185"/>
      <c r="AV19" s="185"/>
      <c r="AW19" s="185"/>
      <c r="AX19" s="154">
        <f>SUM(AR19:AW19)</f>
        <v>0</v>
      </c>
      <c r="AY19" s="878">
        <f>ROUND(AX20/25*AX19,2)</f>
        <v>0</v>
      </c>
      <c r="BA19" s="880">
        <f>ROUND(AY19+AQ19+AI19+AA19+S19+K19,1)</f>
        <v>0</v>
      </c>
      <c r="BB19" s="138" t="str">
        <f>IF(J19+R19=0,"×","○")</f>
        <v>×</v>
      </c>
      <c r="BC19" s="155">
        <f>SUM(J19,R19,Z19,AH19,AP19,AX19)</f>
        <v>0</v>
      </c>
    </row>
    <row r="20" spans="2:55" ht="18.75" customHeight="1">
      <c r="B20" s="877"/>
      <c r="C20" s="156" t="s">
        <v>141</v>
      </c>
      <c r="D20" s="157">
        <f t="shared" ref="D20:I20" si="36">D$4*D19</f>
        <v>0</v>
      </c>
      <c r="E20" s="157">
        <f t="shared" si="36"/>
        <v>0</v>
      </c>
      <c r="F20" s="157">
        <f t="shared" si="36"/>
        <v>0</v>
      </c>
      <c r="G20" s="157">
        <f t="shared" si="36"/>
        <v>0</v>
      </c>
      <c r="H20" s="157">
        <f t="shared" si="36"/>
        <v>0</v>
      </c>
      <c r="I20" s="157">
        <f t="shared" si="36"/>
        <v>0</v>
      </c>
      <c r="J20" s="158">
        <f>IFERROR(ROUND(SUM(D20:I20)/J19,3),0)</f>
        <v>0</v>
      </c>
      <c r="K20" s="879"/>
      <c r="L20" s="159">
        <f t="shared" ref="L20:Q20" si="37">L$4*L19</f>
        <v>0</v>
      </c>
      <c r="M20" s="157">
        <f t="shared" si="37"/>
        <v>0</v>
      </c>
      <c r="N20" s="157">
        <f t="shared" si="37"/>
        <v>0</v>
      </c>
      <c r="O20" s="157">
        <f t="shared" si="37"/>
        <v>0</v>
      </c>
      <c r="P20" s="157">
        <f t="shared" si="37"/>
        <v>0</v>
      </c>
      <c r="Q20" s="157">
        <f t="shared" si="37"/>
        <v>0</v>
      </c>
      <c r="R20" s="158">
        <f>IFERROR(ROUND(SUM(L20:Q20)/R19,3),0)</f>
        <v>0</v>
      </c>
      <c r="S20" s="879"/>
      <c r="T20" s="160">
        <f t="shared" ref="T20:Y20" si="38">T$4*T19</f>
        <v>0</v>
      </c>
      <c r="U20" s="157">
        <f t="shared" si="38"/>
        <v>0</v>
      </c>
      <c r="V20" s="157">
        <f t="shared" si="38"/>
        <v>0</v>
      </c>
      <c r="W20" s="157">
        <f t="shared" si="38"/>
        <v>0</v>
      </c>
      <c r="X20" s="157">
        <f t="shared" si="38"/>
        <v>0</v>
      </c>
      <c r="Y20" s="157">
        <f t="shared" si="38"/>
        <v>0</v>
      </c>
      <c r="Z20" s="158">
        <f>IFERROR(ROUND(SUM(T20:Y20)/Z19,3),0)</f>
        <v>0</v>
      </c>
      <c r="AA20" s="879"/>
      <c r="AB20" s="159">
        <f t="shared" ref="AB20:AG20" si="39">AB$4*AB19</f>
        <v>0</v>
      </c>
      <c r="AC20" s="157">
        <f t="shared" si="39"/>
        <v>0</v>
      </c>
      <c r="AD20" s="157">
        <f t="shared" si="39"/>
        <v>0</v>
      </c>
      <c r="AE20" s="157">
        <f t="shared" si="39"/>
        <v>0</v>
      </c>
      <c r="AF20" s="157">
        <f t="shared" si="39"/>
        <v>0</v>
      </c>
      <c r="AG20" s="157">
        <f t="shared" si="39"/>
        <v>0</v>
      </c>
      <c r="AH20" s="158">
        <f>IFERROR(ROUND(SUM(AB20:AG20)/AH19,3),0)</f>
        <v>0</v>
      </c>
      <c r="AI20" s="879"/>
      <c r="AJ20" s="160">
        <f t="shared" ref="AJ20:AO20" si="40">AJ$4*AJ19</f>
        <v>0</v>
      </c>
      <c r="AK20" s="157">
        <f t="shared" si="40"/>
        <v>0</v>
      </c>
      <c r="AL20" s="157">
        <f t="shared" si="40"/>
        <v>0</v>
      </c>
      <c r="AM20" s="157">
        <f t="shared" si="40"/>
        <v>0</v>
      </c>
      <c r="AN20" s="157">
        <f t="shared" si="40"/>
        <v>0</v>
      </c>
      <c r="AO20" s="157">
        <f t="shared" si="40"/>
        <v>0</v>
      </c>
      <c r="AP20" s="158">
        <f>IFERROR(ROUND(SUM(AJ20:AO20)/AP19,3),0)</f>
        <v>0</v>
      </c>
      <c r="AQ20" s="879"/>
      <c r="AR20" s="159">
        <f t="shared" ref="AR20:AW20" si="41">AR$4*AR19</f>
        <v>0</v>
      </c>
      <c r="AS20" s="157">
        <f t="shared" si="41"/>
        <v>0</v>
      </c>
      <c r="AT20" s="157">
        <f t="shared" si="41"/>
        <v>0</v>
      </c>
      <c r="AU20" s="157">
        <f t="shared" si="41"/>
        <v>0</v>
      </c>
      <c r="AV20" s="157">
        <f t="shared" si="41"/>
        <v>0</v>
      </c>
      <c r="AW20" s="157">
        <f t="shared" si="41"/>
        <v>0</v>
      </c>
      <c r="AX20" s="157">
        <f>IFERROR(ROUND(SUM(AR20:AW20)/AX19,3),0)</f>
        <v>0</v>
      </c>
      <c r="AY20" s="879"/>
      <c r="BA20" s="880"/>
      <c r="BB20" s="138"/>
      <c r="BC20" s="161"/>
    </row>
    <row r="21" spans="2:55" ht="18.75" customHeight="1">
      <c r="B21" s="876" t="s">
        <v>148</v>
      </c>
      <c r="C21" s="151" t="s">
        <v>140</v>
      </c>
      <c r="D21" s="185"/>
      <c r="E21" s="185"/>
      <c r="F21" s="185"/>
      <c r="G21" s="185"/>
      <c r="H21" s="185"/>
      <c r="I21" s="185"/>
      <c r="J21" s="153">
        <f>SUM(D21:I21)</f>
        <v>0</v>
      </c>
      <c r="K21" s="878">
        <f>ROUND(J22/3*J21,2)</f>
        <v>0</v>
      </c>
      <c r="L21" s="185"/>
      <c r="M21" s="185"/>
      <c r="N21" s="185"/>
      <c r="O21" s="185"/>
      <c r="P21" s="185"/>
      <c r="Q21" s="185"/>
      <c r="R21" s="153">
        <f>SUM(L21:Q21)</f>
        <v>0</v>
      </c>
      <c r="S21" s="878">
        <f>ROUND(R22/5*R21,2)</f>
        <v>0</v>
      </c>
      <c r="T21" s="185"/>
      <c r="U21" s="185"/>
      <c r="V21" s="185"/>
      <c r="W21" s="185"/>
      <c r="X21" s="185"/>
      <c r="Y21" s="185"/>
      <c r="Z21" s="153">
        <f>SUM(T21:Y21)</f>
        <v>0</v>
      </c>
      <c r="AA21" s="878">
        <f>ROUND(Z22/6*Z21,2)</f>
        <v>0</v>
      </c>
      <c r="AB21" s="185"/>
      <c r="AC21" s="185"/>
      <c r="AD21" s="185"/>
      <c r="AE21" s="185"/>
      <c r="AF21" s="185"/>
      <c r="AG21" s="185"/>
      <c r="AH21" s="153">
        <f>SUM(AB21:AG21)</f>
        <v>0</v>
      </c>
      <c r="AI21" s="878">
        <f>ROUND(AH22/15*AH21,2)</f>
        <v>0</v>
      </c>
      <c r="AJ21" s="185"/>
      <c r="AK21" s="185"/>
      <c r="AL21" s="185"/>
      <c r="AM21" s="185"/>
      <c r="AN21" s="185"/>
      <c r="AO21" s="185"/>
      <c r="AP21" s="153">
        <f>SUM(AJ21:AO21)</f>
        <v>0</v>
      </c>
      <c r="AQ21" s="878">
        <f>ROUND(AP22/20*AP21,2)</f>
        <v>0</v>
      </c>
      <c r="AR21" s="185"/>
      <c r="AS21" s="185"/>
      <c r="AT21" s="185"/>
      <c r="AU21" s="185"/>
      <c r="AV21" s="185"/>
      <c r="AW21" s="185"/>
      <c r="AX21" s="173">
        <f>SUM(AR21:AW21)</f>
        <v>0</v>
      </c>
      <c r="AY21" s="878">
        <f>ROUND(AX22/25*AX21,2)</f>
        <v>0</v>
      </c>
      <c r="BA21" s="880">
        <f>ROUND(AY21+AQ21+AI21+AA21+S21+K21,1)</f>
        <v>0</v>
      </c>
      <c r="BB21" s="138" t="str">
        <f>IF(J21+R21=0,"×","○")</f>
        <v>×</v>
      </c>
      <c r="BC21" s="155">
        <f>SUM(J21,R21,Z21,AH21,AP21,AX21)</f>
        <v>0</v>
      </c>
    </row>
    <row r="22" spans="2:55" ht="18.75" customHeight="1">
      <c r="B22" s="877"/>
      <c r="C22" s="162" t="s">
        <v>141</v>
      </c>
      <c r="D22" s="157">
        <f t="shared" ref="D22:I22" si="42">D$4*D21</f>
        <v>0</v>
      </c>
      <c r="E22" s="157">
        <f t="shared" si="42"/>
        <v>0</v>
      </c>
      <c r="F22" s="157">
        <f t="shared" si="42"/>
        <v>0</v>
      </c>
      <c r="G22" s="157">
        <f t="shared" si="42"/>
        <v>0</v>
      </c>
      <c r="H22" s="157">
        <f t="shared" si="42"/>
        <v>0</v>
      </c>
      <c r="I22" s="157">
        <f t="shared" si="42"/>
        <v>0</v>
      </c>
      <c r="J22" s="158">
        <f>IFERROR(ROUND(SUM(D22:I22)/J21,3),0)</f>
        <v>0</v>
      </c>
      <c r="K22" s="879"/>
      <c r="L22" s="159">
        <f t="shared" ref="L22:Q22" si="43">L$4*L21</f>
        <v>0</v>
      </c>
      <c r="M22" s="157">
        <f t="shared" si="43"/>
        <v>0</v>
      </c>
      <c r="N22" s="157">
        <f t="shared" si="43"/>
        <v>0</v>
      </c>
      <c r="O22" s="157">
        <f t="shared" si="43"/>
        <v>0</v>
      </c>
      <c r="P22" s="157">
        <f t="shared" si="43"/>
        <v>0</v>
      </c>
      <c r="Q22" s="157">
        <f t="shared" si="43"/>
        <v>0</v>
      </c>
      <c r="R22" s="158">
        <f>IFERROR(ROUND(SUM(L22:Q22)/R21,3),0)</f>
        <v>0</v>
      </c>
      <c r="S22" s="879"/>
      <c r="T22" s="160">
        <f t="shared" ref="T22:Y22" si="44">T$4*T21</f>
        <v>0</v>
      </c>
      <c r="U22" s="157">
        <f t="shared" si="44"/>
        <v>0</v>
      </c>
      <c r="V22" s="157">
        <f t="shared" si="44"/>
        <v>0</v>
      </c>
      <c r="W22" s="157">
        <f t="shared" si="44"/>
        <v>0</v>
      </c>
      <c r="X22" s="157">
        <f t="shared" si="44"/>
        <v>0</v>
      </c>
      <c r="Y22" s="157">
        <f t="shared" si="44"/>
        <v>0</v>
      </c>
      <c r="Z22" s="158">
        <f>IFERROR(ROUND(SUM(T22:Y22)/Z21,3),0)</f>
        <v>0</v>
      </c>
      <c r="AA22" s="879"/>
      <c r="AB22" s="159">
        <f t="shared" ref="AB22:AG22" si="45">AB$4*AB21</f>
        <v>0</v>
      </c>
      <c r="AC22" s="157">
        <f t="shared" si="45"/>
        <v>0</v>
      </c>
      <c r="AD22" s="157">
        <f t="shared" si="45"/>
        <v>0</v>
      </c>
      <c r="AE22" s="157">
        <f t="shared" si="45"/>
        <v>0</v>
      </c>
      <c r="AF22" s="157">
        <f t="shared" si="45"/>
        <v>0</v>
      </c>
      <c r="AG22" s="157">
        <f t="shared" si="45"/>
        <v>0</v>
      </c>
      <c r="AH22" s="158">
        <f>IFERROR(ROUND(SUM(AB22:AG22)/AH21,3),0)</f>
        <v>0</v>
      </c>
      <c r="AI22" s="879"/>
      <c r="AJ22" s="160">
        <f t="shared" ref="AJ22:AO22" si="46">AJ$4*AJ21</f>
        <v>0</v>
      </c>
      <c r="AK22" s="157">
        <f t="shared" si="46"/>
        <v>0</v>
      </c>
      <c r="AL22" s="157">
        <f t="shared" si="46"/>
        <v>0</v>
      </c>
      <c r="AM22" s="157">
        <f t="shared" si="46"/>
        <v>0</v>
      </c>
      <c r="AN22" s="157">
        <f t="shared" si="46"/>
        <v>0</v>
      </c>
      <c r="AO22" s="157">
        <f t="shared" si="46"/>
        <v>0</v>
      </c>
      <c r="AP22" s="158">
        <f>IFERROR(ROUND(SUM(AJ22:AO22)/AP21,3),0)</f>
        <v>0</v>
      </c>
      <c r="AQ22" s="879"/>
      <c r="AR22" s="159">
        <f t="shared" ref="AR22:AW22" si="47">AR$4*AR21</f>
        <v>0</v>
      </c>
      <c r="AS22" s="157">
        <f t="shared" si="47"/>
        <v>0</v>
      </c>
      <c r="AT22" s="157">
        <f t="shared" si="47"/>
        <v>0</v>
      </c>
      <c r="AU22" s="157">
        <f t="shared" si="47"/>
        <v>0</v>
      </c>
      <c r="AV22" s="157">
        <f t="shared" si="47"/>
        <v>0</v>
      </c>
      <c r="AW22" s="157">
        <f t="shared" si="47"/>
        <v>0</v>
      </c>
      <c r="AX22" s="157">
        <f>IFERROR(ROUND(SUM(AR22:AW22)/AX21,3),0)</f>
        <v>0</v>
      </c>
      <c r="AY22" s="879"/>
      <c r="BA22" s="880"/>
      <c r="BB22" s="138"/>
      <c r="BC22" s="161"/>
    </row>
    <row r="23" spans="2:55" ht="18.75" customHeight="1">
      <c r="B23" s="876" t="s">
        <v>149</v>
      </c>
      <c r="C23" s="151" t="s">
        <v>140</v>
      </c>
      <c r="D23" s="185"/>
      <c r="E23" s="185"/>
      <c r="F23" s="185"/>
      <c r="G23" s="185"/>
      <c r="H23" s="185"/>
      <c r="I23" s="185"/>
      <c r="J23" s="152">
        <f>SUM(D23:I23)</f>
        <v>0</v>
      </c>
      <c r="K23" s="878">
        <f>ROUND(J24/3*J23,2)</f>
        <v>0</v>
      </c>
      <c r="L23" s="185"/>
      <c r="M23" s="185"/>
      <c r="N23" s="185"/>
      <c r="O23" s="185"/>
      <c r="P23" s="185"/>
      <c r="Q23" s="185"/>
      <c r="R23" s="152">
        <f>SUM(L23:Q23)</f>
        <v>0</v>
      </c>
      <c r="S23" s="878">
        <f>ROUND(R24/5*R23,2)</f>
        <v>0</v>
      </c>
      <c r="T23" s="185"/>
      <c r="U23" s="185"/>
      <c r="V23" s="185"/>
      <c r="W23" s="185"/>
      <c r="X23" s="185"/>
      <c r="Y23" s="185"/>
      <c r="Z23" s="152">
        <f>SUM(T23:Y23)</f>
        <v>0</v>
      </c>
      <c r="AA23" s="878">
        <f>ROUND(Z24/6*Z23,2)</f>
        <v>0</v>
      </c>
      <c r="AB23" s="185"/>
      <c r="AC23" s="185"/>
      <c r="AD23" s="185"/>
      <c r="AE23" s="185"/>
      <c r="AF23" s="185"/>
      <c r="AG23" s="185"/>
      <c r="AH23" s="152">
        <f>SUM(AB23:AG23)</f>
        <v>0</v>
      </c>
      <c r="AI23" s="878">
        <f>ROUND(AH24/15*AH23,2)</f>
        <v>0</v>
      </c>
      <c r="AJ23" s="185"/>
      <c r="AK23" s="185"/>
      <c r="AL23" s="185"/>
      <c r="AM23" s="185"/>
      <c r="AN23" s="185"/>
      <c r="AO23" s="185"/>
      <c r="AP23" s="152">
        <f>SUM(AJ23:AO23)</f>
        <v>0</v>
      </c>
      <c r="AQ23" s="878">
        <f>ROUND(AP24/20*AP23,2)</f>
        <v>0</v>
      </c>
      <c r="AR23" s="185"/>
      <c r="AS23" s="185"/>
      <c r="AT23" s="185"/>
      <c r="AU23" s="185"/>
      <c r="AV23" s="185"/>
      <c r="AW23" s="185"/>
      <c r="AX23" s="154">
        <f>SUM(AR23:AW23)</f>
        <v>0</v>
      </c>
      <c r="AY23" s="878">
        <f>ROUND(AX24/25*AX23,2)</f>
        <v>0</v>
      </c>
      <c r="BA23" s="880">
        <f>ROUND(AY23+AQ23+AI23+AA23+S23+K23,1)</f>
        <v>0</v>
      </c>
      <c r="BB23" s="138" t="str">
        <f>IF(J23+R23=0,"×","○")</f>
        <v>×</v>
      </c>
      <c r="BC23" s="155">
        <f>SUM(J23,R23,Z23,AH23,AP23,AX23)</f>
        <v>0</v>
      </c>
    </row>
    <row r="24" spans="2:55" ht="18.75" customHeight="1">
      <c r="B24" s="877"/>
      <c r="C24" s="162" t="s">
        <v>141</v>
      </c>
      <c r="D24" s="157">
        <f t="shared" ref="D24:I24" si="48">D$4*D23</f>
        <v>0</v>
      </c>
      <c r="E24" s="157">
        <f t="shared" si="48"/>
        <v>0</v>
      </c>
      <c r="F24" s="157">
        <f t="shared" si="48"/>
        <v>0</v>
      </c>
      <c r="G24" s="157">
        <f t="shared" si="48"/>
        <v>0</v>
      </c>
      <c r="H24" s="157">
        <f t="shared" si="48"/>
        <v>0</v>
      </c>
      <c r="I24" s="157">
        <f t="shared" si="48"/>
        <v>0</v>
      </c>
      <c r="J24" s="158">
        <f>IFERROR(ROUND(SUM(D24:I24)/J23,3),0)</f>
        <v>0</v>
      </c>
      <c r="K24" s="879"/>
      <c r="L24" s="159">
        <f t="shared" ref="L24:Q24" si="49">L$4*L23</f>
        <v>0</v>
      </c>
      <c r="M24" s="157">
        <f t="shared" si="49"/>
        <v>0</v>
      </c>
      <c r="N24" s="157">
        <f t="shared" si="49"/>
        <v>0</v>
      </c>
      <c r="O24" s="157">
        <f t="shared" si="49"/>
        <v>0</v>
      </c>
      <c r="P24" s="157">
        <f t="shared" si="49"/>
        <v>0</v>
      </c>
      <c r="Q24" s="157">
        <f t="shared" si="49"/>
        <v>0</v>
      </c>
      <c r="R24" s="158">
        <f>IFERROR(ROUND(SUM(L24:Q24)/R23,3),0)</f>
        <v>0</v>
      </c>
      <c r="S24" s="879"/>
      <c r="T24" s="160">
        <f t="shared" ref="T24:Y24" si="50">T$4*T23</f>
        <v>0</v>
      </c>
      <c r="U24" s="157">
        <f t="shared" si="50"/>
        <v>0</v>
      </c>
      <c r="V24" s="157">
        <f t="shared" si="50"/>
        <v>0</v>
      </c>
      <c r="W24" s="157">
        <f t="shared" si="50"/>
        <v>0</v>
      </c>
      <c r="X24" s="157">
        <f t="shared" si="50"/>
        <v>0</v>
      </c>
      <c r="Y24" s="157">
        <f t="shared" si="50"/>
        <v>0</v>
      </c>
      <c r="Z24" s="158">
        <f>IFERROR(ROUND(SUM(T24:Y24)/Z23,3),0)</f>
        <v>0</v>
      </c>
      <c r="AA24" s="879"/>
      <c r="AB24" s="159">
        <f t="shared" ref="AB24:AG24" si="51">AB$4*AB23</f>
        <v>0</v>
      </c>
      <c r="AC24" s="157">
        <f t="shared" si="51"/>
        <v>0</v>
      </c>
      <c r="AD24" s="157">
        <f t="shared" si="51"/>
        <v>0</v>
      </c>
      <c r="AE24" s="157">
        <f t="shared" si="51"/>
        <v>0</v>
      </c>
      <c r="AF24" s="157">
        <f t="shared" si="51"/>
        <v>0</v>
      </c>
      <c r="AG24" s="157">
        <f t="shared" si="51"/>
        <v>0</v>
      </c>
      <c r="AH24" s="158">
        <f>IFERROR(ROUND(SUM(AB24:AG24)/AH23,3),0)</f>
        <v>0</v>
      </c>
      <c r="AI24" s="879"/>
      <c r="AJ24" s="160">
        <f t="shared" ref="AJ24:AO24" si="52">AJ$4*AJ23</f>
        <v>0</v>
      </c>
      <c r="AK24" s="157">
        <f t="shared" si="52"/>
        <v>0</v>
      </c>
      <c r="AL24" s="157">
        <f t="shared" si="52"/>
        <v>0</v>
      </c>
      <c r="AM24" s="157">
        <f t="shared" si="52"/>
        <v>0</v>
      </c>
      <c r="AN24" s="157">
        <f t="shared" si="52"/>
        <v>0</v>
      </c>
      <c r="AO24" s="157">
        <f t="shared" si="52"/>
        <v>0</v>
      </c>
      <c r="AP24" s="158">
        <f>IFERROR(ROUND(SUM(AJ24:AO24)/AP23,3),0)</f>
        <v>0</v>
      </c>
      <c r="AQ24" s="879"/>
      <c r="AR24" s="159">
        <f t="shared" ref="AR24:AW24" si="53">AR$4*AR23</f>
        <v>0</v>
      </c>
      <c r="AS24" s="157">
        <f t="shared" si="53"/>
        <v>0</v>
      </c>
      <c r="AT24" s="157">
        <f t="shared" si="53"/>
        <v>0</v>
      </c>
      <c r="AU24" s="157">
        <f t="shared" si="53"/>
        <v>0</v>
      </c>
      <c r="AV24" s="157">
        <f t="shared" si="53"/>
        <v>0</v>
      </c>
      <c r="AW24" s="157">
        <f t="shared" si="53"/>
        <v>0</v>
      </c>
      <c r="AX24" s="157">
        <f>IFERROR(ROUND(SUM(AR24:AW24)/AX23,3),0)</f>
        <v>0</v>
      </c>
      <c r="AY24" s="879"/>
      <c r="BA24" s="880"/>
      <c r="BB24" s="138"/>
      <c r="BC24" s="161"/>
    </row>
    <row r="25" spans="2:55" ht="18.75" customHeight="1">
      <c r="B25" s="876" t="s">
        <v>150</v>
      </c>
      <c r="C25" s="151" t="s">
        <v>140</v>
      </c>
      <c r="D25" s="185"/>
      <c r="E25" s="185"/>
      <c r="F25" s="185"/>
      <c r="G25" s="185"/>
      <c r="H25" s="185"/>
      <c r="I25" s="185"/>
      <c r="J25" s="153">
        <f>SUM(D25:I25)</f>
        <v>0</v>
      </c>
      <c r="K25" s="878">
        <f>ROUND(J26/3*J25,2)</f>
        <v>0</v>
      </c>
      <c r="L25" s="185"/>
      <c r="M25" s="185"/>
      <c r="N25" s="185"/>
      <c r="O25" s="185"/>
      <c r="P25" s="185"/>
      <c r="Q25" s="185"/>
      <c r="R25" s="153">
        <f>SUM(L25:Q25)</f>
        <v>0</v>
      </c>
      <c r="S25" s="878">
        <f>ROUND(R26/5*R25,2)</f>
        <v>0</v>
      </c>
      <c r="T25" s="185"/>
      <c r="U25" s="185"/>
      <c r="V25" s="185"/>
      <c r="W25" s="185"/>
      <c r="X25" s="185"/>
      <c r="Y25" s="185"/>
      <c r="Z25" s="153">
        <f>SUM(T25:Y25)</f>
        <v>0</v>
      </c>
      <c r="AA25" s="878">
        <f>ROUND(Z26/6*Z25,2)</f>
        <v>0</v>
      </c>
      <c r="AB25" s="185"/>
      <c r="AC25" s="185"/>
      <c r="AD25" s="185"/>
      <c r="AE25" s="185"/>
      <c r="AF25" s="185"/>
      <c r="AG25" s="185"/>
      <c r="AH25" s="153">
        <f>SUM(AB25:AG25)</f>
        <v>0</v>
      </c>
      <c r="AI25" s="878">
        <f>ROUND(AH26/15*AH25,2)</f>
        <v>0</v>
      </c>
      <c r="AJ25" s="185"/>
      <c r="AK25" s="185"/>
      <c r="AL25" s="185"/>
      <c r="AM25" s="185"/>
      <c r="AN25" s="185"/>
      <c r="AO25" s="185"/>
      <c r="AP25" s="153">
        <f>SUM(AJ25:AO25)</f>
        <v>0</v>
      </c>
      <c r="AQ25" s="878">
        <f>ROUND(AP26/20*AP25,2)</f>
        <v>0</v>
      </c>
      <c r="AR25" s="185"/>
      <c r="AS25" s="185"/>
      <c r="AT25" s="185"/>
      <c r="AU25" s="185"/>
      <c r="AV25" s="185"/>
      <c r="AW25" s="185"/>
      <c r="AX25" s="173">
        <f>SUM(AR25:AW25)</f>
        <v>0</v>
      </c>
      <c r="AY25" s="878">
        <f>ROUND(AX26/25*AX25,2)</f>
        <v>0</v>
      </c>
      <c r="BA25" s="880">
        <f>ROUND(AY25+AQ25+AI25+AA25+S25+K25,1)</f>
        <v>0</v>
      </c>
      <c r="BB25" s="138" t="str">
        <f>IF(J25+R25=0,"×","○")</f>
        <v>×</v>
      </c>
      <c r="BC25" s="155">
        <f>SUM(J25,R25,Z25,AH25,AP25,AX25)</f>
        <v>0</v>
      </c>
    </row>
    <row r="26" spans="2:55" ht="18.75" customHeight="1">
      <c r="B26" s="877"/>
      <c r="C26" s="162" t="s">
        <v>141</v>
      </c>
      <c r="D26" s="157">
        <f t="shared" ref="D26:I26" si="54">D$4*D25</f>
        <v>0</v>
      </c>
      <c r="E26" s="157">
        <f t="shared" si="54"/>
        <v>0</v>
      </c>
      <c r="F26" s="157">
        <f t="shared" si="54"/>
        <v>0</v>
      </c>
      <c r="G26" s="157">
        <f t="shared" si="54"/>
        <v>0</v>
      </c>
      <c r="H26" s="157">
        <f t="shared" si="54"/>
        <v>0</v>
      </c>
      <c r="I26" s="157">
        <f t="shared" si="54"/>
        <v>0</v>
      </c>
      <c r="J26" s="158">
        <f>IFERROR(ROUND(SUM(D26:I26)/J25,3),0)</f>
        <v>0</v>
      </c>
      <c r="K26" s="879"/>
      <c r="L26" s="159">
        <f t="shared" ref="L26:Q26" si="55">L$4*L25</f>
        <v>0</v>
      </c>
      <c r="M26" s="157">
        <f t="shared" si="55"/>
        <v>0</v>
      </c>
      <c r="N26" s="157">
        <f t="shared" si="55"/>
        <v>0</v>
      </c>
      <c r="O26" s="157">
        <f t="shared" si="55"/>
        <v>0</v>
      </c>
      <c r="P26" s="157">
        <f t="shared" si="55"/>
        <v>0</v>
      </c>
      <c r="Q26" s="157">
        <f t="shared" si="55"/>
        <v>0</v>
      </c>
      <c r="R26" s="158">
        <f>IFERROR(ROUND(SUM(L26:Q26)/R25,3),0)</f>
        <v>0</v>
      </c>
      <c r="S26" s="879"/>
      <c r="T26" s="160">
        <f t="shared" ref="T26:Y26" si="56">T$4*T25</f>
        <v>0</v>
      </c>
      <c r="U26" s="157">
        <f t="shared" si="56"/>
        <v>0</v>
      </c>
      <c r="V26" s="157">
        <f t="shared" si="56"/>
        <v>0</v>
      </c>
      <c r="W26" s="157">
        <f t="shared" si="56"/>
        <v>0</v>
      </c>
      <c r="X26" s="157">
        <f t="shared" si="56"/>
        <v>0</v>
      </c>
      <c r="Y26" s="157">
        <f t="shared" si="56"/>
        <v>0</v>
      </c>
      <c r="Z26" s="158">
        <f>IFERROR(ROUND(SUM(T26:Y26)/Z25,3),0)</f>
        <v>0</v>
      </c>
      <c r="AA26" s="879"/>
      <c r="AB26" s="159">
        <f t="shared" ref="AB26:AG26" si="57">AB$4*AB25</f>
        <v>0</v>
      </c>
      <c r="AC26" s="157">
        <f t="shared" si="57"/>
        <v>0</v>
      </c>
      <c r="AD26" s="157">
        <f t="shared" si="57"/>
        <v>0</v>
      </c>
      <c r="AE26" s="157">
        <f t="shared" si="57"/>
        <v>0</v>
      </c>
      <c r="AF26" s="157">
        <f t="shared" si="57"/>
        <v>0</v>
      </c>
      <c r="AG26" s="157">
        <f t="shared" si="57"/>
        <v>0</v>
      </c>
      <c r="AH26" s="158">
        <f>IFERROR(ROUND(SUM(AB26:AG26)/AH25,3),0)</f>
        <v>0</v>
      </c>
      <c r="AI26" s="879"/>
      <c r="AJ26" s="160">
        <f t="shared" ref="AJ26:AO26" si="58">AJ$4*AJ25</f>
        <v>0</v>
      </c>
      <c r="AK26" s="157">
        <f t="shared" si="58"/>
        <v>0</v>
      </c>
      <c r="AL26" s="157">
        <f t="shared" si="58"/>
        <v>0</v>
      </c>
      <c r="AM26" s="157">
        <f t="shared" si="58"/>
        <v>0</v>
      </c>
      <c r="AN26" s="157">
        <f t="shared" si="58"/>
        <v>0</v>
      </c>
      <c r="AO26" s="157">
        <f t="shared" si="58"/>
        <v>0</v>
      </c>
      <c r="AP26" s="158">
        <f>IFERROR(ROUND(SUM(AJ26:AO26)/AP25,3),0)</f>
        <v>0</v>
      </c>
      <c r="AQ26" s="879"/>
      <c r="AR26" s="159">
        <f t="shared" ref="AR26:AW26" si="59">AR$4*AR25</f>
        <v>0</v>
      </c>
      <c r="AS26" s="157">
        <f t="shared" si="59"/>
        <v>0</v>
      </c>
      <c r="AT26" s="157">
        <f t="shared" si="59"/>
        <v>0</v>
      </c>
      <c r="AU26" s="157">
        <f t="shared" si="59"/>
        <v>0</v>
      </c>
      <c r="AV26" s="157">
        <f t="shared" si="59"/>
        <v>0</v>
      </c>
      <c r="AW26" s="157">
        <f t="shared" si="59"/>
        <v>0</v>
      </c>
      <c r="AX26" s="157">
        <f>IFERROR(ROUND(SUM(AR26:AW26)/AX25,3),0)</f>
        <v>0</v>
      </c>
      <c r="AY26" s="879"/>
      <c r="BA26" s="880"/>
      <c r="BB26" s="138"/>
      <c r="BC26" s="161"/>
    </row>
    <row r="27" spans="2:55" ht="18.75" customHeight="1">
      <c r="B27" s="876" t="s">
        <v>15</v>
      </c>
      <c r="C27" s="151" t="s">
        <v>140</v>
      </c>
      <c r="D27" s="185"/>
      <c r="E27" s="185"/>
      <c r="F27" s="185"/>
      <c r="G27" s="185"/>
      <c r="H27" s="185"/>
      <c r="I27" s="185"/>
      <c r="J27" s="152">
        <f>SUM(D27:I27)</f>
        <v>0</v>
      </c>
      <c r="K27" s="878">
        <f>ROUND(J28/3*J27,2)</f>
        <v>0</v>
      </c>
      <c r="L27" s="185"/>
      <c r="M27" s="185"/>
      <c r="N27" s="185"/>
      <c r="O27" s="185"/>
      <c r="P27" s="185"/>
      <c r="Q27" s="185"/>
      <c r="R27" s="152">
        <f>SUM(L27:Q27)</f>
        <v>0</v>
      </c>
      <c r="S27" s="878">
        <f>ROUND(R28/5*R27,2)</f>
        <v>0</v>
      </c>
      <c r="T27" s="185"/>
      <c r="U27" s="185"/>
      <c r="V27" s="185"/>
      <c r="W27" s="185"/>
      <c r="X27" s="185"/>
      <c r="Y27" s="185"/>
      <c r="Z27" s="152">
        <f>SUM(T27:Y27)</f>
        <v>0</v>
      </c>
      <c r="AA27" s="878">
        <f>ROUND(Z28/6*Z27,2)</f>
        <v>0</v>
      </c>
      <c r="AB27" s="185"/>
      <c r="AC27" s="185"/>
      <c r="AD27" s="185"/>
      <c r="AE27" s="185"/>
      <c r="AF27" s="185"/>
      <c r="AG27" s="185"/>
      <c r="AH27" s="152">
        <f>SUM(AB27:AG27)</f>
        <v>0</v>
      </c>
      <c r="AI27" s="878">
        <f>ROUND(AH28/15*AH27,2)</f>
        <v>0</v>
      </c>
      <c r="AJ27" s="185"/>
      <c r="AK27" s="185"/>
      <c r="AL27" s="185"/>
      <c r="AM27" s="185"/>
      <c r="AN27" s="185"/>
      <c r="AO27" s="185"/>
      <c r="AP27" s="152">
        <f>SUM(AJ27:AO27)</f>
        <v>0</v>
      </c>
      <c r="AQ27" s="878">
        <f>ROUND(AP28/20*AP27,2)</f>
        <v>0</v>
      </c>
      <c r="AR27" s="185"/>
      <c r="AS27" s="185"/>
      <c r="AT27" s="185"/>
      <c r="AU27" s="185"/>
      <c r="AV27" s="185"/>
      <c r="AW27" s="185"/>
      <c r="AX27" s="154">
        <f>SUM(AR27:AW27)</f>
        <v>0</v>
      </c>
      <c r="AY27" s="878">
        <f>ROUND(AX28/25*AX27,2)</f>
        <v>0</v>
      </c>
      <c r="BA27" s="880">
        <f>ROUND(AY27+AQ27+AI27+AA27+S27+K27,1)</f>
        <v>0</v>
      </c>
      <c r="BB27" s="138" t="str">
        <f>IF(J27+R27=0,"×","○")</f>
        <v>×</v>
      </c>
      <c r="BC27" s="155">
        <f>SUM(J27,R27,Z27,AH27,AP27,AX27)</f>
        <v>0</v>
      </c>
    </row>
    <row r="28" spans="2:55" ht="18.75" customHeight="1">
      <c r="B28" s="877"/>
      <c r="C28" s="162" t="s">
        <v>141</v>
      </c>
      <c r="D28" s="157">
        <f t="shared" ref="D28:I28" si="60">D$4*D27</f>
        <v>0</v>
      </c>
      <c r="E28" s="157">
        <f t="shared" si="60"/>
        <v>0</v>
      </c>
      <c r="F28" s="157">
        <f t="shared" si="60"/>
        <v>0</v>
      </c>
      <c r="G28" s="157">
        <f t="shared" si="60"/>
        <v>0</v>
      </c>
      <c r="H28" s="157">
        <f t="shared" si="60"/>
        <v>0</v>
      </c>
      <c r="I28" s="157">
        <f t="shared" si="60"/>
        <v>0</v>
      </c>
      <c r="J28" s="158">
        <f>IFERROR(ROUND(SUM(D28:I28)/J27,3),0)</f>
        <v>0</v>
      </c>
      <c r="K28" s="879"/>
      <c r="L28" s="159">
        <f t="shared" ref="L28:Q28" si="61">L$4*L27</f>
        <v>0</v>
      </c>
      <c r="M28" s="157">
        <f t="shared" si="61"/>
        <v>0</v>
      </c>
      <c r="N28" s="157">
        <f t="shared" si="61"/>
        <v>0</v>
      </c>
      <c r="O28" s="157">
        <f t="shared" si="61"/>
        <v>0</v>
      </c>
      <c r="P28" s="157">
        <f t="shared" si="61"/>
        <v>0</v>
      </c>
      <c r="Q28" s="157">
        <f t="shared" si="61"/>
        <v>0</v>
      </c>
      <c r="R28" s="158">
        <f>IFERROR(ROUND(SUM(L28:Q28)/R27,3),0)</f>
        <v>0</v>
      </c>
      <c r="S28" s="879"/>
      <c r="T28" s="160">
        <f t="shared" ref="T28:Y28" si="62">T$4*T27</f>
        <v>0</v>
      </c>
      <c r="U28" s="157">
        <f t="shared" si="62"/>
        <v>0</v>
      </c>
      <c r="V28" s="157">
        <f t="shared" si="62"/>
        <v>0</v>
      </c>
      <c r="W28" s="157">
        <f t="shared" si="62"/>
        <v>0</v>
      </c>
      <c r="X28" s="157">
        <f t="shared" si="62"/>
        <v>0</v>
      </c>
      <c r="Y28" s="157">
        <f t="shared" si="62"/>
        <v>0</v>
      </c>
      <c r="Z28" s="158">
        <f>IFERROR(ROUND(SUM(T28:Y28)/Z27,3),0)</f>
        <v>0</v>
      </c>
      <c r="AA28" s="879"/>
      <c r="AB28" s="159">
        <f t="shared" ref="AB28:AG28" si="63">AB$4*AB27</f>
        <v>0</v>
      </c>
      <c r="AC28" s="157">
        <f t="shared" si="63"/>
        <v>0</v>
      </c>
      <c r="AD28" s="157">
        <f t="shared" si="63"/>
        <v>0</v>
      </c>
      <c r="AE28" s="157">
        <f t="shared" si="63"/>
        <v>0</v>
      </c>
      <c r="AF28" s="157">
        <f t="shared" si="63"/>
        <v>0</v>
      </c>
      <c r="AG28" s="157">
        <f t="shared" si="63"/>
        <v>0</v>
      </c>
      <c r="AH28" s="158">
        <f>IFERROR(ROUND(SUM(AB28:AG28)/AH27,3),0)</f>
        <v>0</v>
      </c>
      <c r="AI28" s="879"/>
      <c r="AJ28" s="160">
        <f t="shared" ref="AJ28:AO28" si="64">AJ$4*AJ27</f>
        <v>0</v>
      </c>
      <c r="AK28" s="157">
        <f t="shared" si="64"/>
        <v>0</v>
      </c>
      <c r="AL28" s="157">
        <f t="shared" si="64"/>
        <v>0</v>
      </c>
      <c r="AM28" s="157">
        <f t="shared" si="64"/>
        <v>0</v>
      </c>
      <c r="AN28" s="157">
        <f t="shared" si="64"/>
        <v>0</v>
      </c>
      <c r="AO28" s="157">
        <f t="shared" si="64"/>
        <v>0</v>
      </c>
      <c r="AP28" s="158">
        <f>IFERROR(ROUND(SUM(AJ28:AO28)/AP27,3),0)</f>
        <v>0</v>
      </c>
      <c r="AQ28" s="879"/>
      <c r="AR28" s="159">
        <f t="shared" ref="AR28:AW28" si="65">AR$4*AR27</f>
        <v>0</v>
      </c>
      <c r="AS28" s="157">
        <f t="shared" si="65"/>
        <v>0</v>
      </c>
      <c r="AT28" s="157">
        <f t="shared" si="65"/>
        <v>0</v>
      </c>
      <c r="AU28" s="157">
        <f t="shared" si="65"/>
        <v>0</v>
      </c>
      <c r="AV28" s="157">
        <f t="shared" si="65"/>
        <v>0</v>
      </c>
      <c r="AW28" s="157">
        <f t="shared" si="65"/>
        <v>0</v>
      </c>
      <c r="AX28" s="157">
        <f>IFERROR(ROUND(SUM(AR28:AW28)/AX27,3),0)</f>
        <v>0</v>
      </c>
      <c r="AY28" s="879"/>
      <c r="BA28" s="880"/>
      <c r="BB28" s="138"/>
      <c r="BC28" s="161"/>
    </row>
    <row r="29" spans="2:55" ht="18.75" customHeight="1">
      <c r="B29" s="876" t="s">
        <v>151</v>
      </c>
      <c r="C29" s="187" t="s">
        <v>140</v>
      </c>
      <c r="D29" s="185"/>
      <c r="E29" s="185"/>
      <c r="F29" s="185"/>
      <c r="G29" s="185"/>
      <c r="H29" s="185"/>
      <c r="I29" s="185"/>
      <c r="J29" s="153">
        <f>SUM(D29:I29)</f>
        <v>0</v>
      </c>
      <c r="K29" s="878">
        <f>ROUND(J30/3*J29,2)</f>
        <v>0</v>
      </c>
      <c r="L29" s="185"/>
      <c r="M29" s="185"/>
      <c r="N29" s="185"/>
      <c r="O29" s="185"/>
      <c r="P29" s="185"/>
      <c r="Q29" s="185"/>
      <c r="R29" s="153">
        <f>SUM(L29:Q29)</f>
        <v>0</v>
      </c>
      <c r="S29" s="878">
        <f>ROUND(R30/5*R29,2)</f>
        <v>0</v>
      </c>
      <c r="T29" s="185"/>
      <c r="U29" s="185"/>
      <c r="V29" s="185"/>
      <c r="W29" s="185"/>
      <c r="X29" s="185"/>
      <c r="Y29" s="185"/>
      <c r="Z29" s="153">
        <f>SUM(T29:Y29)</f>
        <v>0</v>
      </c>
      <c r="AA29" s="878">
        <f>ROUND(Z30/6*Z29,2)</f>
        <v>0</v>
      </c>
      <c r="AB29" s="185"/>
      <c r="AC29" s="185"/>
      <c r="AD29" s="185"/>
      <c r="AE29" s="185"/>
      <c r="AF29" s="185"/>
      <c r="AG29" s="185"/>
      <c r="AH29" s="153">
        <f>SUM(AB29:AG29)</f>
        <v>0</v>
      </c>
      <c r="AI29" s="878">
        <f>ROUND(AH30/15*AH29,2)</f>
        <v>0</v>
      </c>
      <c r="AJ29" s="185"/>
      <c r="AK29" s="185"/>
      <c r="AL29" s="185"/>
      <c r="AM29" s="185"/>
      <c r="AN29" s="185"/>
      <c r="AO29" s="185"/>
      <c r="AP29" s="153">
        <f>SUM(AJ29:AO29)</f>
        <v>0</v>
      </c>
      <c r="AQ29" s="878">
        <f>ROUND(AP30/20*AP29,2)</f>
        <v>0</v>
      </c>
      <c r="AR29" s="185"/>
      <c r="AS29" s="185"/>
      <c r="AT29" s="185"/>
      <c r="AU29" s="185"/>
      <c r="AV29" s="185"/>
      <c r="AW29" s="185"/>
      <c r="AX29" s="173">
        <f>SUM(AR29:AW29)</f>
        <v>0</v>
      </c>
      <c r="AY29" s="878">
        <f>ROUND(AX30/25*AX29,2)</f>
        <v>0</v>
      </c>
      <c r="BA29" s="880">
        <f>ROUND(AY29+AQ29+AI29+AA29+S29+K29,1)</f>
        <v>0</v>
      </c>
      <c r="BB29" s="138" t="str">
        <f>IF(J29+R29=0,"×","○")</f>
        <v>×</v>
      </c>
      <c r="BC29" s="155">
        <f>SUM(J29,R29,Z29,AH29,AP29,AX29)</f>
        <v>0</v>
      </c>
    </row>
    <row r="30" spans="2:55" ht="18.75" customHeight="1" thickBot="1">
      <c r="B30" s="884"/>
      <c r="C30" s="163" t="s">
        <v>141</v>
      </c>
      <c r="D30" s="164">
        <f t="shared" ref="D30:I30" si="66">D$4*D29</f>
        <v>0</v>
      </c>
      <c r="E30" s="164">
        <f t="shared" si="66"/>
        <v>0</v>
      </c>
      <c r="F30" s="164">
        <f t="shared" si="66"/>
        <v>0</v>
      </c>
      <c r="G30" s="164">
        <f t="shared" si="66"/>
        <v>0</v>
      </c>
      <c r="H30" s="164">
        <f t="shared" si="66"/>
        <v>0</v>
      </c>
      <c r="I30" s="164">
        <f t="shared" si="66"/>
        <v>0</v>
      </c>
      <c r="J30" s="165">
        <f>IFERROR(ROUND(SUM(D30:I30)/J29,3),0)</f>
        <v>0</v>
      </c>
      <c r="K30" s="879"/>
      <c r="L30" s="166">
        <f t="shared" ref="L30:Q30" si="67">L$4*L29</f>
        <v>0</v>
      </c>
      <c r="M30" s="164">
        <f t="shared" si="67"/>
        <v>0</v>
      </c>
      <c r="N30" s="164">
        <f t="shared" si="67"/>
        <v>0</v>
      </c>
      <c r="O30" s="164">
        <f t="shared" si="67"/>
        <v>0</v>
      </c>
      <c r="P30" s="164">
        <f t="shared" si="67"/>
        <v>0</v>
      </c>
      <c r="Q30" s="164">
        <f t="shared" si="67"/>
        <v>0</v>
      </c>
      <c r="R30" s="165">
        <f>IFERROR(ROUND(SUM(L30:Q30)/R29,3),0)</f>
        <v>0</v>
      </c>
      <c r="S30" s="879"/>
      <c r="T30" s="167">
        <f t="shared" ref="T30:Y30" si="68">T$4*T29</f>
        <v>0</v>
      </c>
      <c r="U30" s="164">
        <f t="shared" si="68"/>
        <v>0</v>
      </c>
      <c r="V30" s="164">
        <f t="shared" si="68"/>
        <v>0</v>
      </c>
      <c r="W30" s="164">
        <f t="shared" si="68"/>
        <v>0</v>
      </c>
      <c r="X30" s="164">
        <f t="shared" si="68"/>
        <v>0</v>
      </c>
      <c r="Y30" s="164">
        <f t="shared" si="68"/>
        <v>0</v>
      </c>
      <c r="Z30" s="165">
        <f>IFERROR(ROUND(SUM(T30:Y30)/Z29,3),0)</f>
        <v>0</v>
      </c>
      <c r="AA30" s="879"/>
      <c r="AB30" s="166">
        <f t="shared" ref="AB30:AG30" si="69">AB$4*AB29</f>
        <v>0</v>
      </c>
      <c r="AC30" s="164">
        <f t="shared" si="69"/>
        <v>0</v>
      </c>
      <c r="AD30" s="164">
        <f t="shared" si="69"/>
        <v>0</v>
      </c>
      <c r="AE30" s="164">
        <f t="shared" si="69"/>
        <v>0</v>
      </c>
      <c r="AF30" s="164">
        <f t="shared" si="69"/>
        <v>0</v>
      </c>
      <c r="AG30" s="164">
        <f t="shared" si="69"/>
        <v>0</v>
      </c>
      <c r="AH30" s="165">
        <f>IFERROR(ROUND(SUM(AB30:AG30)/AH29,3),0)</f>
        <v>0</v>
      </c>
      <c r="AI30" s="879"/>
      <c r="AJ30" s="167">
        <f t="shared" ref="AJ30:AO30" si="70">AJ$4*AJ29</f>
        <v>0</v>
      </c>
      <c r="AK30" s="164">
        <f t="shared" si="70"/>
        <v>0</v>
      </c>
      <c r="AL30" s="164">
        <f t="shared" si="70"/>
        <v>0</v>
      </c>
      <c r="AM30" s="164">
        <f t="shared" si="70"/>
        <v>0</v>
      </c>
      <c r="AN30" s="164">
        <f t="shared" si="70"/>
        <v>0</v>
      </c>
      <c r="AO30" s="164">
        <f t="shared" si="70"/>
        <v>0</v>
      </c>
      <c r="AP30" s="165">
        <f>IFERROR(ROUND(SUM(AJ30:AO30)/AP29,3),0)</f>
        <v>0</v>
      </c>
      <c r="AQ30" s="879"/>
      <c r="AR30" s="166">
        <f t="shared" ref="AR30:AW30" si="71">AR$4*AR29</f>
        <v>0</v>
      </c>
      <c r="AS30" s="164">
        <f t="shared" si="71"/>
        <v>0</v>
      </c>
      <c r="AT30" s="164">
        <f t="shared" si="71"/>
        <v>0</v>
      </c>
      <c r="AU30" s="164">
        <f t="shared" si="71"/>
        <v>0</v>
      </c>
      <c r="AV30" s="164">
        <f t="shared" si="71"/>
        <v>0</v>
      </c>
      <c r="AW30" s="164">
        <f t="shared" si="71"/>
        <v>0</v>
      </c>
      <c r="AX30" s="174">
        <f>IFERROR(ROUND(SUM(AR30:AW30)/AX29,3),0)</f>
        <v>0</v>
      </c>
      <c r="AY30" s="879"/>
      <c r="BA30" s="880"/>
    </row>
    <row r="31" spans="2:55" ht="20.25" customHeight="1">
      <c r="B31" s="881" t="s">
        <v>152</v>
      </c>
      <c r="C31" s="187" t="s">
        <v>140</v>
      </c>
      <c r="D31" s="216">
        <f>ROUND(SUM(D7,D9,D11,D13,D15,D17,D19,D21,D23,D25,D27,D29)/12,0)</f>
        <v>0</v>
      </c>
      <c r="E31" s="217">
        <f>ROUND(SUM(E7,E9,E11,E13,E15,E17,E19,E21,E23,E25,E27,E29)/12,0)</f>
        <v>0</v>
      </c>
      <c r="F31" s="217">
        <f t="shared" ref="F31:H31" si="72">ROUND(SUM(F7,F9,F11,F13,F15,F17,F19,F21,F23,F25,F27,F29)/12,0)</f>
        <v>0</v>
      </c>
      <c r="G31" s="217">
        <f t="shared" si="72"/>
        <v>0</v>
      </c>
      <c r="H31" s="217">
        <f t="shared" si="72"/>
        <v>0</v>
      </c>
      <c r="I31" s="217">
        <f>ROUND(SUM(I7,I9,I11,I13,I15,I17,I19,I21,I23,I25,I27,I29)/12,0)</f>
        <v>0</v>
      </c>
      <c r="J31" s="217">
        <f>SUM(D31:I31)</f>
        <v>0</v>
      </c>
      <c r="K31" s="878">
        <f>ROUND(J32/3*J31,2)</f>
        <v>0</v>
      </c>
      <c r="L31" s="216">
        <f t="shared" ref="L31:Q31" si="73">ROUND(SUM(L7,L9,L11,L13,L15,L17,L19,L21,L23,L25,L27,L29)/12,0)</f>
        <v>0</v>
      </c>
      <c r="M31" s="217">
        <f t="shared" si="73"/>
        <v>0</v>
      </c>
      <c r="N31" s="217">
        <f t="shared" si="73"/>
        <v>0</v>
      </c>
      <c r="O31" s="217">
        <f t="shared" si="73"/>
        <v>0</v>
      </c>
      <c r="P31" s="217">
        <f t="shared" si="73"/>
        <v>0</v>
      </c>
      <c r="Q31" s="217">
        <f t="shared" si="73"/>
        <v>0</v>
      </c>
      <c r="R31" s="217">
        <f>SUM(L31:Q31)</f>
        <v>0</v>
      </c>
      <c r="S31" s="878">
        <f>ROUND(R32/5*R31,2)</f>
        <v>0</v>
      </c>
      <c r="T31" s="216">
        <f>ROUND(SUM(T7,T9,T11,T13,T15,T17,T19,T21,T23,T25,T27,T29)/12,0)</f>
        <v>0</v>
      </c>
      <c r="U31" s="217">
        <f>ROUND(SUM(U7,U9,U11,U13,U15,U17,U19,U21,U23,U25,U27,U29)/12,0)</f>
        <v>0</v>
      </c>
      <c r="V31" s="217">
        <f t="shared" ref="V31:Y31" si="74">ROUND(SUM(V7,V9,V11,V13,V15,V17,V19,V21,V23,V25,V27,V29)/12,0)</f>
        <v>0</v>
      </c>
      <c r="W31" s="217">
        <f t="shared" si="74"/>
        <v>0</v>
      </c>
      <c r="X31" s="217">
        <f t="shared" si="74"/>
        <v>0</v>
      </c>
      <c r="Y31" s="217">
        <f t="shared" si="74"/>
        <v>0</v>
      </c>
      <c r="Z31" s="217">
        <f>SUM(T31:Y31)</f>
        <v>0</v>
      </c>
      <c r="AA31" s="878">
        <f>ROUND(Z32/6*Z31,2)</f>
        <v>0</v>
      </c>
      <c r="AB31" s="216">
        <f>ROUND(SUM(AB7,AB9,AB11,AB13,AB15,AB17,AB19,AB21,AB23,AB25,AB27,AB29)/12,0)</f>
        <v>0</v>
      </c>
      <c r="AC31" s="217">
        <f>ROUND(SUM(AC7,AC9,AC11,AC13,AC15,AC17,AC19,AC21,AC23,AC25,AC27,AC29)/12,0)</f>
        <v>0</v>
      </c>
      <c r="AD31" s="217">
        <f t="shared" ref="AD31:AG31" si="75">ROUND(SUM(AD7,AD9,AD11,AD13,AD15,AD17,AD19,AD21,AD23,AD25,AD27,AD29)/12,0)</f>
        <v>0</v>
      </c>
      <c r="AE31" s="217">
        <f t="shared" si="75"/>
        <v>0</v>
      </c>
      <c r="AF31" s="217">
        <f t="shared" si="75"/>
        <v>0</v>
      </c>
      <c r="AG31" s="217">
        <f t="shared" si="75"/>
        <v>0</v>
      </c>
      <c r="AH31" s="217">
        <f>SUM(AB31:AG31)</f>
        <v>0</v>
      </c>
      <c r="AI31" s="878">
        <f>ROUND(AH32/15*AH31,2)</f>
        <v>0</v>
      </c>
      <c r="AJ31" s="216">
        <f>ROUND(SUM(AJ7,AJ9,AJ11,AJ13,AJ15,AJ17,AJ19,AJ21,AJ23,AJ25,AJ27,AJ29)/12,0)</f>
        <v>0</v>
      </c>
      <c r="AK31" s="217">
        <f>ROUND(SUM(AK7,AK9,AK11,AK13,AK15,AK17,AK19,AK21,AK23,AK25,AK27,AK29)/12,0)</f>
        <v>0</v>
      </c>
      <c r="AL31" s="217">
        <f>ROUND(SUM(AL7,AL9,AL11,AL13,AL15,AL17,AL19,AL21,AL23,AL25,AL27,AL29)/12,0)</f>
        <v>0</v>
      </c>
      <c r="AM31" s="217">
        <f t="shared" ref="AM31:AO31" si="76">ROUND(SUM(AM7,AM9,AM11,AM13,AM15,AM17,AM19,AM21,AM23,AM25,AM27,AM29)/12,0)</f>
        <v>0</v>
      </c>
      <c r="AN31" s="217">
        <f t="shared" si="76"/>
        <v>0</v>
      </c>
      <c r="AO31" s="217">
        <f t="shared" si="76"/>
        <v>0</v>
      </c>
      <c r="AP31" s="217">
        <f>SUM(AJ31:AO31)</f>
        <v>0</v>
      </c>
      <c r="AQ31" s="878">
        <f>ROUND(AP32/20*AP31,2)</f>
        <v>0</v>
      </c>
      <c r="AR31" s="216">
        <f>ROUND(SUM(AR7,AR9,AR11,AR13,AR15,AR17,AR19,AR21,AR23,AR25,AR27,AR29)/12,0)</f>
        <v>0</v>
      </c>
      <c r="AS31" s="217">
        <f>ROUND(SUM(AS7,AS9,AS11,AS13,AS15,AS17,AS19,AS21,AS23,AS25,AS27,AS29)/12,0)</f>
        <v>0</v>
      </c>
      <c r="AT31" s="217">
        <f t="shared" ref="AT31:AW31" si="77">ROUND(SUM(AT7,AT9,AT11,AT13,AT15,AT17,AT19,AT21,AT23,AT25,AT27,AT29)/12,0)</f>
        <v>0</v>
      </c>
      <c r="AU31" s="217">
        <f t="shared" si="77"/>
        <v>0</v>
      </c>
      <c r="AV31" s="217">
        <f t="shared" si="77"/>
        <v>0</v>
      </c>
      <c r="AW31" s="217">
        <f t="shared" si="77"/>
        <v>0</v>
      </c>
      <c r="AX31" s="217">
        <f>SUM(AR31:AW31)</f>
        <v>0</v>
      </c>
      <c r="AY31" s="878">
        <f>ROUND(AX32/25*AX31,2)</f>
        <v>0</v>
      </c>
      <c r="BA31" s="880">
        <f>ROUND(AY31+AQ31+AI31+AA31+S31+K31,1)</f>
        <v>0</v>
      </c>
      <c r="BB31" s="192" t="str">
        <f>IF(J31+R31=0,"×","○")</f>
        <v>×</v>
      </c>
      <c r="BC31" s="155">
        <f>SUM(J31,R31,Z31,AH31,AP31,AX31)</f>
        <v>0</v>
      </c>
    </row>
    <row r="32" spans="2:55" ht="20.25" customHeight="1" thickBot="1">
      <c r="B32" s="882"/>
      <c r="C32" s="169" t="s">
        <v>141</v>
      </c>
      <c r="D32" s="171">
        <f>D$4*D31</f>
        <v>0</v>
      </c>
      <c r="E32" s="168">
        <f t="shared" ref="E32:H32" si="78">E$4*E31</f>
        <v>0</v>
      </c>
      <c r="F32" s="168">
        <f t="shared" si="78"/>
        <v>0</v>
      </c>
      <c r="G32" s="168">
        <f t="shared" si="78"/>
        <v>0</v>
      </c>
      <c r="H32" s="168">
        <f t="shared" si="78"/>
        <v>0</v>
      </c>
      <c r="I32" s="168">
        <f>I$4*I31</f>
        <v>0</v>
      </c>
      <c r="J32" s="170">
        <f>IFERROR(ROUND(SUM(D32:I32)/J31,3),0)</f>
        <v>0</v>
      </c>
      <c r="K32" s="885"/>
      <c r="L32" s="171">
        <f>L$4*L31</f>
        <v>0</v>
      </c>
      <c r="M32" s="168">
        <f>M$4*M31</f>
        <v>0</v>
      </c>
      <c r="N32" s="168">
        <f t="shared" ref="N32:Q32" si="79">N$4*N31</f>
        <v>0</v>
      </c>
      <c r="O32" s="168">
        <f t="shared" si="79"/>
        <v>0</v>
      </c>
      <c r="P32" s="168">
        <f t="shared" si="79"/>
        <v>0</v>
      </c>
      <c r="Q32" s="168">
        <f t="shared" si="79"/>
        <v>0</v>
      </c>
      <c r="R32" s="170">
        <f>IFERROR(ROUND(SUM(L32:Q32)/R31,3),0)</f>
        <v>0</v>
      </c>
      <c r="S32" s="885"/>
      <c r="T32" s="171">
        <f>T$4*T31</f>
        <v>0</v>
      </c>
      <c r="U32" s="168">
        <f>U$4*U31</f>
        <v>0</v>
      </c>
      <c r="V32" s="168">
        <f t="shared" ref="V32:Y32" si="80">V$4*V31</f>
        <v>0</v>
      </c>
      <c r="W32" s="168">
        <f t="shared" si="80"/>
        <v>0</v>
      </c>
      <c r="X32" s="168">
        <f t="shared" si="80"/>
        <v>0</v>
      </c>
      <c r="Y32" s="168">
        <f t="shared" si="80"/>
        <v>0</v>
      </c>
      <c r="Z32" s="170">
        <f>IFERROR(ROUND(SUM(T32:Y32)/Z31,3),0)</f>
        <v>0</v>
      </c>
      <c r="AA32" s="885"/>
      <c r="AB32" s="171">
        <f>AB$4*AB31</f>
        <v>0</v>
      </c>
      <c r="AC32" s="168">
        <f>AC$4*AC31</f>
        <v>0</v>
      </c>
      <c r="AD32" s="168">
        <f t="shared" ref="AD32:AG32" si="81">AD$4*AD31</f>
        <v>0</v>
      </c>
      <c r="AE32" s="168">
        <f t="shared" si="81"/>
        <v>0</v>
      </c>
      <c r="AF32" s="168">
        <f t="shared" si="81"/>
        <v>0</v>
      </c>
      <c r="AG32" s="168">
        <f t="shared" si="81"/>
        <v>0</v>
      </c>
      <c r="AH32" s="170">
        <f>IFERROR(ROUND(SUM(AB32:AG32)/AH31,3),0)</f>
        <v>0</v>
      </c>
      <c r="AI32" s="885"/>
      <c r="AJ32" s="171">
        <f>AJ$4*AJ31</f>
        <v>0</v>
      </c>
      <c r="AK32" s="168">
        <f>AK$4*AK31</f>
        <v>0</v>
      </c>
      <c r="AL32" s="168">
        <f t="shared" ref="AL32:AO32" si="82">AL$4*AL31</f>
        <v>0</v>
      </c>
      <c r="AM32" s="168">
        <f t="shared" si="82"/>
        <v>0</v>
      </c>
      <c r="AN32" s="168">
        <f t="shared" si="82"/>
        <v>0</v>
      </c>
      <c r="AO32" s="168">
        <f t="shared" si="82"/>
        <v>0</v>
      </c>
      <c r="AP32" s="170">
        <f>IFERROR(ROUND(SUM(AJ32:AO32)/AP31,3),0)</f>
        <v>0</v>
      </c>
      <c r="AQ32" s="885"/>
      <c r="AR32" s="171">
        <f>AR$4*AR31</f>
        <v>0</v>
      </c>
      <c r="AS32" s="168">
        <f>AS$4*AS31</f>
        <v>0</v>
      </c>
      <c r="AT32" s="168">
        <f t="shared" ref="AT32:AW32" si="83">AT$4*AT31</f>
        <v>0</v>
      </c>
      <c r="AU32" s="168">
        <f t="shared" si="83"/>
        <v>0</v>
      </c>
      <c r="AV32" s="168">
        <f t="shared" si="83"/>
        <v>0</v>
      </c>
      <c r="AW32" s="168">
        <f t="shared" si="83"/>
        <v>0</v>
      </c>
      <c r="AX32" s="170">
        <f>IFERROR(ROUND(SUM(AR32:AW32)/AX31,3),0)</f>
        <v>0</v>
      </c>
      <c r="AY32" s="885"/>
      <c r="BA32" s="880"/>
    </row>
    <row r="33" spans="2:3" ht="20.25" customHeight="1">
      <c r="B33" s="883"/>
      <c r="C33" s="883"/>
    </row>
  </sheetData>
  <sheetProtection algorithmName="SHA-512" hashValue="91KzucWv421qDkvwpmdlqb+QCpLa+ptVGiJYidHRSKOcW30c+TfR8j83m/sAIS4xZmoFjtDnVZIFPPNQyP2B6w==" saltValue="keKrlqpKCeoT/5qh5b++zA==" spinCount="100000" sheet="1" objects="1" scenarios="1"/>
  <mergeCells count="116">
    <mergeCell ref="B31:B32"/>
    <mergeCell ref="B33:C33"/>
    <mergeCell ref="AY27:AY28"/>
    <mergeCell ref="BA27:BA28"/>
    <mergeCell ref="B29:B30"/>
    <mergeCell ref="K29:K30"/>
    <mergeCell ref="S29:S30"/>
    <mergeCell ref="AA29:AA30"/>
    <mergeCell ref="AI29:AI30"/>
    <mergeCell ref="AQ29:AQ30"/>
    <mergeCell ref="AQ31:AQ32"/>
    <mergeCell ref="K31:K32"/>
    <mergeCell ref="S31:S32"/>
    <mergeCell ref="AA31:AA32"/>
    <mergeCell ref="AI31:AI32"/>
    <mergeCell ref="AY31:AY32"/>
    <mergeCell ref="BA31:BA32"/>
    <mergeCell ref="B25:B26"/>
    <mergeCell ref="K25:K26"/>
    <mergeCell ref="S25:S26"/>
    <mergeCell ref="AA25:AA26"/>
    <mergeCell ref="AI25:AI26"/>
    <mergeCell ref="AQ25:AQ26"/>
    <mergeCell ref="AY25:AY26"/>
    <mergeCell ref="BA25:BA26"/>
    <mergeCell ref="AY29:AY30"/>
    <mergeCell ref="BA29:BA30"/>
    <mergeCell ref="B27:B28"/>
    <mergeCell ref="K27:K28"/>
    <mergeCell ref="S27:S28"/>
    <mergeCell ref="AA27:AA28"/>
    <mergeCell ref="AI27:AI28"/>
    <mergeCell ref="AQ27:AQ28"/>
    <mergeCell ref="B21:B22"/>
    <mergeCell ref="K21:K22"/>
    <mergeCell ref="S21:S22"/>
    <mergeCell ref="AA21:AA22"/>
    <mergeCell ref="AI21:AI22"/>
    <mergeCell ref="AQ21:AQ22"/>
    <mergeCell ref="AY21:AY22"/>
    <mergeCell ref="BA21:BA22"/>
    <mergeCell ref="B23:B24"/>
    <mergeCell ref="K23:K24"/>
    <mergeCell ref="S23:S24"/>
    <mergeCell ref="AA23:AA24"/>
    <mergeCell ref="AI23:AI24"/>
    <mergeCell ref="AQ23:AQ24"/>
    <mergeCell ref="AY23:AY24"/>
    <mergeCell ref="BA23:BA24"/>
    <mergeCell ref="B17:B18"/>
    <mergeCell ref="K17:K18"/>
    <mergeCell ref="S17:S18"/>
    <mergeCell ref="AA17:AA18"/>
    <mergeCell ref="AI17:AI18"/>
    <mergeCell ref="AQ17:AQ18"/>
    <mergeCell ref="AY17:AY18"/>
    <mergeCell ref="BA17:BA18"/>
    <mergeCell ref="B19:B20"/>
    <mergeCell ref="K19:K20"/>
    <mergeCell ref="S19:S20"/>
    <mergeCell ref="AA19:AA20"/>
    <mergeCell ref="AI19:AI20"/>
    <mergeCell ref="AQ19:AQ20"/>
    <mergeCell ref="AY19:AY20"/>
    <mergeCell ref="BA19:BA20"/>
    <mergeCell ref="B13:B14"/>
    <mergeCell ref="K13:K14"/>
    <mergeCell ref="S13:S14"/>
    <mergeCell ref="AA13:AA14"/>
    <mergeCell ref="AI13:AI14"/>
    <mergeCell ref="AQ13:AQ14"/>
    <mergeCell ref="AY13:AY14"/>
    <mergeCell ref="BA13:BA14"/>
    <mergeCell ref="B15:B16"/>
    <mergeCell ref="K15:K16"/>
    <mergeCell ref="S15:S16"/>
    <mergeCell ref="AA15:AA16"/>
    <mergeCell ref="AI15:AI16"/>
    <mergeCell ref="AQ15:AQ16"/>
    <mergeCell ref="AY15:AY16"/>
    <mergeCell ref="BA15:BA16"/>
    <mergeCell ref="B9:B10"/>
    <mergeCell ref="K9:K10"/>
    <mergeCell ref="S9:S10"/>
    <mergeCell ref="AA9:AA10"/>
    <mergeCell ref="AI9:AI10"/>
    <mergeCell ref="AQ9:AQ10"/>
    <mergeCell ref="AY9:AY10"/>
    <mergeCell ref="BA9:BA10"/>
    <mergeCell ref="B11:B12"/>
    <mergeCell ref="K11:K12"/>
    <mergeCell ref="S11:S12"/>
    <mergeCell ref="AA11:AA12"/>
    <mergeCell ref="AI11:AI12"/>
    <mergeCell ref="AQ11:AQ12"/>
    <mergeCell ref="AY11:AY12"/>
    <mergeCell ref="BA11:BA12"/>
    <mergeCell ref="BB5:BB6"/>
    <mergeCell ref="BC5:BC6"/>
    <mergeCell ref="B7:B8"/>
    <mergeCell ref="K7:K8"/>
    <mergeCell ref="S7:S8"/>
    <mergeCell ref="AA7:AA8"/>
    <mergeCell ref="AI7:AI8"/>
    <mergeCell ref="AQ7:AQ8"/>
    <mergeCell ref="AY7:AY8"/>
    <mergeCell ref="BA7:BA8"/>
    <mergeCell ref="A1:D2"/>
    <mergeCell ref="B5:C6"/>
    <mergeCell ref="D5:K5"/>
    <mergeCell ref="L5:S5"/>
    <mergeCell ref="T5:Z5"/>
    <mergeCell ref="AB5:AI5"/>
    <mergeCell ref="F1:X2"/>
    <mergeCell ref="AJ5:AQ5"/>
    <mergeCell ref="AR5:AY5"/>
  </mergeCells>
  <phoneticPr fontId="3"/>
  <pageMargins left="0.7" right="0.7" top="0.75" bottom="0.75" header="0.3" footer="0.3"/>
  <pageSetup paperSize="9" scale="22"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FC000"/>
    <pageSetUpPr fitToPage="1"/>
  </sheetPr>
  <dimension ref="A1:V93"/>
  <sheetViews>
    <sheetView view="pageBreakPreview" zoomScale="80" zoomScaleNormal="100" zoomScaleSheetLayoutView="80" workbookViewId="0">
      <selection activeCell="B8" sqref="B8:C8"/>
    </sheetView>
  </sheetViews>
  <sheetFormatPr defaultRowHeight="13.5"/>
  <cols>
    <col min="1" max="1" width="4.5" style="1" customWidth="1"/>
    <col min="2" max="2" width="17.25" style="1" customWidth="1"/>
    <col min="3" max="3" width="14.875" style="1" customWidth="1"/>
    <col min="4" max="6" width="10.625" style="1" customWidth="1"/>
    <col min="7" max="18" width="9.25" style="1" customWidth="1"/>
    <col min="19" max="19" width="4.25" style="1" customWidth="1"/>
    <col min="20" max="21" width="8.375" style="1" customWidth="1"/>
    <col min="22" max="29" width="7.25" style="1" customWidth="1"/>
    <col min="30" max="30" width="10.375" style="1" customWidth="1"/>
    <col min="31" max="31" width="17.375" style="1" customWidth="1"/>
    <col min="32" max="16384" width="9" style="1"/>
  </cols>
  <sheetData>
    <row r="1" spans="1:19" ht="18" customHeight="1" thickBot="1">
      <c r="A1" s="8"/>
      <c r="B1" s="135" t="s">
        <v>118</v>
      </c>
      <c r="C1" s="222">
        <f>様式１!C1</f>
        <v>0</v>
      </c>
      <c r="D1" s="9"/>
      <c r="E1" s="9"/>
      <c r="F1" s="9"/>
      <c r="G1" s="11"/>
      <c r="H1" s="13"/>
      <c r="I1" s="13"/>
      <c r="J1" s="13"/>
      <c r="K1" s="13"/>
      <c r="M1" s="14"/>
      <c r="N1" s="15"/>
      <c r="O1" s="14"/>
      <c r="P1" s="14"/>
    </row>
    <row r="2" spans="1:19" ht="21.95" customHeight="1" thickTop="1" thickBot="1">
      <c r="A2" s="89"/>
      <c r="B2" s="89" t="s">
        <v>104</v>
      </c>
      <c r="C2" s="912">
        <f>様式１!C2</f>
        <v>0</v>
      </c>
      <c r="D2" s="913"/>
      <c r="E2" s="913"/>
      <c r="F2" s="914"/>
      <c r="G2" s="103"/>
      <c r="H2" s="90"/>
      <c r="I2" s="90"/>
      <c r="J2" s="90"/>
      <c r="K2" s="91"/>
      <c r="L2" s="91"/>
      <c r="M2" s="91"/>
      <c r="N2" s="91"/>
      <c r="O2" s="91"/>
      <c r="P2" s="91"/>
      <c r="Q2" s="7"/>
      <c r="R2" s="7"/>
      <c r="S2" s="7"/>
    </row>
    <row r="3" spans="1:19" ht="43.5" customHeight="1" thickTop="1">
      <c r="A3" s="89"/>
      <c r="B3" s="89"/>
      <c r="C3" s="91"/>
      <c r="D3" s="91"/>
      <c r="E3" s="91"/>
      <c r="F3" s="91"/>
      <c r="G3" s="90"/>
      <c r="H3" s="90"/>
      <c r="I3" s="92"/>
      <c r="J3" s="90"/>
      <c r="K3" s="91"/>
      <c r="L3" s="91"/>
      <c r="M3" s="91"/>
      <c r="N3" s="91"/>
      <c r="O3" s="91"/>
      <c r="P3" s="91"/>
      <c r="Q3" s="7"/>
      <c r="R3" s="7"/>
      <c r="S3" s="7"/>
    </row>
    <row r="4" spans="1:19" ht="78.75" customHeight="1">
      <c r="A4" s="16"/>
      <c r="B4" s="16"/>
      <c r="C4" s="16"/>
      <c r="D4" s="16"/>
      <c r="E4" s="16"/>
      <c r="F4" s="16"/>
      <c r="G4" s="915"/>
      <c r="H4" s="915"/>
      <c r="I4" s="75"/>
      <c r="J4" s="915"/>
      <c r="K4" s="915"/>
      <c r="L4" s="75"/>
      <c r="M4" s="7"/>
      <c r="N4" s="7"/>
      <c r="O4" s="7"/>
      <c r="P4" s="7"/>
      <c r="Q4" s="7"/>
      <c r="R4" s="7"/>
      <c r="S4" s="7"/>
    </row>
    <row r="5" spans="1:19" ht="24.75" customHeight="1" thickBot="1">
      <c r="A5" s="296" t="s">
        <v>231</v>
      </c>
      <c r="B5" s="18"/>
      <c r="C5" s="19"/>
      <c r="D5" s="19"/>
      <c r="E5" s="19"/>
      <c r="F5" s="19"/>
      <c r="S5" s="75"/>
    </row>
    <row r="6" spans="1:19" ht="28.5" customHeight="1">
      <c r="A6" s="897" t="s">
        <v>13</v>
      </c>
      <c r="B6" s="899" t="s">
        <v>98</v>
      </c>
      <c r="C6" s="900"/>
      <c r="D6" s="903" t="s">
        <v>99</v>
      </c>
      <c r="E6" s="896"/>
      <c r="F6" s="896"/>
      <c r="G6" s="906" t="s">
        <v>100</v>
      </c>
      <c r="H6" s="907"/>
      <c r="I6" s="907"/>
      <c r="J6" s="907"/>
      <c r="K6" s="907"/>
      <c r="L6" s="907"/>
      <c r="M6" s="907"/>
      <c r="N6" s="907"/>
      <c r="O6" s="907"/>
      <c r="P6" s="907"/>
      <c r="Q6" s="907"/>
      <c r="R6" s="908"/>
      <c r="S6" s="7"/>
    </row>
    <row r="7" spans="1:19" ht="56.25">
      <c r="A7" s="898"/>
      <c r="B7" s="901"/>
      <c r="C7" s="902"/>
      <c r="D7" s="194" t="s">
        <v>232</v>
      </c>
      <c r="E7" s="195" t="s">
        <v>103</v>
      </c>
      <c r="F7" s="106" t="s">
        <v>101</v>
      </c>
      <c r="G7" s="88">
        <v>4</v>
      </c>
      <c r="H7" s="86">
        <v>5</v>
      </c>
      <c r="I7" s="86">
        <v>6</v>
      </c>
      <c r="J7" s="86">
        <v>7</v>
      </c>
      <c r="K7" s="86">
        <v>8</v>
      </c>
      <c r="L7" s="86">
        <v>9</v>
      </c>
      <c r="M7" s="86">
        <v>10</v>
      </c>
      <c r="N7" s="86">
        <v>11</v>
      </c>
      <c r="O7" s="86">
        <v>12</v>
      </c>
      <c r="P7" s="86">
        <v>1</v>
      </c>
      <c r="Q7" s="86">
        <v>2</v>
      </c>
      <c r="R7" s="87">
        <v>3</v>
      </c>
      <c r="S7" s="7"/>
    </row>
    <row r="8" spans="1:19" ht="22.5" customHeight="1">
      <c r="A8" s="21">
        <v>1</v>
      </c>
      <c r="B8" s="892"/>
      <c r="C8" s="893"/>
      <c r="D8" s="94"/>
      <c r="E8" s="95"/>
      <c r="F8" s="107"/>
      <c r="G8" s="96"/>
      <c r="H8" s="97"/>
      <c r="I8" s="98"/>
      <c r="J8" s="97"/>
      <c r="K8" s="98"/>
      <c r="L8" s="97"/>
      <c r="M8" s="98"/>
      <c r="N8" s="97"/>
      <c r="O8" s="98"/>
      <c r="P8" s="97"/>
      <c r="Q8" s="98"/>
      <c r="R8" s="99"/>
      <c r="S8" s="7"/>
    </row>
    <row r="9" spans="1:19" ht="22.5" customHeight="1">
      <c r="A9" s="21">
        <v>2</v>
      </c>
      <c r="B9" s="892"/>
      <c r="C9" s="893"/>
      <c r="D9" s="94"/>
      <c r="E9" s="95"/>
      <c r="F9" s="107"/>
      <c r="G9" s="96"/>
      <c r="H9" s="97"/>
      <c r="I9" s="98"/>
      <c r="J9" s="97"/>
      <c r="K9" s="98"/>
      <c r="L9" s="97"/>
      <c r="M9" s="98"/>
      <c r="N9" s="97"/>
      <c r="O9" s="98"/>
      <c r="P9" s="97"/>
      <c r="Q9" s="98"/>
      <c r="R9" s="99"/>
      <c r="S9" s="7"/>
    </row>
    <row r="10" spans="1:19" ht="22.5" customHeight="1">
      <c r="A10" s="21">
        <v>3</v>
      </c>
      <c r="B10" s="892"/>
      <c r="C10" s="893"/>
      <c r="D10" s="94"/>
      <c r="E10" s="95"/>
      <c r="F10" s="107"/>
      <c r="G10" s="96"/>
      <c r="H10" s="97"/>
      <c r="I10" s="98"/>
      <c r="J10" s="97"/>
      <c r="K10" s="98"/>
      <c r="L10" s="97"/>
      <c r="M10" s="98"/>
      <c r="N10" s="97"/>
      <c r="O10" s="98"/>
      <c r="P10" s="97"/>
      <c r="Q10" s="98"/>
      <c r="R10" s="99"/>
      <c r="S10" s="7"/>
    </row>
    <row r="11" spans="1:19" ht="22.5" customHeight="1">
      <c r="A11" s="21">
        <v>4</v>
      </c>
      <c r="B11" s="892"/>
      <c r="C11" s="893"/>
      <c r="D11" s="94"/>
      <c r="E11" s="95"/>
      <c r="F11" s="107"/>
      <c r="G11" s="96"/>
      <c r="H11" s="97"/>
      <c r="I11" s="98"/>
      <c r="J11" s="97"/>
      <c r="K11" s="98"/>
      <c r="L11" s="97"/>
      <c r="M11" s="98"/>
      <c r="N11" s="97"/>
      <c r="O11" s="98"/>
      <c r="P11" s="97"/>
      <c r="Q11" s="98"/>
      <c r="R11" s="99"/>
      <c r="S11" s="7"/>
    </row>
    <row r="12" spans="1:19" ht="22.5" customHeight="1">
      <c r="A12" s="21">
        <v>5</v>
      </c>
      <c r="B12" s="892"/>
      <c r="C12" s="893"/>
      <c r="D12" s="94"/>
      <c r="E12" s="95"/>
      <c r="F12" s="107"/>
      <c r="G12" s="96"/>
      <c r="H12" s="97"/>
      <c r="I12" s="98"/>
      <c r="J12" s="97"/>
      <c r="K12" s="98"/>
      <c r="L12" s="97"/>
      <c r="M12" s="98"/>
      <c r="N12" s="97"/>
      <c r="O12" s="98"/>
      <c r="P12" s="97"/>
      <c r="Q12" s="98"/>
      <c r="R12" s="99"/>
      <c r="S12" s="7"/>
    </row>
    <row r="13" spans="1:19" ht="22.5" customHeight="1">
      <c r="A13" s="21">
        <v>6</v>
      </c>
      <c r="B13" s="892"/>
      <c r="C13" s="893"/>
      <c r="D13" s="94"/>
      <c r="E13" s="95"/>
      <c r="F13" s="107"/>
      <c r="G13" s="96"/>
      <c r="H13" s="97"/>
      <c r="I13" s="98"/>
      <c r="J13" s="97"/>
      <c r="K13" s="98"/>
      <c r="L13" s="97"/>
      <c r="M13" s="98"/>
      <c r="N13" s="97"/>
      <c r="O13" s="98"/>
      <c r="P13" s="97"/>
      <c r="Q13" s="98"/>
      <c r="R13" s="99"/>
      <c r="S13" s="7"/>
    </row>
    <row r="14" spans="1:19" ht="22.5" customHeight="1">
      <c r="A14" s="21">
        <v>7</v>
      </c>
      <c r="B14" s="892"/>
      <c r="C14" s="893"/>
      <c r="D14" s="94"/>
      <c r="E14" s="95"/>
      <c r="F14" s="107"/>
      <c r="G14" s="96"/>
      <c r="H14" s="97"/>
      <c r="I14" s="98"/>
      <c r="J14" s="97"/>
      <c r="K14" s="98"/>
      <c r="L14" s="97"/>
      <c r="M14" s="98"/>
      <c r="N14" s="97"/>
      <c r="O14" s="98"/>
      <c r="P14" s="97"/>
      <c r="Q14" s="98"/>
      <c r="R14" s="99"/>
      <c r="S14" s="7"/>
    </row>
    <row r="15" spans="1:19" ht="22.5" customHeight="1">
      <c r="A15" s="21">
        <v>8</v>
      </c>
      <c r="B15" s="892"/>
      <c r="C15" s="893"/>
      <c r="D15" s="94"/>
      <c r="E15" s="95"/>
      <c r="F15" s="107"/>
      <c r="G15" s="96"/>
      <c r="H15" s="97"/>
      <c r="I15" s="98"/>
      <c r="J15" s="97"/>
      <c r="K15" s="98"/>
      <c r="L15" s="97"/>
      <c r="M15" s="98"/>
      <c r="N15" s="97"/>
      <c r="O15" s="98"/>
      <c r="P15" s="97"/>
      <c r="Q15" s="98"/>
      <c r="R15" s="99"/>
      <c r="S15" s="7"/>
    </row>
    <row r="16" spans="1:19" ht="22.5" customHeight="1">
      <c r="A16" s="21">
        <v>9</v>
      </c>
      <c r="B16" s="892"/>
      <c r="C16" s="893"/>
      <c r="D16" s="94"/>
      <c r="E16" s="95"/>
      <c r="F16" s="107"/>
      <c r="G16" s="96"/>
      <c r="H16" s="97"/>
      <c r="I16" s="98"/>
      <c r="J16" s="97"/>
      <c r="K16" s="98"/>
      <c r="L16" s="97"/>
      <c r="M16" s="98"/>
      <c r="N16" s="97"/>
      <c r="O16" s="98"/>
      <c r="P16" s="97"/>
      <c r="Q16" s="98"/>
      <c r="R16" s="99"/>
      <c r="S16" s="7"/>
    </row>
    <row r="17" spans="1:19" ht="22.5" customHeight="1">
      <c r="A17" s="21">
        <v>10</v>
      </c>
      <c r="B17" s="892"/>
      <c r="C17" s="893"/>
      <c r="D17" s="94"/>
      <c r="E17" s="95"/>
      <c r="F17" s="107"/>
      <c r="G17" s="96"/>
      <c r="H17" s="97"/>
      <c r="I17" s="98"/>
      <c r="J17" s="97"/>
      <c r="K17" s="98"/>
      <c r="L17" s="97"/>
      <c r="M17" s="98"/>
      <c r="N17" s="97"/>
      <c r="O17" s="98"/>
      <c r="P17" s="97"/>
      <c r="Q17" s="98"/>
      <c r="R17" s="99"/>
      <c r="S17" s="7"/>
    </row>
    <row r="18" spans="1:19" ht="22.5" customHeight="1">
      <c r="A18" s="21">
        <v>11</v>
      </c>
      <c r="B18" s="892"/>
      <c r="C18" s="893"/>
      <c r="D18" s="94"/>
      <c r="E18" s="95"/>
      <c r="F18" s="107"/>
      <c r="G18" s="96"/>
      <c r="H18" s="97"/>
      <c r="I18" s="98"/>
      <c r="J18" s="97"/>
      <c r="K18" s="98"/>
      <c r="L18" s="97"/>
      <c r="M18" s="98"/>
      <c r="N18" s="97"/>
      <c r="O18" s="98"/>
      <c r="P18" s="97"/>
      <c r="Q18" s="98"/>
      <c r="R18" s="99"/>
      <c r="S18" s="7"/>
    </row>
    <row r="19" spans="1:19" ht="22.5" customHeight="1">
      <c r="A19" s="21">
        <v>12</v>
      </c>
      <c r="B19" s="892"/>
      <c r="C19" s="893"/>
      <c r="D19" s="94"/>
      <c r="E19" s="95"/>
      <c r="F19" s="107"/>
      <c r="G19" s="96"/>
      <c r="H19" s="97"/>
      <c r="I19" s="98"/>
      <c r="J19" s="97"/>
      <c r="K19" s="98"/>
      <c r="L19" s="97"/>
      <c r="M19" s="98"/>
      <c r="N19" s="97"/>
      <c r="O19" s="98"/>
      <c r="P19" s="97"/>
      <c r="Q19" s="98"/>
      <c r="R19" s="99"/>
      <c r="S19" s="7"/>
    </row>
    <row r="20" spans="1:19" ht="22.5" customHeight="1">
      <c r="A20" s="21">
        <v>13</v>
      </c>
      <c r="B20" s="892"/>
      <c r="C20" s="893"/>
      <c r="D20" s="94"/>
      <c r="E20" s="95"/>
      <c r="F20" s="107"/>
      <c r="G20" s="96"/>
      <c r="H20" s="97"/>
      <c r="I20" s="98"/>
      <c r="J20" s="97"/>
      <c r="K20" s="98"/>
      <c r="L20" s="97"/>
      <c r="M20" s="98"/>
      <c r="N20" s="97"/>
      <c r="O20" s="98"/>
      <c r="P20" s="97"/>
      <c r="Q20" s="98"/>
      <c r="R20" s="99"/>
      <c r="S20" s="7"/>
    </row>
    <row r="21" spans="1:19" ht="22.5" customHeight="1">
      <c r="A21" s="21">
        <v>14</v>
      </c>
      <c r="B21" s="892"/>
      <c r="C21" s="893"/>
      <c r="D21" s="94"/>
      <c r="E21" s="95"/>
      <c r="F21" s="107"/>
      <c r="G21" s="96"/>
      <c r="H21" s="97"/>
      <c r="I21" s="98"/>
      <c r="J21" s="97"/>
      <c r="K21" s="98"/>
      <c r="L21" s="97"/>
      <c r="M21" s="98"/>
      <c r="N21" s="97"/>
      <c r="O21" s="98"/>
      <c r="P21" s="97"/>
      <c r="Q21" s="98"/>
      <c r="R21" s="99"/>
      <c r="S21" s="7"/>
    </row>
    <row r="22" spans="1:19" ht="22.5" customHeight="1">
      <c r="A22" s="21">
        <v>15</v>
      </c>
      <c r="B22" s="892"/>
      <c r="C22" s="893"/>
      <c r="D22" s="94"/>
      <c r="E22" s="95"/>
      <c r="F22" s="107"/>
      <c r="G22" s="96"/>
      <c r="H22" s="97"/>
      <c r="I22" s="98"/>
      <c r="J22" s="97"/>
      <c r="K22" s="98"/>
      <c r="L22" s="97"/>
      <c r="M22" s="98"/>
      <c r="N22" s="97"/>
      <c r="O22" s="98"/>
      <c r="P22" s="97"/>
      <c r="Q22" s="98"/>
      <c r="R22" s="99"/>
      <c r="S22" s="7"/>
    </row>
    <row r="23" spans="1:19" ht="22.5" customHeight="1">
      <c r="A23" s="21">
        <v>16</v>
      </c>
      <c r="B23" s="892"/>
      <c r="C23" s="893"/>
      <c r="D23" s="94"/>
      <c r="E23" s="95"/>
      <c r="F23" s="107"/>
      <c r="G23" s="96"/>
      <c r="H23" s="97"/>
      <c r="I23" s="98"/>
      <c r="J23" s="97"/>
      <c r="K23" s="98"/>
      <c r="L23" s="97"/>
      <c r="M23" s="98"/>
      <c r="N23" s="97"/>
      <c r="O23" s="98"/>
      <c r="P23" s="97"/>
      <c r="Q23" s="98"/>
      <c r="R23" s="99"/>
      <c r="S23" s="7"/>
    </row>
    <row r="24" spans="1:19" ht="22.5" customHeight="1">
      <c r="A24" s="21">
        <v>17</v>
      </c>
      <c r="B24" s="892"/>
      <c r="C24" s="893"/>
      <c r="D24" s="94"/>
      <c r="E24" s="95"/>
      <c r="F24" s="107"/>
      <c r="G24" s="96"/>
      <c r="H24" s="97"/>
      <c r="I24" s="98"/>
      <c r="J24" s="97"/>
      <c r="K24" s="98"/>
      <c r="L24" s="97"/>
      <c r="M24" s="98"/>
      <c r="N24" s="97"/>
      <c r="O24" s="98"/>
      <c r="P24" s="97"/>
      <c r="Q24" s="98"/>
      <c r="R24" s="99"/>
      <c r="S24" s="7"/>
    </row>
    <row r="25" spans="1:19" ht="22.5" customHeight="1">
      <c r="A25" s="21">
        <v>18</v>
      </c>
      <c r="B25" s="892"/>
      <c r="C25" s="893"/>
      <c r="D25" s="94"/>
      <c r="E25" s="95"/>
      <c r="F25" s="107"/>
      <c r="G25" s="96"/>
      <c r="H25" s="97"/>
      <c r="I25" s="98"/>
      <c r="J25" s="97"/>
      <c r="K25" s="98"/>
      <c r="L25" s="97"/>
      <c r="M25" s="98"/>
      <c r="N25" s="97"/>
      <c r="O25" s="98"/>
      <c r="P25" s="97"/>
      <c r="Q25" s="98"/>
      <c r="R25" s="99"/>
      <c r="S25" s="7"/>
    </row>
    <row r="26" spans="1:19" ht="22.5" customHeight="1">
      <c r="A26" s="21">
        <v>19</v>
      </c>
      <c r="B26" s="892"/>
      <c r="C26" s="893"/>
      <c r="D26" s="94"/>
      <c r="E26" s="95"/>
      <c r="F26" s="107"/>
      <c r="G26" s="96"/>
      <c r="H26" s="97"/>
      <c r="I26" s="98"/>
      <c r="J26" s="97"/>
      <c r="K26" s="98"/>
      <c r="L26" s="97"/>
      <c r="M26" s="98"/>
      <c r="N26" s="97"/>
      <c r="O26" s="98"/>
      <c r="P26" s="97"/>
      <c r="Q26" s="98"/>
      <c r="R26" s="99"/>
      <c r="S26" s="7"/>
    </row>
    <row r="27" spans="1:19" ht="22.5" customHeight="1">
      <c r="A27" s="21">
        <v>20</v>
      </c>
      <c r="B27" s="892"/>
      <c r="C27" s="893"/>
      <c r="D27" s="94"/>
      <c r="E27" s="95"/>
      <c r="F27" s="107"/>
      <c r="G27" s="96"/>
      <c r="H27" s="97"/>
      <c r="I27" s="98"/>
      <c r="J27" s="97"/>
      <c r="K27" s="98"/>
      <c r="L27" s="97"/>
      <c r="M27" s="98"/>
      <c r="N27" s="97"/>
      <c r="O27" s="98"/>
      <c r="P27" s="97"/>
      <c r="Q27" s="98"/>
      <c r="R27" s="99"/>
      <c r="S27" s="7"/>
    </row>
    <row r="28" spans="1:19" ht="22.5" customHeight="1">
      <c r="A28" s="21">
        <v>21</v>
      </c>
      <c r="B28" s="892"/>
      <c r="C28" s="893"/>
      <c r="D28" s="94"/>
      <c r="E28" s="95"/>
      <c r="F28" s="107"/>
      <c r="G28" s="96"/>
      <c r="H28" s="97"/>
      <c r="I28" s="98"/>
      <c r="J28" s="97"/>
      <c r="K28" s="98"/>
      <c r="L28" s="97"/>
      <c r="M28" s="98"/>
      <c r="N28" s="97"/>
      <c r="O28" s="98"/>
      <c r="P28" s="97"/>
      <c r="Q28" s="98"/>
      <c r="R28" s="99"/>
      <c r="S28" s="7"/>
    </row>
    <row r="29" spans="1:19" ht="22.5" customHeight="1">
      <c r="A29" s="21">
        <v>22</v>
      </c>
      <c r="B29" s="892"/>
      <c r="C29" s="893"/>
      <c r="D29" s="94"/>
      <c r="E29" s="95"/>
      <c r="F29" s="107"/>
      <c r="G29" s="96"/>
      <c r="H29" s="97"/>
      <c r="I29" s="98"/>
      <c r="J29" s="97"/>
      <c r="K29" s="98"/>
      <c r="L29" s="97"/>
      <c r="M29" s="98"/>
      <c r="N29" s="97"/>
      <c r="O29" s="98"/>
      <c r="P29" s="97"/>
      <c r="Q29" s="98"/>
      <c r="R29" s="99"/>
      <c r="S29" s="7"/>
    </row>
    <row r="30" spans="1:19" ht="22.5" customHeight="1">
      <c r="A30" s="21">
        <v>23</v>
      </c>
      <c r="B30" s="892"/>
      <c r="C30" s="893"/>
      <c r="D30" s="94"/>
      <c r="E30" s="95"/>
      <c r="F30" s="107"/>
      <c r="G30" s="96"/>
      <c r="H30" s="97"/>
      <c r="I30" s="98"/>
      <c r="J30" s="97"/>
      <c r="K30" s="98"/>
      <c r="L30" s="97"/>
      <c r="M30" s="98"/>
      <c r="N30" s="97"/>
      <c r="O30" s="98"/>
      <c r="P30" s="97"/>
      <c r="Q30" s="98"/>
      <c r="R30" s="99"/>
      <c r="S30" s="7"/>
    </row>
    <row r="31" spans="1:19" ht="22.5" customHeight="1">
      <c r="A31" s="21">
        <v>24</v>
      </c>
      <c r="B31" s="892"/>
      <c r="C31" s="893"/>
      <c r="D31" s="94"/>
      <c r="E31" s="95"/>
      <c r="F31" s="107"/>
      <c r="G31" s="96"/>
      <c r="H31" s="97"/>
      <c r="I31" s="98"/>
      <c r="J31" s="97"/>
      <c r="K31" s="98"/>
      <c r="L31" s="97"/>
      <c r="M31" s="98"/>
      <c r="N31" s="97"/>
      <c r="O31" s="98"/>
      <c r="P31" s="97"/>
      <c r="Q31" s="98"/>
      <c r="R31" s="99"/>
      <c r="S31" s="7"/>
    </row>
    <row r="32" spans="1:19" ht="22.5" customHeight="1">
      <c r="A32" s="21">
        <v>25</v>
      </c>
      <c r="B32" s="892"/>
      <c r="C32" s="893"/>
      <c r="D32" s="94"/>
      <c r="E32" s="95"/>
      <c r="F32" s="107"/>
      <c r="G32" s="96"/>
      <c r="H32" s="97"/>
      <c r="I32" s="98"/>
      <c r="J32" s="97"/>
      <c r="K32" s="98"/>
      <c r="L32" s="97"/>
      <c r="M32" s="98"/>
      <c r="N32" s="97"/>
      <c r="O32" s="98"/>
      <c r="P32" s="97"/>
      <c r="Q32" s="98"/>
      <c r="R32" s="99"/>
      <c r="S32" s="7"/>
    </row>
    <row r="33" spans="1:19" ht="22.5" customHeight="1">
      <c r="A33" s="21">
        <v>26</v>
      </c>
      <c r="B33" s="892"/>
      <c r="C33" s="893"/>
      <c r="D33" s="94"/>
      <c r="E33" s="95"/>
      <c r="F33" s="107"/>
      <c r="G33" s="96"/>
      <c r="H33" s="97"/>
      <c r="I33" s="98"/>
      <c r="J33" s="97"/>
      <c r="K33" s="98"/>
      <c r="L33" s="97"/>
      <c r="M33" s="98"/>
      <c r="N33" s="97"/>
      <c r="O33" s="98"/>
      <c r="P33" s="97"/>
      <c r="Q33" s="98"/>
      <c r="R33" s="99"/>
      <c r="S33" s="7"/>
    </row>
    <row r="34" spans="1:19" ht="22.5" customHeight="1">
      <c r="A34" s="21">
        <v>27</v>
      </c>
      <c r="B34" s="892"/>
      <c r="C34" s="893"/>
      <c r="D34" s="94"/>
      <c r="E34" s="95"/>
      <c r="F34" s="107"/>
      <c r="G34" s="96"/>
      <c r="H34" s="97"/>
      <c r="I34" s="98"/>
      <c r="J34" s="97"/>
      <c r="K34" s="98"/>
      <c r="L34" s="97"/>
      <c r="M34" s="98"/>
      <c r="N34" s="97"/>
      <c r="O34" s="98"/>
      <c r="P34" s="97"/>
      <c r="Q34" s="98"/>
      <c r="R34" s="99"/>
      <c r="S34" s="7"/>
    </row>
    <row r="35" spans="1:19" ht="22.5" customHeight="1">
      <c r="A35" s="21">
        <v>28</v>
      </c>
      <c r="B35" s="892"/>
      <c r="C35" s="893"/>
      <c r="D35" s="94"/>
      <c r="E35" s="95"/>
      <c r="F35" s="107"/>
      <c r="G35" s="96"/>
      <c r="H35" s="97"/>
      <c r="I35" s="98"/>
      <c r="J35" s="97"/>
      <c r="K35" s="98"/>
      <c r="L35" s="97"/>
      <c r="M35" s="98"/>
      <c r="N35" s="97"/>
      <c r="O35" s="98"/>
      <c r="P35" s="97"/>
      <c r="Q35" s="98"/>
      <c r="R35" s="99"/>
      <c r="S35" s="7"/>
    </row>
    <row r="36" spans="1:19" ht="22.5" customHeight="1">
      <c r="A36" s="21">
        <v>29</v>
      </c>
      <c r="B36" s="892"/>
      <c r="C36" s="893"/>
      <c r="D36" s="94"/>
      <c r="E36" s="95"/>
      <c r="F36" s="107"/>
      <c r="G36" s="96"/>
      <c r="H36" s="97"/>
      <c r="I36" s="98"/>
      <c r="J36" s="97"/>
      <c r="K36" s="98"/>
      <c r="L36" s="97"/>
      <c r="M36" s="98"/>
      <c r="N36" s="97"/>
      <c r="O36" s="98"/>
      <c r="P36" s="97"/>
      <c r="Q36" s="98"/>
      <c r="R36" s="99"/>
      <c r="S36" s="7"/>
    </row>
    <row r="37" spans="1:19" ht="22.5" customHeight="1">
      <c r="A37" s="21">
        <v>30</v>
      </c>
      <c r="B37" s="892"/>
      <c r="C37" s="893"/>
      <c r="D37" s="94"/>
      <c r="E37" s="95"/>
      <c r="F37" s="107"/>
      <c r="G37" s="96"/>
      <c r="H37" s="97"/>
      <c r="I37" s="98"/>
      <c r="J37" s="97"/>
      <c r="K37" s="98"/>
      <c r="L37" s="97"/>
      <c r="M37" s="98"/>
      <c r="N37" s="97"/>
      <c r="O37" s="98"/>
      <c r="P37" s="97"/>
      <c r="Q37" s="98"/>
      <c r="R37" s="99"/>
      <c r="S37" s="7"/>
    </row>
    <row r="38" spans="1:19" ht="22.5" customHeight="1">
      <c r="A38" s="21">
        <v>31</v>
      </c>
      <c r="B38" s="892"/>
      <c r="C38" s="893"/>
      <c r="D38" s="94"/>
      <c r="E38" s="95"/>
      <c r="F38" s="107"/>
      <c r="G38" s="96"/>
      <c r="H38" s="97"/>
      <c r="I38" s="98"/>
      <c r="J38" s="97"/>
      <c r="K38" s="98"/>
      <c r="L38" s="97"/>
      <c r="M38" s="98"/>
      <c r="N38" s="97"/>
      <c r="O38" s="98"/>
      <c r="P38" s="97"/>
      <c r="Q38" s="98"/>
      <c r="R38" s="99"/>
      <c r="S38" s="7"/>
    </row>
    <row r="39" spans="1:19" ht="22.5" customHeight="1">
      <c r="A39" s="21">
        <v>32</v>
      </c>
      <c r="B39" s="892"/>
      <c r="C39" s="893"/>
      <c r="D39" s="94"/>
      <c r="E39" s="95"/>
      <c r="F39" s="107"/>
      <c r="G39" s="96"/>
      <c r="H39" s="97"/>
      <c r="I39" s="98"/>
      <c r="J39" s="97"/>
      <c r="K39" s="98"/>
      <c r="L39" s="97"/>
      <c r="M39" s="98"/>
      <c r="N39" s="97"/>
      <c r="O39" s="98"/>
      <c r="P39" s="97"/>
      <c r="Q39" s="98"/>
      <c r="R39" s="99"/>
      <c r="S39" s="7"/>
    </row>
    <row r="40" spans="1:19" ht="22.5" customHeight="1">
      <c r="A40" s="21">
        <v>33</v>
      </c>
      <c r="B40" s="892"/>
      <c r="C40" s="893"/>
      <c r="D40" s="94"/>
      <c r="E40" s="95"/>
      <c r="F40" s="107"/>
      <c r="G40" s="96"/>
      <c r="H40" s="97"/>
      <c r="I40" s="98"/>
      <c r="J40" s="97"/>
      <c r="K40" s="98"/>
      <c r="L40" s="97"/>
      <c r="M40" s="98"/>
      <c r="N40" s="97"/>
      <c r="O40" s="98"/>
      <c r="P40" s="97"/>
      <c r="Q40" s="98"/>
      <c r="R40" s="99"/>
      <c r="S40" s="7"/>
    </row>
    <row r="41" spans="1:19" ht="22.5" customHeight="1">
      <c r="A41" s="21">
        <v>34</v>
      </c>
      <c r="B41" s="892"/>
      <c r="C41" s="893"/>
      <c r="D41" s="94"/>
      <c r="E41" s="95"/>
      <c r="F41" s="107"/>
      <c r="G41" s="96"/>
      <c r="H41" s="97"/>
      <c r="I41" s="98"/>
      <c r="J41" s="97"/>
      <c r="K41" s="98"/>
      <c r="L41" s="97"/>
      <c r="M41" s="98"/>
      <c r="N41" s="97"/>
      <c r="O41" s="98"/>
      <c r="P41" s="97"/>
      <c r="Q41" s="98"/>
      <c r="R41" s="99"/>
      <c r="S41" s="7"/>
    </row>
    <row r="42" spans="1:19" ht="22.5" customHeight="1">
      <c r="A42" s="21">
        <v>35</v>
      </c>
      <c r="B42" s="892"/>
      <c r="C42" s="893"/>
      <c r="D42" s="94"/>
      <c r="E42" s="95"/>
      <c r="F42" s="107"/>
      <c r="G42" s="96"/>
      <c r="H42" s="97"/>
      <c r="I42" s="98"/>
      <c r="J42" s="97"/>
      <c r="K42" s="98"/>
      <c r="L42" s="97"/>
      <c r="M42" s="98"/>
      <c r="N42" s="97"/>
      <c r="O42" s="98"/>
      <c r="P42" s="97"/>
      <c r="Q42" s="98"/>
      <c r="R42" s="99"/>
      <c r="S42" s="7"/>
    </row>
    <row r="43" spans="1:19" ht="22.5" customHeight="1">
      <c r="A43" s="21">
        <v>36</v>
      </c>
      <c r="B43" s="892"/>
      <c r="C43" s="893"/>
      <c r="D43" s="94"/>
      <c r="E43" s="95"/>
      <c r="F43" s="107"/>
      <c r="G43" s="96"/>
      <c r="H43" s="97"/>
      <c r="I43" s="98"/>
      <c r="J43" s="97"/>
      <c r="K43" s="98"/>
      <c r="L43" s="97"/>
      <c r="M43" s="98"/>
      <c r="N43" s="97"/>
      <c r="O43" s="98"/>
      <c r="P43" s="97"/>
      <c r="Q43" s="98"/>
      <c r="R43" s="99"/>
      <c r="S43" s="7"/>
    </row>
    <row r="44" spans="1:19" ht="22.5" customHeight="1">
      <c r="A44" s="21">
        <v>37</v>
      </c>
      <c r="B44" s="892"/>
      <c r="C44" s="893"/>
      <c r="D44" s="94"/>
      <c r="E44" s="95"/>
      <c r="F44" s="107"/>
      <c r="G44" s="96"/>
      <c r="H44" s="97"/>
      <c r="I44" s="98"/>
      <c r="J44" s="97"/>
      <c r="K44" s="98"/>
      <c r="L44" s="97"/>
      <c r="M44" s="98"/>
      <c r="N44" s="97"/>
      <c r="O44" s="98"/>
      <c r="P44" s="97"/>
      <c r="Q44" s="98"/>
      <c r="R44" s="99"/>
      <c r="S44" s="7"/>
    </row>
    <row r="45" spans="1:19" ht="22.5" customHeight="1">
      <c r="A45" s="21">
        <v>38</v>
      </c>
      <c r="B45" s="892"/>
      <c r="C45" s="893"/>
      <c r="D45" s="94"/>
      <c r="E45" s="95"/>
      <c r="F45" s="107"/>
      <c r="G45" s="96"/>
      <c r="H45" s="97"/>
      <c r="I45" s="98"/>
      <c r="J45" s="97"/>
      <c r="K45" s="98"/>
      <c r="L45" s="97"/>
      <c r="M45" s="98"/>
      <c r="N45" s="97"/>
      <c r="O45" s="98"/>
      <c r="P45" s="97"/>
      <c r="Q45" s="98"/>
      <c r="R45" s="99"/>
      <c r="S45" s="7"/>
    </row>
    <row r="46" spans="1:19" ht="22.5" customHeight="1">
      <c r="A46" s="21">
        <v>39</v>
      </c>
      <c r="B46" s="892"/>
      <c r="C46" s="893"/>
      <c r="D46" s="94"/>
      <c r="E46" s="95"/>
      <c r="F46" s="107"/>
      <c r="G46" s="96"/>
      <c r="H46" s="97"/>
      <c r="I46" s="98"/>
      <c r="J46" s="97"/>
      <c r="K46" s="98"/>
      <c r="L46" s="97"/>
      <c r="M46" s="98"/>
      <c r="N46" s="97"/>
      <c r="O46" s="98"/>
      <c r="P46" s="97"/>
      <c r="Q46" s="98"/>
      <c r="R46" s="99"/>
      <c r="S46" s="7"/>
    </row>
    <row r="47" spans="1:19" ht="22.5" customHeight="1">
      <c r="A47" s="21">
        <v>40</v>
      </c>
      <c r="B47" s="892"/>
      <c r="C47" s="893"/>
      <c r="D47" s="94"/>
      <c r="E47" s="95"/>
      <c r="F47" s="107"/>
      <c r="G47" s="96"/>
      <c r="H47" s="97"/>
      <c r="I47" s="98"/>
      <c r="J47" s="97"/>
      <c r="K47" s="98"/>
      <c r="L47" s="97"/>
      <c r="M47" s="98"/>
      <c r="N47" s="97"/>
      <c r="O47" s="98"/>
      <c r="P47" s="97"/>
      <c r="Q47" s="98"/>
      <c r="R47" s="99"/>
      <c r="S47" s="7"/>
    </row>
    <row r="48" spans="1:19" ht="22.5" customHeight="1">
      <c r="A48" s="21">
        <v>41</v>
      </c>
      <c r="B48" s="892"/>
      <c r="C48" s="893"/>
      <c r="D48" s="94"/>
      <c r="E48" s="95"/>
      <c r="F48" s="107"/>
      <c r="G48" s="96"/>
      <c r="H48" s="97"/>
      <c r="I48" s="98"/>
      <c r="J48" s="97"/>
      <c r="K48" s="98"/>
      <c r="L48" s="97"/>
      <c r="M48" s="98"/>
      <c r="N48" s="97"/>
      <c r="O48" s="98"/>
      <c r="P48" s="97"/>
      <c r="Q48" s="98"/>
      <c r="R48" s="99"/>
      <c r="S48" s="7"/>
    </row>
    <row r="49" spans="1:22" ht="22.5" customHeight="1">
      <c r="A49" s="21">
        <v>42</v>
      </c>
      <c r="B49" s="892"/>
      <c r="C49" s="893"/>
      <c r="D49" s="94"/>
      <c r="E49" s="95"/>
      <c r="F49" s="107"/>
      <c r="G49" s="96"/>
      <c r="H49" s="97"/>
      <c r="I49" s="98"/>
      <c r="J49" s="97"/>
      <c r="K49" s="98"/>
      <c r="L49" s="97"/>
      <c r="M49" s="98"/>
      <c r="N49" s="97"/>
      <c r="O49" s="98"/>
      <c r="P49" s="97"/>
      <c r="Q49" s="98"/>
      <c r="R49" s="99"/>
      <c r="S49" s="7"/>
    </row>
    <row r="50" spans="1:22" ht="22.5" customHeight="1">
      <c r="A50" s="21">
        <v>43</v>
      </c>
      <c r="B50" s="892"/>
      <c r="C50" s="893"/>
      <c r="D50" s="94"/>
      <c r="E50" s="95"/>
      <c r="F50" s="107"/>
      <c r="G50" s="96"/>
      <c r="H50" s="97"/>
      <c r="I50" s="98"/>
      <c r="J50" s="97"/>
      <c r="K50" s="98"/>
      <c r="L50" s="97"/>
      <c r="M50" s="98"/>
      <c r="N50" s="97"/>
      <c r="O50" s="98"/>
      <c r="P50" s="97"/>
      <c r="Q50" s="98"/>
      <c r="R50" s="99"/>
      <c r="S50" s="7"/>
    </row>
    <row r="51" spans="1:22" ht="22.5" customHeight="1">
      <c r="A51" s="21">
        <v>44</v>
      </c>
      <c r="B51" s="892"/>
      <c r="C51" s="893"/>
      <c r="D51" s="94"/>
      <c r="E51" s="95"/>
      <c r="F51" s="107"/>
      <c r="G51" s="96"/>
      <c r="H51" s="97"/>
      <c r="I51" s="98"/>
      <c r="J51" s="97"/>
      <c r="K51" s="98"/>
      <c r="L51" s="97"/>
      <c r="M51" s="98"/>
      <c r="N51" s="97"/>
      <c r="O51" s="98"/>
      <c r="P51" s="97"/>
      <c r="Q51" s="98"/>
      <c r="R51" s="99"/>
      <c r="S51" s="7"/>
    </row>
    <row r="52" spans="1:22" ht="22.5" customHeight="1">
      <c r="A52" s="21">
        <v>45</v>
      </c>
      <c r="B52" s="892"/>
      <c r="C52" s="893"/>
      <c r="D52" s="94"/>
      <c r="E52" s="95"/>
      <c r="F52" s="107"/>
      <c r="G52" s="96"/>
      <c r="H52" s="97"/>
      <c r="I52" s="98"/>
      <c r="J52" s="97"/>
      <c r="K52" s="98"/>
      <c r="L52" s="97"/>
      <c r="M52" s="98"/>
      <c r="N52" s="97"/>
      <c r="O52" s="98"/>
      <c r="P52" s="97"/>
      <c r="Q52" s="98"/>
      <c r="R52" s="99"/>
      <c r="S52" s="7"/>
    </row>
    <row r="53" spans="1:22" ht="22.5" customHeight="1">
      <c r="A53" s="21">
        <v>46</v>
      </c>
      <c r="B53" s="892"/>
      <c r="C53" s="893"/>
      <c r="D53" s="94"/>
      <c r="E53" s="95"/>
      <c r="F53" s="107"/>
      <c r="G53" s="96"/>
      <c r="H53" s="97"/>
      <c r="I53" s="98"/>
      <c r="J53" s="97"/>
      <c r="K53" s="98"/>
      <c r="L53" s="97"/>
      <c r="M53" s="98"/>
      <c r="N53" s="97"/>
      <c r="O53" s="98"/>
      <c r="P53" s="97"/>
      <c r="Q53" s="98"/>
      <c r="R53" s="99"/>
      <c r="S53" s="7"/>
    </row>
    <row r="54" spans="1:22" ht="22.5" customHeight="1">
      <c r="A54" s="21">
        <v>47</v>
      </c>
      <c r="B54" s="892"/>
      <c r="C54" s="893"/>
      <c r="D54" s="94"/>
      <c r="E54" s="95"/>
      <c r="F54" s="107"/>
      <c r="G54" s="96"/>
      <c r="H54" s="97"/>
      <c r="I54" s="98"/>
      <c r="J54" s="97"/>
      <c r="K54" s="98"/>
      <c r="L54" s="97"/>
      <c r="M54" s="98"/>
      <c r="N54" s="97"/>
      <c r="O54" s="98"/>
      <c r="P54" s="97"/>
      <c r="Q54" s="98"/>
      <c r="R54" s="99"/>
      <c r="S54" s="7"/>
    </row>
    <row r="55" spans="1:22" ht="22.5" customHeight="1">
      <c r="A55" s="21">
        <v>48</v>
      </c>
      <c r="B55" s="892"/>
      <c r="C55" s="893"/>
      <c r="D55" s="94"/>
      <c r="E55" s="95"/>
      <c r="F55" s="107"/>
      <c r="G55" s="96"/>
      <c r="H55" s="97"/>
      <c r="I55" s="98"/>
      <c r="J55" s="97"/>
      <c r="K55" s="98"/>
      <c r="L55" s="97"/>
      <c r="M55" s="98"/>
      <c r="N55" s="97"/>
      <c r="O55" s="98"/>
      <c r="P55" s="97"/>
      <c r="Q55" s="98"/>
      <c r="R55" s="99"/>
      <c r="S55" s="7"/>
    </row>
    <row r="56" spans="1:22" ht="22.5" customHeight="1">
      <c r="A56" s="21">
        <v>49</v>
      </c>
      <c r="B56" s="892"/>
      <c r="C56" s="893"/>
      <c r="D56" s="94"/>
      <c r="E56" s="95"/>
      <c r="F56" s="107"/>
      <c r="G56" s="96"/>
      <c r="H56" s="97"/>
      <c r="I56" s="98"/>
      <c r="J56" s="97"/>
      <c r="K56" s="98"/>
      <c r="L56" s="97"/>
      <c r="M56" s="98"/>
      <c r="N56" s="97"/>
      <c r="O56" s="98"/>
      <c r="P56" s="97"/>
      <c r="Q56" s="98"/>
      <c r="R56" s="99"/>
      <c r="S56" s="7"/>
    </row>
    <row r="57" spans="1:22" ht="22.5" customHeight="1" thickBot="1">
      <c r="A57" s="104">
        <v>50</v>
      </c>
      <c r="B57" s="910"/>
      <c r="C57" s="911"/>
      <c r="D57" s="94"/>
      <c r="E57" s="95"/>
      <c r="F57" s="107"/>
      <c r="G57" s="100"/>
      <c r="H57" s="101"/>
      <c r="I57" s="102"/>
      <c r="J57" s="101"/>
      <c r="K57" s="102"/>
      <c r="L57" s="101"/>
      <c r="M57" s="102"/>
      <c r="N57" s="101"/>
      <c r="O57" s="102"/>
      <c r="P57" s="101"/>
      <c r="Q57" s="102"/>
      <c r="R57" s="118"/>
      <c r="S57" s="7"/>
    </row>
    <row r="58" spans="1:22" ht="26.1" customHeight="1" thickBot="1">
      <c r="A58" s="894" t="s">
        <v>102</v>
      </c>
      <c r="B58" s="895"/>
      <c r="C58" s="895"/>
      <c r="D58" s="895"/>
      <c r="E58" s="896"/>
      <c r="F58" s="896"/>
      <c r="G58" s="108">
        <f>COUNTIF(G8:G57,"○")</f>
        <v>0</v>
      </c>
      <c r="H58" s="425">
        <f t="shared" ref="H58:R58" si="0">COUNTIF(H8:H57,"○")</f>
        <v>0</v>
      </c>
      <c r="I58" s="425">
        <f t="shared" si="0"/>
        <v>0</v>
      </c>
      <c r="J58" s="425">
        <f t="shared" si="0"/>
        <v>0</v>
      </c>
      <c r="K58" s="425">
        <f t="shared" si="0"/>
        <v>0</v>
      </c>
      <c r="L58" s="425">
        <f t="shared" si="0"/>
        <v>0</v>
      </c>
      <c r="M58" s="425">
        <f t="shared" si="0"/>
        <v>0</v>
      </c>
      <c r="N58" s="425">
        <f t="shared" si="0"/>
        <v>0</v>
      </c>
      <c r="O58" s="425">
        <f t="shared" si="0"/>
        <v>0</v>
      </c>
      <c r="P58" s="425">
        <f t="shared" si="0"/>
        <v>0</v>
      </c>
      <c r="Q58" s="425">
        <f t="shared" si="0"/>
        <v>0</v>
      </c>
      <c r="R58" s="426">
        <f t="shared" si="0"/>
        <v>0</v>
      </c>
      <c r="S58" s="7"/>
    </row>
    <row r="59" spans="1:22" ht="23.25" customHeight="1">
      <c r="A59" s="112"/>
      <c r="B59" s="112"/>
      <c r="C59" s="112"/>
      <c r="D59" s="112"/>
      <c r="E59" s="112"/>
      <c r="F59" s="112"/>
      <c r="G59" s="112"/>
      <c r="H59" s="112"/>
      <c r="I59" s="112"/>
      <c r="J59" s="112"/>
      <c r="K59" s="112"/>
      <c r="L59" s="112"/>
      <c r="M59" s="112"/>
      <c r="N59" s="112"/>
      <c r="O59" s="112"/>
      <c r="P59" s="112"/>
      <c r="Q59" s="112"/>
      <c r="R59" s="112"/>
      <c r="S59" s="113"/>
      <c r="T59" s="112"/>
      <c r="U59" s="112"/>
    </row>
    <row r="60" spans="1:22" ht="54" customHeight="1">
      <c r="A60" s="112"/>
      <c r="B60" s="112"/>
      <c r="C60" s="112"/>
      <c r="D60" s="112"/>
      <c r="E60" s="112"/>
      <c r="F60" s="112"/>
      <c r="G60" s="112"/>
      <c r="H60" s="112"/>
      <c r="I60" s="112"/>
      <c r="J60" s="112"/>
      <c r="K60" s="112"/>
      <c r="L60" s="112"/>
      <c r="M60" s="112"/>
      <c r="N60" s="112"/>
      <c r="O60" s="112"/>
      <c r="P60" s="112"/>
      <c r="Q60" s="112"/>
      <c r="R60" s="112"/>
      <c r="S60" s="113"/>
      <c r="T60" s="112"/>
      <c r="U60" s="112"/>
      <c r="V60" s="105"/>
    </row>
    <row r="61" spans="1:22" ht="23.25" customHeight="1">
      <c r="A61" s="112"/>
      <c r="B61" s="112"/>
      <c r="C61" s="112"/>
      <c r="D61" s="112"/>
      <c r="E61" s="112"/>
      <c r="F61" s="112"/>
      <c r="G61" s="112"/>
      <c r="H61" s="112"/>
      <c r="I61" s="112"/>
      <c r="J61" s="112"/>
      <c r="K61" s="112"/>
      <c r="L61" s="112"/>
      <c r="M61" s="112"/>
      <c r="N61" s="112"/>
      <c r="O61" s="112"/>
      <c r="P61" s="112"/>
      <c r="Q61" s="112"/>
      <c r="R61" s="112"/>
      <c r="S61" s="113"/>
      <c r="T61" s="112"/>
      <c r="U61" s="112"/>
    </row>
    <row r="62" spans="1:22" ht="23.25" customHeight="1" thickBot="1">
      <c r="A62" s="114" t="s">
        <v>105</v>
      </c>
      <c r="B62" s="112"/>
      <c r="C62" s="112"/>
      <c r="D62" s="112"/>
      <c r="E62" s="112"/>
      <c r="F62" s="112"/>
      <c r="G62" s="112"/>
      <c r="H62" s="112"/>
      <c r="I62" s="112"/>
      <c r="J62" s="112"/>
      <c r="K62" s="112"/>
      <c r="L62" s="112"/>
      <c r="M62" s="112"/>
      <c r="N62" s="112"/>
      <c r="O62" s="112"/>
      <c r="P62" s="112"/>
      <c r="Q62" s="112"/>
      <c r="R62" s="112"/>
      <c r="S62" s="113"/>
      <c r="T62" s="112"/>
      <c r="U62" s="112"/>
    </row>
    <row r="63" spans="1:22" ht="23.25" customHeight="1">
      <c r="A63" s="897" t="s">
        <v>13</v>
      </c>
      <c r="B63" s="899" t="s">
        <v>106</v>
      </c>
      <c r="C63" s="900"/>
      <c r="D63" s="903" t="s">
        <v>99</v>
      </c>
      <c r="E63" s="896"/>
      <c r="F63" s="896"/>
      <c r="G63" s="906" t="s">
        <v>100</v>
      </c>
      <c r="H63" s="907"/>
      <c r="I63" s="907"/>
      <c r="J63" s="907"/>
      <c r="K63" s="907"/>
      <c r="L63" s="907"/>
      <c r="M63" s="907"/>
      <c r="N63" s="907"/>
      <c r="O63" s="907"/>
      <c r="P63" s="907"/>
      <c r="Q63" s="907"/>
      <c r="R63" s="908"/>
      <c r="S63" s="113"/>
      <c r="T63" s="909" t="s">
        <v>107</v>
      </c>
      <c r="U63" s="909"/>
    </row>
    <row r="64" spans="1:22" ht="23.25" customHeight="1">
      <c r="A64" s="898"/>
      <c r="B64" s="901"/>
      <c r="C64" s="902"/>
      <c r="D64" s="109" t="s">
        <v>108</v>
      </c>
      <c r="E64" s="93" t="s">
        <v>109</v>
      </c>
      <c r="F64" s="106" t="s">
        <v>110</v>
      </c>
      <c r="G64" s="408">
        <v>4</v>
      </c>
      <c r="H64" s="407">
        <v>5</v>
      </c>
      <c r="I64" s="407">
        <v>6</v>
      </c>
      <c r="J64" s="407">
        <v>7</v>
      </c>
      <c r="K64" s="407">
        <v>8</v>
      </c>
      <c r="L64" s="407">
        <v>9</v>
      </c>
      <c r="M64" s="407">
        <v>10</v>
      </c>
      <c r="N64" s="407">
        <v>11</v>
      </c>
      <c r="O64" s="407">
        <v>12</v>
      </c>
      <c r="P64" s="407">
        <v>1</v>
      </c>
      <c r="Q64" s="407">
        <v>2</v>
      </c>
      <c r="R64" s="409">
        <v>3</v>
      </c>
      <c r="S64" s="113"/>
      <c r="T64" s="909"/>
      <c r="U64" s="909"/>
    </row>
    <row r="65" spans="1:21" ht="23.25" customHeight="1">
      <c r="A65" s="21">
        <v>1</v>
      </c>
      <c r="B65" s="892"/>
      <c r="C65" s="893"/>
      <c r="D65" s="94"/>
      <c r="E65" s="95"/>
      <c r="F65" s="107"/>
      <c r="G65" s="472"/>
      <c r="H65" s="473"/>
      <c r="I65" s="474"/>
      <c r="J65" s="473"/>
      <c r="K65" s="474"/>
      <c r="L65" s="473"/>
      <c r="M65" s="474"/>
      <c r="N65" s="473"/>
      <c r="O65" s="474"/>
      <c r="P65" s="473"/>
      <c r="Q65" s="474"/>
      <c r="R65" s="475"/>
      <c r="S65" s="113"/>
      <c r="T65" s="909"/>
      <c r="U65" s="909"/>
    </row>
    <row r="66" spans="1:21" ht="23.25" customHeight="1">
      <c r="A66" s="21">
        <v>2</v>
      </c>
      <c r="B66" s="892"/>
      <c r="C66" s="893"/>
      <c r="D66" s="94"/>
      <c r="E66" s="95"/>
      <c r="F66" s="107"/>
      <c r="G66" s="472"/>
      <c r="H66" s="473"/>
      <c r="I66" s="474"/>
      <c r="J66" s="473"/>
      <c r="K66" s="474"/>
      <c r="L66" s="473"/>
      <c r="M66" s="474"/>
      <c r="N66" s="473"/>
      <c r="O66" s="474"/>
      <c r="P66" s="473"/>
      <c r="Q66" s="474"/>
      <c r="R66" s="475"/>
      <c r="S66" s="113"/>
      <c r="T66" s="115">
        <f>'様式３（非専従の常勤＋非常勤）'!$L$5</f>
        <v>0</v>
      </c>
      <c r="U66" s="116" t="s">
        <v>20</v>
      </c>
    </row>
    <row r="67" spans="1:21" ht="23.25" customHeight="1">
      <c r="A67" s="21">
        <v>3</v>
      </c>
      <c r="B67" s="892"/>
      <c r="C67" s="893"/>
      <c r="D67" s="94"/>
      <c r="E67" s="95"/>
      <c r="F67" s="107"/>
      <c r="G67" s="472"/>
      <c r="H67" s="473"/>
      <c r="I67" s="474"/>
      <c r="J67" s="473"/>
      <c r="K67" s="474"/>
      <c r="L67" s="473"/>
      <c r="M67" s="474"/>
      <c r="N67" s="473"/>
      <c r="O67" s="474"/>
      <c r="P67" s="473"/>
      <c r="Q67" s="474"/>
      <c r="R67" s="475"/>
      <c r="S67" s="113"/>
      <c r="T67" s="112"/>
      <c r="U67" s="112"/>
    </row>
    <row r="68" spans="1:21" ht="23.25" customHeight="1">
      <c r="A68" s="21">
        <v>4</v>
      </c>
      <c r="B68" s="892"/>
      <c r="C68" s="893"/>
      <c r="D68" s="94"/>
      <c r="E68" s="95"/>
      <c r="F68" s="107"/>
      <c r="G68" s="472"/>
      <c r="H68" s="473"/>
      <c r="I68" s="474"/>
      <c r="J68" s="473"/>
      <c r="K68" s="474"/>
      <c r="L68" s="473"/>
      <c r="M68" s="474"/>
      <c r="N68" s="473"/>
      <c r="O68" s="474"/>
      <c r="P68" s="473"/>
      <c r="Q68" s="474"/>
      <c r="R68" s="475"/>
      <c r="S68" s="113"/>
      <c r="T68" s="112"/>
      <c r="U68" s="112"/>
    </row>
    <row r="69" spans="1:21" ht="23.25" customHeight="1">
      <c r="A69" s="21">
        <v>5</v>
      </c>
      <c r="B69" s="892"/>
      <c r="C69" s="893"/>
      <c r="D69" s="94"/>
      <c r="E69" s="95"/>
      <c r="F69" s="107"/>
      <c r="G69" s="472"/>
      <c r="H69" s="473"/>
      <c r="I69" s="474"/>
      <c r="J69" s="473"/>
      <c r="K69" s="474"/>
      <c r="L69" s="473"/>
      <c r="M69" s="474"/>
      <c r="N69" s="473"/>
      <c r="O69" s="474"/>
      <c r="P69" s="473"/>
      <c r="Q69" s="474"/>
      <c r="R69" s="475"/>
      <c r="S69" s="113"/>
      <c r="T69" s="112"/>
      <c r="U69" s="112"/>
    </row>
    <row r="70" spans="1:21" ht="23.25" customHeight="1">
      <c r="A70" s="894" t="s">
        <v>111</v>
      </c>
      <c r="B70" s="895"/>
      <c r="C70" s="895"/>
      <c r="D70" s="895"/>
      <c r="E70" s="896"/>
      <c r="F70" s="896"/>
      <c r="G70" s="415">
        <f>COUNTIF(G65:G69,"&gt;0")</f>
        <v>0</v>
      </c>
      <c r="H70" s="416">
        <f t="shared" ref="H70:R70" si="1">COUNTIF(H65:H69,"&gt;0")</f>
        <v>0</v>
      </c>
      <c r="I70" s="416">
        <f t="shared" si="1"/>
        <v>0</v>
      </c>
      <c r="J70" s="416">
        <f t="shared" si="1"/>
        <v>0</v>
      </c>
      <c r="K70" s="416">
        <f t="shared" si="1"/>
        <v>0</v>
      </c>
      <c r="L70" s="416">
        <f t="shared" si="1"/>
        <v>0</v>
      </c>
      <c r="M70" s="416">
        <f t="shared" si="1"/>
        <v>0</v>
      </c>
      <c r="N70" s="416">
        <f t="shared" si="1"/>
        <v>0</v>
      </c>
      <c r="O70" s="416">
        <f t="shared" si="1"/>
        <v>0</v>
      </c>
      <c r="P70" s="416">
        <f t="shared" si="1"/>
        <v>0</v>
      </c>
      <c r="Q70" s="416">
        <f t="shared" si="1"/>
        <v>0</v>
      </c>
      <c r="R70" s="421">
        <f t="shared" si="1"/>
        <v>0</v>
      </c>
      <c r="S70" s="117"/>
      <c r="T70" s="117"/>
      <c r="U70" s="117"/>
    </row>
    <row r="71" spans="1:21" ht="23.25" customHeight="1">
      <c r="A71" s="894" t="s">
        <v>251</v>
      </c>
      <c r="B71" s="895"/>
      <c r="C71" s="895"/>
      <c r="D71" s="895"/>
      <c r="E71" s="896"/>
      <c r="F71" s="896"/>
      <c r="G71" s="417">
        <f>IFERROR(SUM(G65:G69)/$T$66,0)</f>
        <v>0</v>
      </c>
      <c r="H71" s="418">
        <f t="shared" ref="H71:R71" si="2">IFERROR(SUM(H65:H69)/$T$66,0)</f>
        <v>0</v>
      </c>
      <c r="I71" s="418">
        <f t="shared" si="2"/>
        <v>0</v>
      </c>
      <c r="J71" s="418">
        <f t="shared" si="2"/>
        <v>0</v>
      </c>
      <c r="K71" s="418">
        <f t="shared" si="2"/>
        <v>0</v>
      </c>
      <c r="L71" s="418">
        <f t="shared" si="2"/>
        <v>0</v>
      </c>
      <c r="M71" s="418">
        <f t="shared" si="2"/>
        <v>0</v>
      </c>
      <c r="N71" s="418">
        <f t="shared" si="2"/>
        <v>0</v>
      </c>
      <c r="O71" s="418">
        <f t="shared" si="2"/>
        <v>0</v>
      </c>
      <c r="P71" s="418">
        <f t="shared" si="2"/>
        <v>0</v>
      </c>
      <c r="Q71" s="418">
        <f t="shared" si="2"/>
        <v>0</v>
      </c>
      <c r="R71" s="422">
        <f t="shared" si="2"/>
        <v>0</v>
      </c>
      <c r="S71" s="113"/>
      <c r="T71" s="112"/>
      <c r="U71" s="112"/>
    </row>
    <row r="72" spans="1:21" ht="23.25" customHeight="1">
      <c r="A72" s="888" t="s">
        <v>283</v>
      </c>
      <c r="B72" s="889"/>
      <c r="C72" s="889"/>
      <c r="D72" s="889"/>
      <c r="E72" s="891"/>
      <c r="F72" s="891"/>
      <c r="G72" s="330">
        <f>IF(G71&gt;=1,1,G71)</f>
        <v>0</v>
      </c>
      <c r="H72" s="331">
        <f t="shared" ref="H72:R72" si="3">IF(H71&gt;=1,1,H71)</f>
        <v>0</v>
      </c>
      <c r="I72" s="331">
        <f t="shared" si="3"/>
        <v>0</v>
      </c>
      <c r="J72" s="331">
        <f t="shared" si="3"/>
        <v>0</v>
      </c>
      <c r="K72" s="331">
        <f t="shared" si="3"/>
        <v>0</v>
      </c>
      <c r="L72" s="331">
        <f t="shared" si="3"/>
        <v>0</v>
      </c>
      <c r="M72" s="331">
        <f t="shared" si="3"/>
        <v>0</v>
      </c>
      <c r="N72" s="331">
        <f t="shared" si="3"/>
        <v>0</v>
      </c>
      <c r="O72" s="331">
        <f t="shared" si="3"/>
        <v>0</v>
      </c>
      <c r="P72" s="331">
        <f t="shared" si="3"/>
        <v>0</v>
      </c>
      <c r="Q72" s="331">
        <f t="shared" si="3"/>
        <v>0</v>
      </c>
      <c r="R72" s="332">
        <f t="shared" si="3"/>
        <v>0</v>
      </c>
      <c r="S72" s="113"/>
      <c r="T72" s="112"/>
      <c r="U72" s="112"/>
    </row>
    <row r="73" spans="1:21" ht="23.25" customHeight="1">
      <c r="A73" s="888" t="s">
        <v>282</v>
      </c>
      <c r="B73" s="889"/>
      <c r="C73" s="889"/>
      <c r="D73" s="889"/>
      <c r="E73" s="889"/>
      <c r="F73" s="890"/>
      <c r="G73" s="342">
        <f>IF(G71-1&lt;0,0,IF(G71-1&gt;=1,1,G71-1))</f>
        <v>0</v>
      </c>
      <c r="H73" s="419">
        <f t="shared" ref="H73:R73" si="4">IF(H71-1&lt;0,0,IF(H71-1&gt;=1,1,H71-1))</f>
        <v>0</v>
      </c>
      <c r="I73" s="419">
        <f t="shared" si="4"/>
        <v>0</v>
      </c>
      <c r="J73" s="419">
        <f t="shared" si="4"/>
        <v>0</v>
      </c>
      <c r="K73" s="419">
        <f t="shared" si="4"/>
        <v>0</v>
      </c>
      <c r="L73" s="419">
        <f t="shared" si="4"/>
        <v>0</v>
      </c>
      <c r="M73" s="419">
        <f t="shared" si="4"/>
        <v>0</v>
      </c>
      <c r="N73" s="419">
        <f t="shared" si="4"/>
        <v>0</v>
      </c>
      <c r="O73" s="419">
        <f t="shared" si="4"/>
        <v>0</v>
      </c>
      <c r="P73" s="419">
        <f t="shared" si="4"/>
        <v>0</v>
      </c>
      <c r="Q73" s="419">
        <f t="shared" si="4"/>
        <v>0</v>
      </c>
      <c r="R73" s="423">
        <f t="shared" si="4"/>
        <v>0</v>
      </c>
      <c r="S73" s="113"/>
      <c r="T73" s="112"/>
      <c r="U73" s="112"/>
    </row>
    <row r="74" spans="1:21" ht="26.25" customHeight="1" thickBot="1">
      <c r="A74" s="303"/>
      <c r="B74" s="303"/>
      <c r="C74" s="303"/>
      <c r="D74" s="303"/>
      <c r="E74" s="303"/>
      <c r="F74" s="303"/>
      <c r="G74" s="304" t="str">
        <f>IF(OR(AND(様式１!$E9&lt;=3,G72&gt;0),AND(様式１!$M9&lt;=3,G73&gt;0)),"注","")</f>
        <v/>
      </c>
      <c r="H74" s="420" t="str">
        <f>IF(OR(AND(様式１!$E12&lt;=3,H72&gt;0),AND(様式１!$M12&lt;=3,H73&gt;0)),"注","")</f>
        <v/>
      </c>
      <c r="I74" s="420" t="str">
        <f>IF(OR(AND(様式１!$E15&lt;=3,I72&gt;0),AND(様式１!$M15&lt;=3,I73&gt;0)),"注","")</f>
        <v/>
      </c>
      <c r="J74" s="420" t="str">
        <f>IF(OR(AND(様式１!$E18&lt;=3,J72&gt;0),AND(様式１!$M18&lt;=3,J73&gt;0)),"注","")</f>
        <v/>
      </c>
      <c r="K74" s="420" t="str">
        <f>IF(OR(AND(様式１!$E21&lt;=3,K72&gt;0),AND(様式１!$M21&lt;=3,K73&gt;0)),"注","")</f>
        <v/>
      </c>
      <c r="L74" s="420" t="str">
        <f>IF(OR(AND(様式１!$E24&lt;=3,L72&gt;0),AND(様式１!$M24&lt;=3,L73&gt;0)),"注","")</f>
        <v/>
      </c>
      <c r="M74" s="420" t="str">
        <f>IF(OR(AND(様式１!$E27&lt;=3,M72&gt;0),AND(様式１!$M27&lt;=3,M73&gt;0)),"注","")</f>
        <v/>
      </c>
      <c r="N74" s="420" t="str">
        <f>IF(OR(AND(様式１!$E30&lt;=3,N72&gt;0),AND(様式１!$M30&lt;=3,N73&gt;0)),"注","")</f>
        <v/>
      </c>
      <c r="O74" s="420" t="str">
        <f>IF(OR(AND(様式１!$E33&lt;=3,O72&gt;0),AND(様式１!$M33&lt;=3,O73&gt;0)),"注","")</f>
        <v/>
      </c>
      <c r="P74" s="420" t="str">
        <f>IF(OR(AND(様式１!$E36&lt;=3,P72&gt;0),AND(様式１!$M36&lt;=3,P73&gt;0)),"注","")</f>
        <v/>
      </c>
      <c r="Q74" s="420" t="str">
        <f>IF(OR(AND(様式１!$E39&lt;=3,Q72&gt;0),AND(様式１!$M39&lt;=3,Q73&gt;0)),"注","")</f>
        <v/>
      </c>
      <c r="R74" s="424" t="str">
        <f>IF(OR(AND(様式１!$E42&lt;=3,R72&gt;0),AND(様式１!$M42&lt;=3,R73&gt;0)),"注","")</f>
        <v/>
      </c>
      <c r="S74" s="113"/>
      <c r="T74" s="112"/>
      <c r="U74" s="112"/>
    </row>
    <row r="75" spans="1:21" ht="96.75" customHeight="1">
      <c r="A75"/>
      <c r="B75"/>
      <c r="C75"/>
      <c r="D75"/>
      <c r="E75"/>
      <c r="F75"/>
      <c r="G75"/>
      <c r="H75"/>
      <c r="I75"/>
      <c r="J75"/>
      <c r="K75"/>
      <c r="L75"/>
      <c r="M75"/>
      <c r="N75"/>
      <c r="O75"/>
      <c r="P75"/>
      <c r="Q75"/>
      <c r="R75"/>
      <c r="S75" s="7"/>
    </row>
    <row r="76" spans="1:21" ht="23.25" customHeight="1" thickBot="1">
      <c r="A76" s="476" t="s">
        <v>418</v>
      </c>
      <c r="B76" s="112"/>
      <c r="C76" s="112"/>
      <c r="D76" s="112"/>
      <c r="E76" s="112"/>
      <c r="F76" s="112"/>
      <c r="G76" s="112"/>
      <c r="H76" s="112"/>
      <c r="I76" s="112"/>
      <c r="J76" s="112"/>
      <c r="K76" s="112"/>
      <c r="L76" s="112"/>
      <c r="M76" s="112"/>
      <c r="N76" s="112"/>
      <c r="O76" s="112"/>
      <c r="P76" s="112"/>
      <c r="Q76" s="112"/>
      <c r="R76" s="112"/>
      <c r="S76" s="113"/>
      <c r="T76" s="112"/>
      <c r="U76" s="112"/>
    </row>
    <row r="77" spans="1:21" ht="23.25" customHeight="1">
      <c r="A77" s="897" t="s">
        <v>13</v>
      </c>
      <c r="B77" s="899" t="s">
        <v>106</v>
      </c>
      <c r="C77" s="900"/>
      <c r="D77" s="903" t="s">
        <v>99</v>
      </c>
      <c r="E77" s="904"/>
      <c r="F77" s="905"/>
      <c r="G77" s="906" t="s">
        <v>100</v>
      </c>
      <c r="H77" s="907"/>
      <c r="I77" s="907"/>
      <c r="J77" s="907"/>
      <c r="K77" s="907"/>
      <c r="L77" s="907"/>
      <c r="M77" s="907"/>
      <c r="N77" s="907"/>
      <c r="O77" s="907"/>
      <c r="P77" s="907"/>
      <c r="Q77" s="907"/>
      <c r="R77" s="908"/>
      <c r="S77" s="113"/>
      <c r="T77" s="886" t="s">
        <v>406</v>
      </c>
      <c r="U77" s="886"/>
    </row>
    <row r="78" spans="1:21" ht="39" customHeight="1">
      <c r="A78" s="898"/>
      <c r="B78" s="901"/>
      <c r="C78" s="902"/>
      <c r="D78" s="194" t="s">
        <v>416</v>
      </c>
      <c r="E78" s="443" t="s">
        <v>417</v>
      </c>
      <c r="F78" s="443" t="s">
        <v>400</v>
      </c>
      <c r="G78" s="408">
        <v>4</v>
      </c>
      <c r="H78" s="407">
        <v>5</v>
      </c>
      <c r="I78" s="407">
        <v>6</v>
      </c>
      <c r="J78" s="407">
        <v>7</v>
      </c>
      <c r="K78" s="407">
        <v>8</v>
      </c>
      <c r="L78" s="407">
        <v>9</v>
      </c>
      <c r="M78" s="407">
        <v>10</v>
      </c>
      <c r="N78" s="407">
        <v>11</v>
      </c>
      <c r="O78" s="407">
        <v>12</v>
      </c>
      <c r="P78" s="407">
        <v>1</v>
      </c>
      <c r="Q78" s="407">
        <v>2</v>
      </c>
      <c r="R78" s="409">
        <v>3</v>
      </c>
      <c r="S78" s="113"/>
      <c r="T78" s="457" t="s">
        <v>407</v>
      </c>
      <c r="U78" s="457" t="s">
        <v>408</v>
      </c>
    </row>
    <row r="79" spans="1:21" ht="23.25" customHeight="1">
      <c r="A79" s="190">
        <v>1</v>
      </c>
      <c r="B79" s="892"/>
      <c r="C79" s="893"/>
      <c r="D79" s="94"/>
      <c r="E79" s="107"/>
      <c r="F79" s="107"/>
      <c r="G79" s="472"/>
      <c r="H79" s="473"/>
      <c r="I79" s="474"/>
      <c r="J79" s="473"/>
      <c r="K79" s="474"/>
      <c r="L79" s="473"/>
      <c r="M79" s="474"/>
      <c r="N79" s="473"/>
      <c r="O79" s="474"/>
      <c r="P79" s="473"/>
      <c r="Q79" s="474"/>
      <c r="R79" s="475"/>
      <c r="S79" s="113"/>
      <c r="T79" s="458">
        <f>IF(D79=$D$93,1,0)</f>
        <v>0</v>
      </c>
      <c r="U79" s="458">
        <f>IF(OR(D79=$D$93,E79=$D$93,F79=$D$93),1,0)-T79</f>
        <v>0</v>
      </c>
    </row>
    <row r="80" spans="1:21" ht="23.25" customHeight="1">
      <c r="A80" s="190">
        <v>2</v>
      </c>
      <c r="B80" s="892"/>
      <c r="C80" s="893"/>
      <c r="D80" s="94"/>
      <c r="E80" s="107"/>
      <c r="F80" s="107"/>
      <c r="G80" s="472"/>
      <c r="H80" s="473"/>
      <c r="I80" s="474"/>
      <c r="J80" s="473"/>
      <c r="K80" s="474"/>
      <c r="L80" s="473"/>
      <c r="M80" s="474"/>
      <c r="N80" s="473"/>
      <c r="O80" s="474"/>
      <c r="P80" s="473"/>
      <c r="Q80" s="474"/>
      <c r="R80" s="475"/>
      <c r="S80" s="113"/>
      <c r="T80" s="458">
        <f>IF(D80=$D$93,1,0)</f>
        <v>0</v>
      </c>
      <c r="U80" s="458">
        <f>IF(OR(D80=$D$93,E80=$D$93,F80=$D$93),1,0)-T80</f>
        <v>0</v>
      </c>
    </row>
    <row r="81" spans="1:21" ht="23.25" customHeight="1">
      <c r="A81" s="190">
        <v>3</v>
      </c>
      <c r="B81" s="892"/>
      <c r="C81" s="893"/>
      <c r="D81" s="94"/>
      <c r="E81" s="107"/>
      <c r="F81" s="107"/>
      <c r="G81" s="472"/>
      <c r="H81" s="473"/>
      <c r="I81" s="474"/>
      <c r="J81" s="473"/>
      <c r="K81" s="474"/>
      <c r="L81" s="473"/>
      <c r="M81" s="474"/>
      <c r="N81" s="473"/>
      <c r="O81" s="474"/>
      <c r="P81" s="473"/>
      <c r="Q81" s="474"/>
      <c r="R81" s="475"/>
      <c r="S81" s="113"/>
      <c r="T81" s="458">
        <f>IF(D81=$D$93,1,0)</f>
        <v>0</v>
      </c>
      <c r="U81" s="458">
        <f>IF(OR(D81=$D$93,E81=$D$93,F81=$D$93),1,0)-T81</f>
        <v>0</v>
      </c>
    </row>
    <row r="82" spans="1:21" ht="23.25" customHeight="1">
      <c r="A82" s="190">
        <v>4</v>
      </c>
      <c r="B82" s="892"/>
      <c r="C82" s="893"/>
      <c r="D82" s="94"/>
      <c r="E82" s="107"/>
      <c r="F82" s="107"/>
      <c r="G82" s="472"/>
      <c r="H82" s="473"/>
      <c r="I82" s="474"/>
      <c r="J82" s="473"/>
      <c r="K82" s="474"/>
      <c r="L82" s="473"/>
      <c r="M82" s="474"/>
      <c r="N82" s="473"/>
      <c r="O82" s="474"/>
      <c r="P82" s="473"/>
      <c r="Q82" s="474"/>
      <c r="R82" s="475"/>
      <c r="S82" s="113"/>
      <c r="T82" s="458">
        <f>IF(D82=$D$93,1,0)</f>
        <v>0</v>
      </c>
      <c r="U82" s="458">
        <f>IF(OR(D82=$D$93,E82=$D$93,F82=$D$93),1,0)-T82</f>
        <v>0</v>
      </c>
    </row>
    <row r="83" spans="1:21" ht="23.25" customHeight="1">
      <c r="A83" s="190">
        <v>5</v>
      </c>
      <c r="B83" s="892"/>
      <c r="C83" s="893"/>
      <c r="D83" s="94"/>
      <c r="E83" s="107"/>
      <c r="F83" s="107"/>
      <c r="G83" s="472"/>
      <c r="H83" s="473"/>
      <c r="I83" s="474"/>
      <c r="J83" s="473"/>
      <c r="K83" s="474"/>
      <c r="L83" s="473"/>
      <c r="M83" s="474"/>
      <c r="N83" s="473"/>
      <c r="O83" s="474"/>
      <c r="P83" s="473"/>
      <c r="Q83" s="474"/>
      <c r="R83" s="475"/>
      <c r="S83" s="113"/>
      <c r="T83" s="458">
        <f>IF(D83=$D$93,1,0)</f>
        <v>0</v>
      </c>
      <c r="U83" s="458">
        <f>IF(OR(D83=$D$93,E83=$D$93,F83=$D$93),1,0)-T83</f>
        <v>0</v>
      </c>
    </row>
    <row r="84" spans="1:21" ht="23.25" customHeight="1">
      <c r="A84" s="894" t="s">
        <v>111</v>
      </c>
      <c r="B84" s="895"/>
      <c r="C84" s="895"/>
      <c r="D84" s="895"/>
      <c r="E84" s="896"/>
      <c r="F84" s="896"/>
      <c r="G84" s="110">
        <f>COUNTIF(G79:G83,"&gt;0")</f>
        <v>0</v>
      </c>
      <c r="H84" s="416">
        <f t="shared" ref="H84:R84" si="5">COUNTIF(H79:H83,"&gt;0")</f>
        <v>0</v>
      </c>
      <c r="I84" s="416">
        <f t="shared" si="5"/>
        <v>0</v>
      </c>
      <c r="J84" s="416">
        <f t="shared" si="5"/>
        <v>0</v>
      </c>
      <c r="K84" s="416">
        <f t="shared" si="5"/>
        <v>0</v>
      </c>
      <c r="L84" s="416">
        <f t="shared" si="5"/>
        <v>0</v>
      </c>
      <c r="M84" s="416">
        <f t="shared" si="5"/>
        <v>0</v>
      </c>
      <c r="N84" s="416">
        <f t="shared" si="5"/>
        <v>0</v>
      </c>
      <c r="O84" s="416">
        <f t="shared" si="5"/>
        <v>0</v>
      </c>
      <c r="P84" s="416">
        <f t="shared" si="5"/>
        <v>0</v>
      </c>
      <c r="Q84" s="416">
        <f t="shared" si="5"/>
        <v>0</v>
      </c>
      <c r="R84" s="447">
        <f t="shared" si="5"/>
        <v>0</v>
      </c>
      <c r="S84" s="117"/>
      <c r="T84" s="117"/>
      <c r="U84" s="117"/>
    </row>
    <row r="85" spans="1:21" ht="23.25" customHeight="1">
      <c r="A85" s="894" t="s">
        <v>251</v>
      </c>
      <c r="B85" s="895"/>
      <c r="C85" s="895"/>
      <c r="D85" s="895"/>
      <c r="E85" s="896"/>
      <c r="F85" s="896"/>
      <c r="G85" s="451">
        <f>IFERROR(SUM(G79:G83)/$T$66,0)</f>
        <v>0</v>
      </c>
      <c r="H85" s="418">
        <f t="shared" ref="H85:Q85" si="6">IFERROR(SUM(H79:H83)/$T$66,0)</f>
        <v>0</v>
      </c>
      <c r="I85" s="418">
        <f t="shared" si="6"/>
        <v>0</v>
      </c>
      <c r="J85" s="418">
        <f t="shared" si="6"/>
        <v>0</v>
      </c>
      <c r="K85" s="418">
        <f t="shared" si="6"/>
        <v>0</v>
      </c>
      <c r="L85" s="418">
        <f t="shared" si="6"/>
        <v>0</v>
      </c>
      <c r="M85" s="418">
        <f t="shared" si="6"/>
        <v>0</v>
      </c>
      <c r="N85" s="418">
        <f t="shared" si="6"/>
        <v>0</v>
      </c>
      <c r="O85" s="418">
        <f t="shared" si="6"/>
        <v>0</v>
      </c>
      <c r="P85" s="418">
        <f t="shared" si="6"/>
        <v>0</v>
      </c>
      <c r="Q85" s="418">
        <f t="shared" si="6"/>
        <v>0</v>
      </c>
      <c r="R85" s="422">
        <f>IFERROR(SUM(R79:R83)/$T$66,0)</f>
        <v>0</v>
      </c>
      <c r="S85" s="113"/>
      <c r="T85" s="112"/>
      <c r="U85" s="112"/>
    </row>
    <row r="86" spans="1:21" ht="23.25" customHeight="1">
      <c r="A86" s="888" t="s">
        <v>283</v>
      </c>
      <c r="B86" s="889"/>
      <c r="C86" s="889"/>
      <c r="D86" s="889"/>
      <c r="E86" s="891"/>
      <c r="F86" s="891"/>
      <c r="G86" s="448">
        <f>IF(G85&gt;=1,1,G85)</f>
        <v>0</v>
      </c>
      <c r="H86" s="449">
        <f t="shared" ref="H86:R86" si="7">IF(H85&gt;=1,1,H85)</f>
        <v>0</v>
      </c>
      <c r="I86" s="449">
        <f t="shared" si="7"/>
        <v>0</v>
      </c>
      <c r="J86" s="449">
        <f t="shared" si="7"/>
        <v>0</v>
      </c>
      <c r="K86" s="449">
        <f t="shared" si="7"/>
        <v>0</v>
      </c>
      <c r="L86" s="449">
        <f t="shared" si="7"/>
        <v>0</v>
      </c>
      <c r="M86" s="449">
        <f t="shared" si="7"/>
        <v>0</v>
      </c>
      <c r="N86" s="449">
        <f t="shared" si="7"/>
        <v>0</v>
      </c>
      <c r="O86" s="449">
        <f t="shared" si="7"/>
        <v>0</v>
      </c>
      <c r="P86" s="449">
        <f t="shared" si="7"/>
        <v>0</v>
      </c>
      <c r="Q86" s="449">
        <f t="shared" si="7"/>
        <v>0</v>
      </c>
      <c r="R86" s="450">
        <f t="shared" si="7"/>
        <v>0</v>
      </c>
      <c r="S86" s="113"/>
      <c r="T86" s="112"/>
      <c r="U86" s="112"/>
    </row>
    <row r="87" spans="1:21" ht="23.25" customHeight="1" thickBot="1">
      <c r="A87" s="888" t="s">
        <v>282</v>
      </c>
      <c r="B87" s="889"/>
      <c r="C87" s="889"/>
      <c r="D87" s="889"/>
      <c r="E87" s="889"/>
      <c r="F87" s="890"/>
      <c r="G87" s="444">
        <f>IF(G85-1&lt;0,0,IF(G85-1&gt;=1,1,G85-1))</f>
        <v>0</v>
      </c>
      <c r="H87" s="445">
        <f t="shared" ref="H87:R87" si="8">IF(H85-1&lt;0,0,IF(H85-1&gt;=1,1,H85-1))</f>
        <v>0</v>
      </c>
      <c r="I87" s="445">
        <f t="shared" si="8"/>
        <v>0</v>
      </c>
      <c r="J87" s="445">
        <f t="shared" si="8"/>
        <v>0</v>
      </c>
      <c r="K87" s="445">
        <f t="shared" si="8"/>
        <v>0</v>
      </c>
      <c r="L87" s="445">
        <f t="shared" si="8"/>
        <v>0</v>
      </c>
      <c r="M87" s="445">
        <f t="shared" si="8"/>
        <v>0</v>
      </c>
      <c r="N87" s="445">
        <f t="shared" si="8"/>
        <v>0</v>
      </c>
      <c r="O87" s="445">
        <f t="shared" si="8"/>
        <v>0</v>
      </c>
      <c r="P87" s="445">
        <f t="shared" si="8"/>
        <v>0</v>
      </c>
      <c r="Q87" s="445">
        <f t="shared" si="8"/>
        <v>0</v>
      </c>
      <c r="R87" s="446">
        <f t="shared" si="8"/>
        <v>0</v>
      </c>
      <c r="S87" s="113"/>
      <c r="T87" s="112"/>
      <c r="U87" s="112"/>
    </row>
    <row r="88" spans="1:21">
      <c r="S88" s="7"/>
    </row>
    <row r="89" spans="1:21">
      <c r="S89" s="7"/>
    </row>
    <row r="90" spans="1:21">
      <c r="S90" s="7"/>
    </row>
    <row r="91" spans="1:21" s="303" customFormat="1" ht="22.5" customHeight="1">
      <c r="A91" s="887" t="s">
        <v>409</v>
      </c>
      <c r="B91" s="887"/>
      <c r="C91" s="887"/>
      <c r="D91" s="887"/>
      <c r="E91" s="887"/>
      <c r="F91" s="887"/>
      <c r="G91" s="459">
        <f t="shared" ref="G91:R91" si="9">IFERROR(SUMIF($T79:$T83,1,G79:G83)/$T$66,0)+
IF(IFERROR(SUMIF($U79:$U83,1,G79:G83)/$T$66,0)&gt;2,2,
IFERROR(SUMIF($U79:$U83,1,G79:G83)/$T$66,0))
-G86-G87</f>
        <v>0</v>
      </c>
      <c r="H91" s="459">
        <f t="shared" si="9"/>
        <v>0</v>
      </c>
      <c r="I91" s="459">
        <f t="shared" si="9"/>
        <v>0</v>
      </c>
      <c r="J91" s="459">
        <f t="shared" si="9"/>
        <v>0</v>
      </c>
      <c r="K91" s="459">
        <f t="shared" si="9"/>
        <v>0</v>
      </c>
      <c r="L91" s="459">
        <f t="shared" si="9"/>
        <v>0</v>
      </c>
      <c r="M91" s="459">
        <f t="shared" si="9"/>
        <v>0</v>
      </c>
      <c r="N91" s="459">
        <f t="shared" si="9"/>
        <v>0</v>
      </c>
      <c r="O91" s="459">
        <f t="shared" si="9"/>
        <v>0</v>
      </c>
      <c r="P91" s="459">
        <f t="shared" si="9"/>
        <v>0</v>
      </c>
      <c r="Q91" s="459">
        <f t="shared" si="9"/>
        <v>0</v>
      </c>
      <c r="R91" s="459">
        <f t="shared" si="9"/>
        <v>0</v>
      </c>
      <c r="S91" s="460"/>
    </row>
    <row r="92" spans="1:21" s="464" customFormat="1" ht="14.25">
      <c r="A92" s="461"/>
      <c r="B92" s="461"/>
      <c r="C92" s="461"/>
      <c r="D92" s="461"/>
      <c r="E92" s="461"/>
      <c r="F92" s="461"/>
      <c r="G92" s="462"/>
      <c r="H92" s="462"/>
      <c r="I92" s="462"/>
      <c r="J92" s="462"/>
      <c r="K92" s="462"/>
      <c r="L92" s="462"/>
      <c r="M92" s="462"/>
      <c r="N92" s="462"/>
      <c r="O92" s="462"/>
      <c r="P92" s="462"/>
      <c r="Q92" s="462"/>
      <c r="R92" s="462"/>
      <c r="S92" s="463"/>
    </row>
    <row r="93" spans="1:21">
      <c r="D93" s="1" t="s">
        <v>49</v>
      </c>
      <c r="G93" s="1" t="s">
        <v>49</v>
      </c>
    </row>
  </sheetData>
  <sheetProtection algorithmName="SHA-512" hashValue="frZ+87hsOmm/taRedQpf4pMt1XVViqfunN1244ZTFpQzCRFGlUkJNr+TFDwFHJKHBrGmjiUiC8fXR+OgFoTx5g==" saltValue="wWUysRX2pfKOKxbLSpl+zw==" spinCount="100000" sheet="1" objects="1" scenarios="1"/>
  <mergeCells count="87">
    <mergeCell ref="A87:F87"/>
    <mergeCell ref="A85:F85"/>
    <mergeCell ref="B80:C80"/>
    <mergeCell ref="B81:C81"/>
    <mergeCell ref="B82:C82"/>
    <mergeCell ref="B83:C83"/>
    <mergeCell ref="A84:F84"/>
    <mergeCell ref="B41:C41"/>
    <mergeCell ref="B34:C34"/>
    <mergeCell ref="B28:C28"/>
    <mergeCell ref="B29:C29"/>
    <mergeCell ref="B30:C30"/>
    <mergeCell ref="B31:C31"/>
    <mergeCell ref="B32:C32"/>
    <mergeCell ref="B33:C33"/>
    <mergeCell ref="B37:C37"/>
    <mergeCell ref="B38:C38"/>
    <mergeCell ref="B39:C39"/>
    <mergeCell ref="B40:C40"/>
    <mergeCell ref="B51:C51"/>
    <mergeCell ref="B35:C35"/>
    <mergeCell ref="C2:F2"/>
    <mergeCell ref="G4:H4"/>
    <mergeCell ref="J4:K4"/>
    <mergeCell ref="B9:C9"/>
    <mergeCell ref="B10:C10"/>
    <mergeCell ref="B11:C11"/>
    <mergeCell ref="B27:C27"/>
    <mergeCell ref="B12:C12"/>
    <mergeCell ref="B13:C13"/>
    <mergeCell ref="B14:C14"/>
    <mergeCell ref="B15:C15"/>
    <mergeCell ref="B16:C16"/>
    <mergeCell ref="B17:C17"/>
    <mergeCell ref="B18:C18"/>
    <mergeCell ref="A6:A7"/>
    <mergeCell ref="B6:C7"/>
    <mergeCell ref="D6:F6"/>
    <mergeCell ref="G6:R6"/>
    <mergeCell ref="B8:C8"/>
    <mergeCell ref="B19:C19"/>
    <mergeCell ref="B20:C20"/>
    <mergeCell ref="B21:C21"/>
    <mergeCell ref="B22:C22"/>
    <mergeCell ref="B36:C36"/>
    <mergeCell ref="B23:C23"/>
    <mergeCell ref="B24:C24"/>
    <mergeCell ref="B25:C25"/>
    <mergeCell ref="B26:C26"/>
    <mergeCell ref="B42:C42"/>
    <mergeCell ref="B43:C43"/>
    <mergeCell ref="B44:C44"/>
    <mergeCell ref="B45:C45"/>
    <mergeCell ref="A58:F58"/>
    <mergeCell ref="B52:C52"/>
    <mergeCell ref="B53:C53"/>
    <mergeCell ref="B54:C54"/>
    <mergeCell ref="B55:C55"/>
    <mergeCell ref="B56:C56"/>
    <mergeCell ref="B57:C57"/>
    <mergeCell ref="B46:C46"/>
    <mergeCell ref="B47:C47"/>
    <mergeCell ref="B48:C48"/>
    <mergeCell ref="B49:C49"/>
    <mergeCell ref="B50:C50"/>
    <mergeCell ref="A63:A64"/>
    <mergeCell ref="B63:C64"/>
    <mergeCell ref="D63:F63"/>
    <mergeCell ref="G63:R63"/>
    <mergeCell ref="T63:U65"/>
    <mergeCell ref="B65:C65"/>
    <mergeCell ref="T77:U77"/>
    <mergeCell ref="A91:F91"/>
    <mergeCell ref="A73:F73"/>
    <mergeCell ref="A72:F72"/>
    <mergeCell ref="B66:C66"/>
    <mergeCell ref="B67:C67"/>
    <mergeCell ref="B68:C68"/>
    <mergeCell ref="B69:C69"/>
    <mergeCell ref="A70:F70"/>
    <mergeCell ref="A71:F71"/>
    <mergeCell ref="A77:A78"/>
    <mergeCell ref="B77:C78"/>
    <mergeCell ref="D77:F77"/>
    <mergeCell ref="G77:R77"/>
    <mergeCell ref="B79:C79"/>
    <mergeCell ref="A86:F86"/>
  </mergeCells>
  <phoneticPr fontId="3"/>
  <dataValidations count="4">
    <dataValidation type="list" allowBlank="1" showInputMessage="1" showErrorMessage="1" sqref="D8:F57" xr:uid="{00000000-0002-0000-0300-000000000000}">
      <formula1>$D$93:$D$93</formula1>
    </dataValidation>
    <dataValidation type="list" allowBlank="1" showInputMessage="1" showErrorMessage="1" sqref="G8:R57" xr:uid="{00000000-0002-0000-0300-000001000000}">
      <formula1>$G$93</formula1>
    </dataValidation>
    <dataValidation type="list" allowBlank="1" showInputMessage="1" showErrorMessage="1" sqref="D65:F69 D79:F83" xr:uid="{00000000-0002-0000-0300-000002000000}">
      <formula1>$D$93</formula1>
    </dataValidation>
    <dataValidation type="decimal" operator="greaterThan" allowBlank="1" showInputMessage="1" showErrorMessage="1" sqref="G79:R83 G65:R69" xr:uid="{68533D22-0008-407E-AED7-6F09EA640627}">
      <formula1>0</formula1>
    </dataValidation>
  </dataValidations>
  <pageMargins left="0.62992125984251968" right="0.31496062992125984" top="0.82677165354330717" bottom="0.43307086614173229" header="0.51181102362204722" footer="0.27559055118110237"/>
  <pageSetup paperSize="9" scale="37" pageOrder="overThenDown" orientation="portrait" cellComments="asDisplayed" r:id="rId1"/>
  <headerFooter alignWithMargins="0">
    <oddHeader>&amp;L&amp;"ＭＳ Ｐゴシック,太字"&amp;22 令和６年度　保育施設職員配置状況確認書（様式２（常勤保育士等））</oddHeader>
  </headerFooter>
  <rowBreaks count="1" manualBreakCount="1">
    <brk id="74" max="17"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FFC000"/>
    <pageSetUpPr fitToPage="1"/>
  </sheetPr>
  <dimension ref="A1:AL72"/>
  <sheetViews>
    <sheetView view="pageBreakPreview" zoomScale="80" zoomScaleNormal="100" zoomScaleSheetLayoutView="80" workbookViewId="0">
      <selection activeCell="L5" sqref="L5:M5"/>
    </sheetView>
  </sheetViews>
  <sheetFormatPr defaultRowHeight="13.5"/>
  <cols>
    <col min="1" max="1" width="4.5" style="1" customWidth="1"/>
    <col min="2" max="2" width="17.5" style="1" customWidth="1"/>
    <col min="3" max="3" width="8.25" style="1" customWidth="1"/>
    <col min="4" max="4" width="2.75" style="1" customWidth="1"/>
    <col min="5" max="5" width="3.125" style="1" customWidth="1"/>
    <col min="6" max="6" width="2.75" style="1" customWidth="1"/>
    <col min="7" max="7" width="3.125" style="1" customWidth="1"/>
    <col min="8" max="8" width="5.25" style="1" customWidth="1"/>
    <col min="9" max="9" width="2.75" style="1" customWidth="1"/>
    <col min="10" max="10" width="3.125" style="1" customWidth="1"/>
    <col min="11" max="11" width="2.75" style="1" customWidth="1"/>
    <col min="12" max="12" width="7.625" style="1" customWidth="1"/>
    <col min="13" max="13" width="3.625" style="1" customWidth="1"/>
    <col min="14" max="14" width="7.625" style="1" customWidth="1"/>
    <col min="15" max="15" width="5.125" style="1" customWidth="1"/>
    <col min="16" max="16" width="7.625" style="1" customWidth="1"/>
    <col min="17" max="17" width="5.125" style="1" customWidth="1"/>
    <col min="18" max="18" width="7.625" style="1" customWidth="1"/>
    <col min="19" max="19" width="5.125" style="1" customWidth="1"/>
    <col min="20" max="20" width="7.625" style="1" customWidth="1"/>
    <col min="21" max="21" width="5.125" style="1" customWidth="1"/>
    <col min="22" max="22" width="7.625" style="1" customWidth="1"/>
    <col min="23" max="23" width="5.125" style="1" customWidth="1"/>
    <col min="24" max="24" width="7.625" style="1" customWidth="1"/>
    <col min="25" max="25" width="5.125" style="1" customWidth="1"/>
    <col min="26" max="26" width="7.625" style="1" customWidth="1"/>
    <col min="27" max="27" width="5.125" style="1" customWidth="1"/>
    <col min="28" max="28" width="7.625" style="1" customWidth="1"/>
    <col min="29" max="29" width="5.125" style="1" customWidth="1"/>
    <col min="30" max="30" width="7.625" style="1" customWidth="1"/>
    <col min="31" max="31" width="5.125" style="1" customWidth="1"/>
    <col min="32" max="32" width="7.625" style="1" customWidth="1"/>
    <col min="33" max="33" width="5.125" style="1" customWidth="1"/>
    <col min="34" max="34" width="7.625" style="1" customWidth="1"/>
    <col min="35" max="35" width="5.125" style="1" customWidth="1"/>
    <col min="36" max="36" width="7.625" style="1" customWidth="1"/>
    <col min="37" max="37" width="5.125" style="1" customWidth="1"/>
    <col min="38" max="38" width="8.125" style="1" customWidth="1"/>
    <col min="39" max="48" width="7.25" style="1" customWidth="1"/>
    <col min="49" max="49" width="10.375" style="1" customWidth="1"/>
    <col min="50" max="50" width="17.375" style="1" customWidth="1"/>
    <col min="51" max="16384" width="9" style="1"/>
  </cols>
  <sheetData>
    <row r="1" spans="1:38" ht="18" customHeight="1" thickBot="1">
      <c r="A1" s="8"/>
      <c r="B1" s="136" t="s">
        <v>118</v>
      </c>
      <c r="C1" s="137">
        <f>様式１!C1</f>
        <v>0</v>
      </c>
      <c r="D1" s="10"/>
      <c r="E1" s="10"/>
      <c r="F1" s="10"/>
      <c r="G1" s="10"/>
      <c r="H1" s="10"/>
      <c r="I1" s="10"/>
      <c r="J1" s="10"/>
      <c r="K1" s="10"/>
      <c r="N1" s="11"/>
      <c r="O1" s="12"/>
      <c r="P1" s="13"/>
      <c r="Q1" s="13"/>
      <c r="R1" s="13"/>
      <c r="S1" s="13"/>
      <c r="T1" s="13"/>
      <c r="U1" s="13"/>
      <c r="V1" s="13"/>
      <c r="W1" s="13"/>
      <c r="Z1" s="14"/>
      <c r="AA1" s="14"/>
      <c r="AB1" s="15"/>
      <c r="AC1" s="15"/>
      <c r="AD1" s="14"/>
      <c r="AE1" s="12"/>
      <c r="AF1" s="14"/>
      <c r="AG1" s="12"/>
    </row>
    <row r="2" spans="1:38" ht="21.95" customHeight="1" thickTop="1" thickBot="1">
      <c r="A2" s="946" t="s">
        <v>95</v>
      </c>
      <c r="B2" s="947"/>
      <c r="C2" s="948">
        <f>様式１!C2</f>
        <v>0</v>
      </c>
      <c r="D2" s="948"/>
      <c r="E2" s="948"/>
      <c r="F2" s="948"/>
      <c r="G2" s="948"/>
      <c r="H2" s="948"/>
      <c r="I2" s="948"/>
      <c r="J2" s="948"/>
      <c r="K2" s="948"/>
      <c r="L2" s="948"/>
      <c r="M2" s="949"/>
      <c r="N2" s="43"/>
      <c r="O2" s="44"/>
      <c r="P2" s="44"/>
      <c r="Q2" s="44"/>
      <c r="R2" s="22"/>
      <c r="S2" s="22"/>
      <c r="T2" s="915"/>
      <c r="U2" s="915"/>
      <c r="V2" s="915"/>
      <c r="W2" s="915"/>
      <c r="X2" s="22"/>
      <c r="Y2" s="22"/>
      <c r="Z2" s="7"/>
      <c r="AA2" s="7"/>
      <c r="AB2" s="7"/>
      <c r="AC2" s="7"/>
      <c r="AD2" s="7"/>
      <c r="AE2" s="44"/>
      <c r="AF2" s="7"/>
      <c r="AG2" s="44"/>
      <c r="AH2" s="7"/>
      <c r="AI2" s="7"/>
      <c r="AJ2" s="7"/>
      <c r="AK2" s="7"/>
      <c r="AL2" s="7"/>
    </row>
    <row r="3" spans="1:38" ht="66" customHeight="1" thickTop="1">
      <c r="A3" s="16"/>
      <c r="B3" s="16"/>
      <c r="C3" s="16"/>
      <c r="D3" s="16"/>
      <c r="E3" s="16"/>
      <c r="F3" s="16"/>
      <c r="G3" s="16"/>
      <c r="H3" s="16"/>
      <c r="I3" s="16"/>
      <c r="J3" s="16"/>
      <c r="K3" s="16"/>
      <c r="N3" s="915"/>
      <c r="O3" s="915"/>
      <c r="P3" s="915"/>
      <c r="Q3" s="915"/>
      <c r="R3" s="75"/>
      <c r="S3" s="75"/>
      <c r="T3" s="915"/>
      <c r="U3" s="915"/>
      <c r="V3" s="915"/>
      <c r="W3" s="915"/>
      <c r="X3" s="75"/>
      <c r="Y3" s="75"/>
      <c r="Z3" s="7"/>
      <c r="AA3" s="7"/>
      <c r="AB3" s="7"/>
      <c r="AC3" s="7"/>
      <c r="AD3" s="7"/>
      <c r="AE3" s="7"/>
      <c r="AF3" s="7"/>
      <c r="AG3" s="7"/>
      <c r="AH3" s="7"/>
      <c r="AI3" s="7"/>
      <c r="AJ3" s="7"/>
      <c r="AK3" s="7"/>
      <c r="AL3" s="7"/>
    </row>
    <row r="4" spans="1:38" ht="24.75" customHeight="1" thickBot="1">
      <c r="A4" s="295" t="s">
        <v>229</v>
      </c>
      <c r="B4" s="19"/>
      <c r="C4" s="20"/>
      <c r="D4" s="20"/>
      <c r="E4" s="20"/>
      <c r="F4" s="20"/>
      <c r="G4" s="20"/>
      <c r="H4" s="20"/>
      <c r="I4" s="20"/>
      <c r="J4" s="20"/>
      <c r="K4" s="20"/>
    </row>
    <row r="5" spans="1:38" customFormat="1" ht="51.75" customHeight="1" thickBot="1">
      <c r="A5" s="950" t="s">
        <v>67</v>
      </c>
      <c r="B5" s="951"/>
      <c r="C5" s="951"/>
      <c r="D5" s="951"/>
      <c r="E5" s="951"/>
      <c r="F5" s="951"/>
      <c r="G5" s="951"/>
      <c r="H5" s="951"/>
      <c r="I5" s="951"/>
      <c r="J5" s="951"/>
      <c r="K5" s="952"/>
      <c r="L5" s="953"/>
      <c r="M5" s="954"/>
      <c r="N5" s="452" t="str">
        <f>IF(L5="","←就業規則で定める常勤職員の月勤務時間を入力","")</f>
        <v>←就業規則で定める常勤職員の月勤務時間を入力</v>
      </c>
    </row>
    <row r="6" spans="1:38" ht="28.5" customHeight="1">
      <c r="A6" s="897" t="s">
        <v>13</v>
      </c>
      <c r="B6" s="933" t="s">
        <v>96</v>
      </c>
      <c r="C6" s="734" t="s">
        <v>44</v>
      </c>
      <c r="D6" s="734"/>
      <c r="E6" s="734"/>
      <c r="F6" s="734"/>
      <c r="G6" s="734"/>
      <c r="H6" s="734"/>
      <c r="I6" s="734"/>
      <c r="J6" s="734"/>
      <c r="K6" s="936"/>
      <c r="L6" s="940" t="s">
        <v>68</v>
      </c>
      <c r="M6" s="941"/>
      <c r="N6" s="906" t="s">
        <v>69</v>
      </c>
      <c r="O6" s="907"/>
      <c r="P6" s="907"/>
      <c r="Q6" s="907"/>
      <c r="R6" s="907"/>
      <c r="S6" s="907"/>
      <c r="T6" s="907"/>
      <c r="U6" s="907"/>
      <c r="V6" s="907"/>
      <c r="W6" s="907"/>
      <c r="X6" s="907"/>
      <c r="Y6" s="907"/>
      <c r="Z6" s="907"/>
      <c r="AA6" s="907"/>
      <c r="AB6" s="907"/>
      <c r="AC6" s="907"/>
      <c r="AD6" s="907"/>
      <c r="AE6" s="907"/>
      <c r="AF6" s="907"/>
      <c r="AG6" s="907"/>
      <c r="AH6" s="907"/>
      <c r="AI6" s="907"/>
      <c r="AJ6" s="907"/>
      <c r="AK6" s="908"/>
      <c r="AL6" s="77"/>
    </row>
    <row r="7" spans="1:38" ht="27" customHeight="1">
      <c r="A7" s="898"/>
      <c r="B7" s="934"/>
      <c r="C7" s="649"/>
      <c r="D7" s="649"/>
      <c r="E7" s="649"/>
      <c r="F7" s="649"/>
      <c r="G7" s="649"/>
      <c r="H7" s="649"/>
      <c r="I7" s="649"/>
      <c r="J7" s="649"/>
      <c r="K7" s="937"/>
      <c r="L7" s="942"/>
      <c r="M7" s="943"/>
      <c r="N7" s="944">
        <v>4</v>
      </c>
      <c r="O7" s="921"/>
      <c r="P7" s="921">
        <v>5</v>
      </c>
      <c r="Q7" s="921"/>
      <c r="R7" s="921">
        <v>6</v>
      </c>
      <c r="S7" s="921"/>
      <c r="T7" s="921">
        <v>7</v>
      </c>
      <c r="U7" s="921"/>
      <c r="V7" s="921">
        <v>8</v>
      </c>
      <c r="W7" s="921"/>
      <c r="X7" s="921">
        <v>9</v>
      </c>
      <c r="Y7" s="921"/>
      <c r="Z7" s="921">
        <v>10</v>
      </c>
      <c r="AA7" s="921"/>
      <c r="AB7" s="921">
        <v>11</v>
      </c>
      <c r="AC7" s="921"/>
      <c r="AD7" s="921">
        <v>12</v>
      </c>
      <c r="AE7" s="921"/>
      <c r="AF7" s="926">
        <v>1</v>
      </c>
      <c r="AG7" s="927"/>
      <c r="AH7" s="921">
        <v>2</v>
      </c>
      <c r="AI7" s="921"/>
      <c r="AJ7" s="921">
        <v>3</v>
      </c>
      <c r="AK7" s="925"/>
      <c r="AL7" s="77"/>
    </row>
    <row r="8" spans="1:38">
      <c r="A8" s="932"/>
      <c r="B8" s="935"/>
      <c r="C8" s="938"/>
      <c r="D8" s="938"/>
      <c r="E8" s="938"/>
      <c r="F8" s="938"/>
      <c r="G8" s="938"/>
      <c r="H8" s="938"/>
      <c r="I8" s="938"/>
      <c r="J8" s="938"/>
      <c r="K8" s="939"/>
      <c r="L8" s="26" t="s">
        <v>20</v>
      </c>
      <c r="M8" s="27" t="s">
        <v>21</v>
      </c>
      <c r="N8" s="78" t="s">
        <v>20</v>
      </c>
      <c r="O8" s="35" t="s">
        <v>21</v>
      </c>
      <c r="P8" s="36" t="s">
        <v>20</v>
      </c>
      <c r="Q8" s="79" t="s">
        <v>21</v>
      </c>
      <c r="R8" s="80" t="s">
        <v>20</v>
      </c>
      <c r="S8" s="35" t="s">
        <v>21</v>
      </c>
      <c r="T8" s="36" t="s">
        <v>20</v>
      </c>
      <c r="U8" s="79" t="s">
        <v>21</v>
      </c>
      <c r="V8" s="80" t="s">
        <v>20</v>
      </c>
      <c r="W8" s="35" t="s">
        <v>21</v>
      </c>
      <c r="X8" s="36" t="s">
        <v>20</v>
      </c>
      <c r="Y8" s="79" t="s">
        <v>21</v>
      </c>
      <c r="Z8" s="80" t="s">
        <v>20</v>
      </c>
      <c r="AA8" s="35" t="s">
        <v>21</v>
      </c>
      <c r="AB8" s="36" t="s">
        <v>20</v>
      </c>
      <c r="AC8" s="79" t="s">
        <v>21</v>
      </c>
      <c r="AD8" s="36" t="s">
        <v>20</v>
      </c>
      <c r="AE8" s="35" t="s">
        <v>21</v>
      </c>
      <c r="AF8" s="36" t="s">
        <v>20</v>
      </c>
      <c r="AG8" s="35" t="s">
        <v>21</v>
      </c>
      <c r="AH8" s="34" t="s">
        <v>20</v>
      </c>
      <c r="AI8" s="35" t="s">
        <v>21</v>
      </c>
      <c r="AJ8" s="36" t="s">
        <v>20</v>
      </c>
      <c r="AK8" s="47" t="s">
        <v>21</v>
      </c>
      <c r="AL8" s="7"/>
    </row>
    <row r="9" spans="1:38" ht="26.1" customHeight="1">
      <c r="A9" s="21">
        <v>1</v>
      </c>
      <c r="B9" s="2"/>
      <c r="C9" s="76"/>
      <c r="D9" s="81" t="s">
        <v>48</v>
      </c>
      <c r="E9" s="53"/>
      <c r="F9" s="81" t="s">
        <v>45</v>
      </c>
      <c r="G9" s="81" t="s">
        <v>93</v>
      </c>
      <c r="H9" s="76"/>
      <c r="I9" s="81" t="s">
        <v>48</v>
      </c>
      <c r="J9" s="53"/>
      <c r="K9" s="81" t="s">
        <v>47</v>
      </c>
      <c r="L9" s="28"/>
      <c r="M9" s="29"/>
      <c r="N9" s="119">
        <f t="shared" ref="N9:N38" si="0">IF(AND($C9=$C$58,$E9=4),$L9,0)</f>
        <v>0</v>
      </c>
      <c r="O9" s="120">
        <f t="shared" ref="O9:O38" si="1">IF(AND($C9=$C$58,$E9=4),$M9,0)</f>
        <v>0</v>
      </c>
      <c r="P9" s="121">
        <f t="shared" ref="P9:P38" si="2">IF(AND($C9=$C$58,$E9&lt;=5,$H9=$C$58,$J9&gt;=5),$L9,IF(AND($C9=$C$58,$E9&lt;=5,$H9=$C$59,$J9&lt;=3),$L9,0))</f>
        <v>0</v>
      </c>
      <c r="Q9" s="122">
        <f t="shared" ref="Q9:Q38" si="3">IF(AND($C9=$C$58,$E9&lt;=5,$H9=$C$58,$J9&gt;=5),$M9,IF(AND($C9=$C$58,$E9&lt;=5,$H9=$C$59,$J9&lt;=3),$M9,0))</f>
        <v>0</v>
      </c>
      <c r="R9" s="123">
        <f t="shared" ref="R9:R38" si="4">IF(AND($C9=$C$58,$E9&lt;=6,$H9=$C$58,$J9&gt;=6),$L9,IF(AND($C9=$C$58,$E9&lt;=6,$H9=$C$59,$J9&lt;=3),$L9,0))</f>
        <v>0</v>
      </c>
      <c r="S9" s="124">
        <f t="shared" ref="S9:S38" si="5">IF(AND($C9=$C$58,$E9&lt;=6,$H9=$C$58,$J9&gt;=6),$M9,IF(AND($C9=$C$58,$E9&lt;=6,$H9=$C$59,$J9&lt;=3),$M9,0))</f>
        <v>0</v>
      </c>
      <c r="T9" s="121">
        <f t="shared" ref="T9:T38" si="6">IF(AND($C9=$C$58,$E9&lt;=7,$H9=$C$58,$J9&gt;=7),$L9,IF(AND($C9=$C$58,$E9&lt;=7,$H9=$C$59,$J9&lt;=3),$L9,0))</f>
        <v>0</v>
      </c>
      <c r="U9" s="122">
        <f t="shared" ref="U9:U38" si="7">IF(AND($C9=$C$58,$E9&lt;=7,$H9=$C$58,$J9&gt;=7),$M9,IF(AND($C9=$C$58,$E9&lt;=7,$H9=$C$59,$J9&lt;=3),$M9,0))</f>
        <v>0</v>
      </c>
      <c r="V9" s="123">
        <f t="shared" ref="V9:V38" si="8">IF(AND($C9=$C$58,$E9&lt;=8,$H9=$C$58,$J9&gt;=8),$L9,IF(AND($C9=$C$58,$E9&lt;=8,$H9=$C$59,$J9&lt;=3),$L9,0))</f>
        <v>0</v>
      </c>
      <c r="W9" s="124">
        <f t="shared" ref="W9:W38" si="9">IF(AND($C9=$C$58,$E9&lt;=8,$H9=$C$58,$J9&gt;=8),$M9,IF(AND($C9=$C$58,$E9&lt;=8,$H9=$C$59,$J9&lt;=3),$M9,0))</f>
        <v>0</v>
      </c>
      <c r="X9" s="121">
        <f t="shared" ref="X9:X38" si="10">IF(AND($C9=$C$58,$E9&lt;=9,$H9=$C$58,$J9&gt;=9),$L9,IF(AND($C9=$C$58,$E9&lt;=9,$H9=$C$59,$J9&lt;=3),$L9,0))</f>
        <v>0</v>
      </c>
      <c r="Y9" s="122">
        <f t="shared" ref="Y9:Y38" si="11">IF(AND($C9=$C$58,$E9&lt;=9,$H9=$C$58,$J9&gt;=9),$M9,IF(AND($C9=$C$58,$E9&lt;=9,$H9=$C$59,$J9&lt;=3),$M9,0))</f>
        <v>0</v>
      </c>
      <c r="Z9" s="123">
        <f t="shared" ref="Z9:Z38" si="12">IF(AND($C9=$C$58,$E9&lt;=10,$H9=$C$58,$J9&gt;=10),$L9,IF(AND($C9=$C$58,$E9&lt;=10,$H9=$C$59,$J9&lt;=3),$L9,0))</f>
        <v>0</v>
      </c>
      <c r="AA9" s="124">
        <f t="shared" ref="AA9:AA38" si="13">IF(AND($C9=$C$58,$E9&lt;=10,$H9=$C$58,$J9&gt;=10),$M9,IF(AND($C9=$C$58,$E9&lt;=10,$H9=$C$59,$J9&lt;=3),$M9,0))</f>
        <v>0</v>
      </c>
      <c r="AB9" s="121">
        <f t="shared" ref="AB9:AB38" si="14">IF(AND($C9=$C$58,$E9&lt;=11,$H9=$C$58,$J9&gt;=11),$L9,IF(AND($C9=$C$58,$E9&lt;=11,$H9=$C$59,$J9&lt;=3),$L9,0))</f>
        <v>0</v>
      </c>
      <c r="AC9" s="122">
        <f t="shared" ref="AC9:AC38" si="15">IF(AND($C9=$C$58,$E9&lt;=11,$H9=$C$58,$J9&gt;=11),$M9,IF(AND($C9=$C$58,$E9&lt;=11,$H9=$C$59,$J9&lt;=3),$M9,0))</f>
        <v>0</v>
      </c>
      <c r="AD9" s="123">
        <f t="shared" ref="AD9:AD38" si="16">IF(AND($C9=$C$58,$E9&lt;=12,$H9=$C$58,$J9=12),$L9,IF(AND($C9=$C$58,$E9&lt;=12,$H9=$C$59,$J9&lt;=3),$L9,0))</f>
        <v>0</v>
      </c>
      <c r="AE9" s="120">
        <f t="shared" ref="AE9:AE38" si="17">IF(AND($C9=$C$58,$E9&lt;=12,$H9=$C$58,$J9&gt;=12),$M9,IF(AND($C9=$C$58,$E9&lt;=12,$H9=$C$59,$J9&lt;=3),$M9,0))</f>
        <v>0</v>
      </c>
      <c r="AF9" s="121">
        <f t="shared" ref="AF9:AF38" si="18">IF(AND($C9=$C$58,$E9&lt;=12,$H9=$C$59,$J9&lt;=3),$L9,IF(AND($C9=$C$59,$E9&lt;=1,$H9=$C$59,$J9&lt;=3),$L9,0))</f>
        <v>0</v>
      </c>
      <c r="AG9" s="120">
        <f t="shared" ref="AG9:AG38" si="19">IF(AND($C9=$C$58,$E9&lt;=12,$H9=$C$59,$J9&gt;=1),$M9,IF(AND($C9=$C$59,$E9&lt;=1,$H9=$C$59,$J9&lt;=3),$M9,0))</f>
        <v>0</v>
      </c>
      <c r="AH9" s="123">
        <f t="shared" ref="AH9:AH38" si="20">IF(AND($C9=$C$58,$E9&lt;=12,$H9=$C$59,$J9&gt;=2),$L9,IF(AND($C9=$C$59,$E9&lt;=2,$H9=$C$59,$J9&gt;1),$L9,0))</f>
        <v>0</v>
      </c>
      <c r="AI9" s="124">
        <f t="shared" ref="AI9:AI38" si="21">IF(AND($C9=$C$58,$E9&lt;=12,$H9=$C$59,$J9&gt;=2),$M9,IF(AND($C9=$C$59,$E9&lt;=2,$H9=$C$59,$J9&gt;1),$M9,0))</f>
        <v>0</v>
      </c>
      <c r="AJ9" s="121">
        <f t="shared" ref="AJ9:AJ38" si="22">IF(AND($C9=$C$58,$E9&lt;=12,$H9=$C$59,$J9=3),$L9,IF(AND($C9=$C$59,$E9&lt;=3,$H9=$C$59,$J9=3),$L9,0))</f>
        <v>0</v>
      </c>
      <c r="AK9" s="125">
        <f t="shared" ref="AK9:AK38" si="23">IF(AND($C9=$C$58,$E9&lt;=12,$H9=$C$59,$J9=3),$M9,IF(AND($C9=$C$59,$E9&lt;=3,$H9=$C$59,$J9=3),$M9,0))</f>
        <v>0</v>
      </c>
      <c r="AL9" s="7"/>
    </row>
    <row r="10" spans="1:38" ht="26.1" customHeight="1">
      <c r="A10" s="21">
        <v>2</v>
      </c>
      <c r="B10" s="2"/>
      <c r="C10" s="76"/>
      <c r="D10" s="81" t="s">
        <v>48</v>
      </c>
      <c r="E10" s="53"/>
      <c r="F10" s="81" t="s">
        <v>45</v>
      </c>
      <c r="G10" s="81" t="s">
        <v>93</v>
      </c>
      <c r="H10" s="76"/>
      <c r="I10" s="81" t="s">
        <v>48</v>
      </c>
      <c r="J10" s="53"/>
      <c r="K10" s="81" t="s">
        <v>47</v>
      </c>
      <c r="L10" s="28"/>
      <c r="M10" s="29"/>
      <c r="N10" s="119">
        <f t="shared" si="0"/>
        <v>0</v>
      </c>
      <c r="O10" s="120">
        <f t="shared" si="1"/>
        <v>0</v>
      </c>
      <c r="P10" s="121">
        <f t="shared" si="2"/>
        <v>0</v>
      </c>
      <c r="Q10" s="122">
        <f t="shared" si="3"/>
        <v>0</v>
      </c>
      <c r="R10" s="123">
        <f t="shared" si="4"/>
        <v>0</v>
      </c>
      <c r="S10" s="124">
        <f t="shared" si="5"/>
        <v>0</v>
      </c>
      <c r="T10" s="121">
        <f t="shared" si="6"/>
        <v>0</v>
      </c>
      <c r="U10" s="122">
        <f t="shared" si="7"/>
        <v>0</v>
      </c>
      <c r="V10" s="123">
        <f t="shared" si="8"/>
        <v>0</v>
      </c>
      <c r="W10" s="124">
        <f t="shared" si="9"/>
        <v>0</v>
      </c>
      <c r="X10" s="121">
        <f t="shared" si="10"/>
        <v>0</v>
      </c>
      <c r="Y10" s="122">
        <f t="shared" si="11"/>
        <v>0</v>
      </c>
      <c r="Z10" s="123">
        <f t="shared" si="12"/>
        <v>0</v>
      </c>
      <c r="AA10" s="124">
        <f t="shared" si="13"/>
        <v>0</v>
      </c>
      <c r="AB10" s="121">
        <f t="shared" si="14"/>
        <v>0</v>
      </c>
      <c r="AC10" s="122">
        <f t="shared" si="15"/>
        <v>0</v>
      </c>
      <c r="AD10" s="123">
        <f t="shared" si="16"/>
        <v>0</v>
      </c>
      <c r="AE10" s="120">
        <f t="shared" si="17"/>
        <v>0</v>
      </c>
      <c r="AF10" s="121">
        <f t="shared" si="18"/>
        <v>0</v>
      </c>
      <c r="AG10" s="120">
        <f t="shared" si="19"/>
        <v>0</v>
      </c>
      <c r="AH10" s="123">
        <f t="shared" si="20"/>
        <v>0</v>
      </c>
      <c r="AI10" s="124">
        <f t="shared" si="21"/>
        <v>0</v>
      </c>
      <c r="AJ10" s="121">
        <f t="shared" si="22"/>
        <v>0</v>
      </c>
      <c r="AK10" s="125">
        <f t="shared" si="23"/>
        <v>0</v>
      </c>
      <c r="AL10" s="7"/>
    </row>
    <row r="11" spans="1:38" ht="26.1" customHeight="1">
      <c r="A11" s="21">
        <v>3</v>
      </c>
      <c r="B11" s="2"/>
      <c r="C11" s="76"/>
      <c r="D11" s="81" t="s">
        <v>48</v>
      </c>
      <c r="E11" s="53"/>
      <c r="F11" s="81" t="s">
        <v>45</v>
      </c>
      <c r="G11" s="81" t="s">
        <v>93</v>
      </c>
      <c r="H11" s="76"/>
      <c r="I11" s="81" t="s">
        <v>48</v>
      </c>
      <c r="J11" s="53"/>
      <c r="K11" s="81" t="s">
        <v>47</v>
      </c>
      <c r="L11" s="28"/>
      <c r="M11" s="29"/>
      <c r="N11" s="119">
        <f t="shared" si="0"/>
        <v>0</v>
      </c>
      <c r="O11" s="120">
        <f t="shared" si="1"/>
        <v>0</v>
      </c>
      <c r="P11" s="121">
        <f t="shared" si="2"/>
        <v>0</v>
      </c>
      <c r="Q11" s="122">
        <f t="shared" si="3"/>
        <v>0</v>
      </c>
      <c r="R11" s="123">
        <f t="shared" si="4"/>
        <v>0</v>
      </c>
      <c r="S11" s="124">
        <f t="shared" si="5"/>
        <v>0</v>
      </c>
      <c r="T11" s="121">
        <f t="shared" si="6"/>
        <v>0</v>
      </c>
      <c r="U11" s="122">
        <f t="shared" si="7"/>
        <v>0</v>
      </c>
      <c r="V11" s="123">
        <f t="shared" si="8"/>
        <v>0</v>
      </c>
      <c r="W11" s="124">
        <f t="shared" si="9"/>
        <v>0</v>
      </c>
      <c r="X11" s="121">
        <f t="shared" si="10"/>
        <v>0</v>
      </c>
      <c r="Y11" s="122">
        <f t="shared" si="11"/>
        <v>0</v>
      </c>
      <c r="Z11" s="123">
        <f t="shared" si="12"/>
        <v>0</v>
      </c>
      <c r="AA11" s="124">
        <f t="shared" si="13"/>
        <v>0</v>
      </c>
      <c r="AB11" s="121">
        <f t="shared" si="14"/>
        <v>0</v>
      </c>
      <c r="AC11" s="122">
        <f t="shared" si="15"/>
        <v>0</v>
      </c>
      <c r="AD11" s="123">
        <f t="shared" si="16"/>
        <v>0</v>
      </c>
      <c r="AE11" s="120">
        <f t="shared" si="17"/>
        <v>0</v>
      </c>
      <c r="AF11" s="121">
        <f t="shared" si="18"/>
        <v>0</v>
      </c>
      <c r="AG11" s="120">
        <f t="shared" si="19"/>
        <v>0</v>
      </c>
      <c r="AH11" s="123">
        <f t="shared" si="20"/>
        <v>0</v>
      </c>
      <c r="AI11" s="124">
        <f t="shared" si="21"/>
        <v>0</v>
      </c>
      <c r="AJ11" s="121">
        <f t="shared" si="22"/>
        <v>0</v>
      </c>
      <c r="AK11" s="125">
        <f t="shared" si="23"/>
        <v>0</v>
      </c>
      <c r="AL11" s="7"/>
    </row>
    <row r="12" spans="1:38" ht="26.1" customHeight="1">
      <c r="A12" s="21">
        <v>4</v>
      </c>
      <c r="B12" s="2"/>
      <c r="C12" s="76"/>
      <c r="D12" s="81" t="s">
        <v>48</v>
      </c>
      <c r="E12" s="53"/>
      <c r="F12" s="81" t="s">
        <v>45</v>
      </c>
      <c r="G12" s="81" t="s">
        <v>93</v>
      </c>
      <c r="H12" s="76"/>
      <c r="I12" s="81" t="s">
        <v>48</v>
      </c>
      <c r="J12" s="53"/>
      <c r="K12" s="81" t="s">
        <v>47</v>
      </c>
      <c r="L12" s="28"/>
      <c r="M12" s="29"/>
      <c r="N12" s="119">
        <f t="shared" si="0"/>
        <v>0</v>
      </c>
      <c r="O12" s="120">
        <f t="shared" si="1"/>
        <v>0</v>
      </c>
      <c r="P12" s="121">
        <f t="shared" si="2"/>
        <v>0</v>
      </c>
      <c r="Q12" s="122">
        <f t="shared" si="3"/>
        <v>0</v>
      </c>
      <c r="R12" s="123">
        <f t="shared" si="4"/>
        <v>0</v>
      </c>
      <c r="S12" s="124">
        <f t="shared" si="5"/>
        <v>0</v>
      </c>
      <c r="T12" s="121">
        <f t="shared" si="6"/>
        <v>0</v>
      </c>
      <c r="U12" s="122">
        <f t="shared" si="7"/>
        <v>0</v>
      </c>
      <c r="V12" s="123">
        <f t="shared" si="8"/>
        <v>0</v>
      </c>
      <c r="W12" s="124">
        <f t="shared" si="9"/>
        <v>0</v>
      </c>
      <c r="X12" s="121">
        <f t="shared" si="10"/>
        <v>0</v>
      </c>
      <c r="Y12" s="122">
        <f t="shared" si="11"/>
        <v>0</v>
      </c>
      <c r="Z12" s="123">
        <f t="shared" si="12"/>
        <v>0</v>
      </c>
      <c r="AA12" s="124">
        <f t="shared" si="13"/>
        <v>0</v>
      </c>
      <c r="AB12" s="121">
        <f t="shared" si="14"/>
        <v>0</v>
      </c>
      <c r="AC12" s="122">
        <f t="shared" si="15"/>
        <v>0</v>
      </c>
      <c r="AD12" s="123">
        <f t="shared" si="16"/>
        <v>0</v>
      </c>
      <c r="AE12" s="120">
        <f t="shared" si="17"/>
        <v>0</v>
      </c>
      <c r="AF12" s="121">
        <f t="shared" si="18"/>
        <v>0</v>
      </c>
      <c r="AG12" s="120">
        <f t="shared" si="19"/>
        <v>0</v>
      </c>
      <c r="AH12" s="123">
        <f t="shared" si="20"/>
        <v>0</v>
      </c>
      <c r="AI12" s="124">
        <f t="shared" si="21"/>
        <v>0</v>
      </c>
      <c r="AJ12" s="121">
        <f t="shared" si="22"/>
        <v>0</v>
      </c>
      <c r="AK12" s="125">
        <f t="shared" si="23"/>
        <v>0</v>
      </c>
      <c r="AL12" s="7"/>
    </row>
    <row r="13" spans="1:38" ht="26.1" customHeight="1">
      <c r="A13" s="21">
        <v>5</v>
      </c>
      <c r="B13" s="2"/>
      <c r="C13" s="76"/>
      <c r="D13" s="81" t="s">
        <v>48</v>
      </c>
      <c r="E13" s="53"/>
      <c r="F13" s="81" t="s">
        <v>45</v>
      </c>
      <c r="G13" s="81" t="s">
        <v>93</v>
      </c>
      <c r="H13" s="76"/>
      <c r="I13" s="81" t="s">
        <v>48</v>
      </c>
      <c r="J13" s="53"/>
      <c r="K13" s="81" t="s">
        <v>47</v>
      </c>
      <c r="L13" s="28"/>
      <c r="M13" s="29"/>
      <c r="N13" s="119">
        <f t="shared" si="0"/>
        <v>0</v>
      </c>
      <c r="O13" s="120">
        <f t="shared" si="1"/>
        <v>0</v>
      </c>
      <c r="P13" s="121">
        <f t="shared" si="2"/>
        <v>0</v>
      </c>
      <c r="Q13" s="122">
        <f t="shared" si="3"/>
        <v>0</v>
      </c>
      <c r="R13" s="123">
        <f t="shared" si="4"/>
        <v>0</v>
      </c>
      <c r="S13" s="124">
        <f t="shared" si="5"/>
        <v>0</v>
      </c>
      <c r="T13" s="121">
        <f t="shared" si="6"/>
        <v>0</v>
      </c>
      <c r="U13" s="122">
        <f t="shared" si="7"/>
        <v>0</v>
      </c>
      <c r="V13" s="123">
        <f t="shared" si="8"/>
        <v>0</v>
      </c>
      <c r="W13" s="124">
        <f t="shared" si="9"/>
        <v>0</v>
      </c>
      <c r="X13" s="121">
        <f t="shared" si="10"/>
        <v>0</v>
      </c>
      <c r="Y13" s="122">
        <f t="shared" si="11"/>
        <v>0</v>
      </c>
      <c r="Z13" s="123">
        <f t="shared" si="12"/>
        <v>0</v>
      </c>
      <c r="AA13" s="124">
        <f t="shared" si="13"/>
        <v>0</v>
      </c>
      <c r="AB13" s="121">
        <f t="shared" si="14"/>
        <v>0</v>
      </c>
      <c r="AC13" s="122">
        <f t="shared" si="15"/>
        <v>0</v>
      </c>
      <c r="AD13" s="123">
        <f t="shared" si="16"/>
        <v>0</v>
      </c>
      <c r="AE13" s="120">
        <f t="shared" si="17"/>
        <v>0</v>
      </c>
      <c r="AF13" s="121">
        <f t="shared" si="18"/>
        <v>0</v>
      </c>
      <c r="AG13" s="120">
        <f t="shared" si="19"/>
        <v>0</v>
      </c>
      <c r="AH13" s="123">
        <f t="shared" si="20"/>
        <v>0</v>
      </c>
      <c r="AI13" s="124">
        <f t="shared" si="21"/>
        <v>0</v>
      </c>
      <c r="AJ13" s="121">
        <f t="shared" si="22"/>
        <v>0</v>
      </c>
      <c r="AK13" s="125">
        <f t="shared" si="23"/>
        <v>0</v>
      </c>
      <c r="AL13" s="7"/>
    </row>
    <row r="14" spans="1:38" ht="26.1" customHeight="1">
      <c r="A14" s="21">
        <v>6</v>
      </c>
      <c r="B14" s="2"/>
      <c r="C14" s="76"/>
      <c r="D14" s="81" t="s">
        <v>48</v>
      </c>
      <c r="E14" s="53"/>
      <c r="F14" s="81" t="s">
        <v>45</v>
      </c>
      <c r="G14" s="81" t="s">
        <v>93</v>
      </c>
      <c r="H14" s="76"/>
      <c r="I14" s="81" t="s">
        <v>48</v>
      </c>
      <c r="J14" s="53"/>
      <c r="K14" s="81" t="s">
        <v>47</v>
      </c>
      <c r="L14" s="28"/>
      <c r="M14" s="29"/>
      <c r="N14" s="119">
        <f t="shared" si="0"/>
        <v>0</v>
      </c>
      <c r="O14" s="120">
        <f t="shared" si="1"/>
        <v>0</v>
      </c>
      <c r="P14" s="121">
        <f t="shared" si="2"/>
        <v>0</v>
      </c>
      <c r="Q14" s="122">
        <f t="shared" si="3"/>
        <v>0</v>
      </c>
      <c r="R14" s="123">
        <f t="shared" si="4"/>
        <v>0</v>
      </c>
      <c r="S14" s="124">
        <f t="shared" si="5"/>
        <v>0</v>
      </c>
      <c r="T14" s="121">
        <f t="shared" si="6"/>
        <v>0</v>
      </c>
      <c r="U14" s="122">
        <f t="shared" si="7"/>
        <v>0</v>
      </c>
      <c r="V14" s="123">
        <f t="shared" si="8"/>
        <v>0</v>
      </c>
      <c r="W14" s="124">
        <f t="shared" si="9"/>
        <v>0</v>
      </c>
      <c r="X14" s="121">
        <f t="shared" si="10"/>
        <v>0</v>
      </c>
      <c r="Y14" s="122">
        <f t="shared" si="11"/>
        <v>0</v>
      </c>
      <c r="Z14" s="123">
        <f t="shared" si="12"/>
        <v>0</v>
      </c>
      <c r="AA14" s="124">
        <f t="shared" si="13"/>
        <v>0</v>
      </c>
      <c r="AB14" s="121">
        <f t="shared" si="14"/>
        <v>0</v>
      </c>
      <c r="AC14" s="122">
        <f t="shared" si="15"/>
        <v>0</v>
      </c>
      <c r="AD14" s="123">
        <f t="shared" si="16"/>
        <v>0</v>
      </c>
      <c r="AE14" s="120">
        <f t="shared" si="17"/>
        <v>0</v>
      </c>
      <c r="AF14" s="121">
        <f t="shared" si="18"/>
        <v>0</v>
      </c>
      <c r="AG14" s="120">
        <f t="shared" si="19"/>
        <v>0</v>
      </c>
      <c r="AH14" s="123">
        <f t="shared" si="20"/>
        <v>0</v>
      </c>
      <c r="AI14" s="124">
        <f t="shared" si="21"/>
        <v>0</v>
      </c>
      <c r="AJ14" s="121">
        <f t="shared" si="22"/>
        <v>0</v>
      </c>
      <c r="AK14" s="125">
        <f t="shared" si="23"/>
        <v>0</v>
      </c>
      <c r="AL14" s="7"/>
    </row>
    <row r="15" spans="1:38" ht="26.1" customHeight="1">
      <c r="A15" s="21">
        <v>7</v>
      </c>
      <c r="B15" s="2"/>
      <c r="C15" s="76"/>
      <c r="D15" s="81" t="s">
        <v>48</v>
      </c>
      <c r="E15" s="53"/>
      <c r="F15" s="81" t="s">
        <v>45</v>
      </c>
      <c r="G15" s="81" t="s">
        <v>93</v>
      </c>
      <c r="H15" s="76"/>
      <c r="I15" s="81" t="s">
        <v>48</v>
      </c>
      <c r="J15" s="53"/>
      <c r="K15" s="81" t="s">
        <v>47</v>
      </c>
      <c r="L15" s="28"/>
      <c r="M15" s="29"/>
      <c r="N15" s="119">
        <f t="shared" si="0"/>
        <v>0</v>
      </c>
      <c r="O15" s="120">
        <f t="shared" si="1"/>
        <v>0</v>
      </c>
      <c r="P15" s="121">
        <f t="shared" si="2"/>
        <v>0</v>
      </c>
      <c r="Q15" s="122">
        <f t="shared" si="3"/>
        <v>0</v>
      </c>
      <c r="R15" s="123">
        <f t="shared" si="4"/>
        <v>0</v>
      </c>
      <c r="S15" s="124">
        <f t="shared" si="5"/>
        <v>0</v>
      </c>
      <c r="T15" s="121">
        <f t="shared" si="6"/>
        <v>0</v>
      </c>
      <c r="U15" s="122">
        <f t="shared" si="7"/>
        <v>0</v>
      </c>
      <c r="V15" s="123">
        <f t="shared" si="8"/>
        <v>0</v>
      </c>
      <c r="W15" s="124">
        <f t="shared" si="9"/>
        <v>0</v>
      </c>
      <c r="X15" s="121">
        <f t="shared" si="10"/>
        <v>0</v>
      </c>
      <c r="Y15" s="122">
        <f t="shared" si="11"/>
        <v>0</v>
      </c>
      <c r="Z15" s="123">
        <f t="shared" si="12"/>
        <v>0</v>
      </c>
      <c r="AA15" s="124">
        <f t="shared" si="13"/>
        <v>0</v>
      </c>
      <c r="AB15" s="121">
        <f t="shared" si="14"/>
        <v>0</v>
      </c>
      <c r="AC15" s="122">
        <f t="shared" si="15"/>
        <v>0</v>
      </c>
      <c r="AD15" s="123">
        <f t="shared" si="16"/>
        <v>0</v>
      </c>
      <c r="AE15" s="120">
        <f t="shared" si="17"/>
        <v>0</v>
      </c>
      <c r="AF15" s="121">
        <f t="shared" si="18"/>
        <v>0</v>
      </c>
      <c r="AG15" s="120">
        <f t="shared" si="19"/>
        <v>0</v>
      </c>
      <c r="AH15" s="123">
        <f t="shared" si="20"/>
        <v>0</v>
      </c>
      <c r="AI15" s="124">
        <f t="shared" si="21"/>
        <v>0</v>
      </c>
      <c r="AJ15" s="121">
        <f t="shared" si="22"/>
        <v>0</v>
      </c>
      <c r="AK15" s="125">
        <f t="shared" si="23"/>
        <v>0</v>
      </c>
      <c r="AL15" s="7"/>
    </row>
    <row r="16" spans="1:38" ht="26.1" customHeight="1">
      <c r="A16" s="21">
        <v>8</v>
      </c>
      <c r="B16" s="2"/>
      <c r="C16" s="76"/>
      <c r="D16" s="81" t="s">
        <v>48</v>
      </c>
      <c r="E16" s="53"/>
      <c r="F16" s="81" t="s">
        <v>45</v>
      </c>
      <c r="G16" s="81" t="s">
        <v>93</v>
      </c>
      <c r="H16" s="76"/>
      <c r="I16" s="81" t="s">
        <v>48</v>
      </c>
      <c r="J16" s="53"/>
      <c r="K16" s="81" t="s">
        <v>47</v>
      </c>
      <c r="L16" s="28"/>
      <c r="M16" s="29"/>
      <c r="N16" s="119">
        <f t="shared" si="0"/>
        <v>0</v>
      </c>
      <c r="O16" s="120">
        <f t="shared" si="1"/>
        <v>0</v>
      </c>
      <c r="P16" s="121">
        <f t="shared" si="2"/>
        <v>0</v>
      </c>
      <c r="Q16" s="122">
        <f t="shared" si="3"/>
        <v>0</v>
      </c>
      <c r="R16" s="123">
        <f t="shared" si="4"/>
        <v>0</v>
      </c>
      <c r="S16" s="124">
        <f t="shared" si="5"/>
        <v>0</v>
      </c>
      <c r="T16" s="121">
        <f t="shared" si="6"/>
        <v>0</v>
      </c>
      <c r="U16" s="122">
        <f t="shared" si="7"/>
        <v>0</v>
      </c>
      <c r="V16" s="123">
        <f t="shared" si="8"/>
        <v>0</v>
      </c>
      <c r="W16" s="124">
        <f t="shared" si="9"/>
        <v>0</v>
      </c>
      <c r="X16" s="121">
        <f t="shared" si="10"/>
        <v>0</v>
      </c>
      <c r="Y16" s="122">
        <f t="shared" si="11"/>
        <v>0</v>
      </c>
      <c r="Z16" s="123">
        <f t="shared" si="12"/>
        <v>0</v>
      </c>
      <c r="AA16" s="124">
        <f t="shared" si="13"/>
        <v>0</v>
      </c>
      <c r="AB16" s="121">
        <f t="shared" si="14"/>
        <v>0</v>
      </c>
      <c r="AC16" s="122">
        <f t="shared" si="15"/>
        <v>0</v>
      </c>
      <c r="AD16" s="123">
        <f t="shared" si="16"/>
        <v>0</v>
      </c>
      <c r="AE16" s="120">
        <f t="shared" si="17"/>
        <v>0</v>
      </c>
      <c r="AF16" s="121">
        <f t="shared" si="18"/>
        <v>0</v>
      </c>
      <c r="AG16" s="120">
        <f t="shared" si="19"/>
        <v>0</v>
      </c>
      <c r="AH16" s="123">
        <f t="shared" si="20"/>
        <v>0</v>
      </c>
      <c r="AI16" s="124">
        <f t="shared" si="21"/>
        <v>0</v>
      </c>
      <c r="AJ16" s="121">
        <f t="shared" si="22"/>
        <v>0</v>
      </c>
      <c r="AK16" s="125">
        <f t="shared" si="23"/>
        <v>0</v>
      </c>
      <c r="AL16" s="7"/>
    </row>
    <row r="17" spans="1:38" ht="26.1" customHeight="1">
      <c r="A17" s="21">
        <v>9</v>
      </c>
      <c r="B17" s="2"/>
      <c r="C17" s="76"/>
      <c r="D17" s="81" t="s">
        <v>48</v>
      </c>
      <c r="E17" s="53"/>
      <c r="F17" s="81" t="s">
        <v>45</v>
      </c>
      <c r="G17" s="81" t="s">
        <v>93</v>
      </c>
      <c r="H17" s="76"/>
      <c r="I17" s="81" t="s">
        <v>48</v>
      </c>
      <c r="J17" s="53"/>
      <c r="K17" s="81" t="s">
        <v>47</v>
      </c>
      <c r="L17" s="28"/>
      <c r="M17" s="29"/>
      <c r="N17" s="119">
        <f t="shared" si="0"/>
        <v>0</v>
      </c>
      <c r="O17" s="120">
        <f t="shared" si="1"/>
        <v>0</v>
      </c>
      <c r="P17" s="121">
        <f t="shared" si="2"/>
        <v>0</v>
      </c>
      <c r="Q17" s="122">
        <f t="shared" si="3"/>
        <v>0</v>
      </c>
      <c r="R17" s="123">
        <f t="shared" si="4"/>
        <v>0</v>
      </c>
      <c r="S17" s="124">
        <f t="shared" si="5"/>
        <v>0</v>
      </c>
      <c r="T17" s="121">
        <f t="shared" si="6"/>
        <v>0</v>
      </c>
      <c r="U17" s="122">
        <f t="shared" si="7"/>
        <v>0</v>
      </c>
      <c r="V17" s="123">
        <f t="shared" si="8"/>
        <v>0</v>
      </c>
      <c r="W17" s="124">
        <f t="shared" si="9"/>
        <v>0</v>
      </c>
      <c r="X17" s="121">
        <f t="shared" si="10"/>
        <v>0</v>
      </c>
      <c r="Y17" s="122">
        <f t="shared" si="11"/>
        <v>0</v>
      </c>
      <c r="Z17" s="123">
        <f t="shared" si="12"/>
        <v>0</v>
      </c>
      <c r="AA17" s="124">
        <f t="shared" si="13"/>
        <v>0</v>
      </c>
      <c r="AB17" s="121">
        <f t="shared" si="14"/>
        <v>0</v>
      </c>
      <c r="AC17" s="122">
        <f t="shared" si="15"/>
        <v>0</v>
      </c>
      <c r="AD17" s="123">
        <f t="shared" si="16"/>
        <v>0</v>
      </c>
      <c r="AE17" s="120">
        <f t="shared" si="17"/>
        <v>0</v>
      </c>
      <c r="AF17" s="121">
        <f t="shared" si="18"/>
        <v>0</v>
      </c>
      <c r="AG17" s="120">
        <f t="shared" si="19"/>
        <v>0</v>
      </c>
      <c r="AH17" s="123">
        <f t="shared" si="20"/>
        <v>0</v>
      </c>
      <c r="AI17" s="124">
        <f t="shared" si="21"/>
        <v>0</v>
      </c>
      <c r="AJ17" s="121">
        <f t="shared" si="22"/>
        <v>0</v>
      </c>
      <c r="AK17" s="125">
        <f t="shared" si="23"/>
        <v>0</v>
      </c>
      <c r="AL17" s="7"/>
    </row>
    <row r="18" spans="1:38" ht="26.1" customHeight="1">
      <c r="A18" s="190">
        <v>10</v>
      </c>
      <c r="B18" s="2"/>
      <c r="C18" s="76"/>
      <c r="D18" s="81" t="s">
        <v>48</v>
      </c>
      <c r="E18" s="53"/>
      <c r="F18" s="81" t="s">
        <v>45</v>
      </c>
      <c r="G18" s="81" t="s">
        <v>46</v>
      </c>
      <c r="H18" s="76"/>
      <c r="I18" s="81" t="s">
        <v>48</v>
      </c>
      <c r="J18" s="53"/>
      <c r="K18" s="81" t="s">
        <v>47</v>
      </c>
      <c r="L18" s="28"/>
      <c r="M18" s="29"/>
      <c r="N18" s="119">
        <f t="shared" si="0"/>
        <v>0</v>
      </c>
      <c r="O18" s="120">
        <f t="shared" si="1"/>
        <v>0</v>
      </c>
      <c r="P18" s="121">
        <f t="shared" si="2"/>
        <v>0</v>
      </c>
      <c r="Q18" s="122">
        <f t="shared" si="3"/>
        <v>0</v>
      </c>
      <c r="R18" s="123">
        <f t="shared" si="4"/>
        <v>0</v>
      </c>
      <c r="S18" s="124">
        <f t="shared" si="5"/>
        <v>0</v>
      </c>
      <c r="T18" s="121">
        <f t="shared" si="6"/>
        <v>0</v>
      </c>
      <c r="U18" s="122">
        <f t="shared" si="7"/>
        <v>0</v>
      </c>
      <c r="V18" s="123">
        <f t="shared" si="8"/>
        <v>0</v>
      </c>
      <c r="W18" s="124">
        <f t="shared" si="9"/>
        <v>0</v>
      </c>
      <c r="X18" s="121">
        <f t="shared" si="10"/>
        <v>0</v>
      </c>
      <c r="Y18" s="122">
        <f t="shared" si="11"/>
        <v>0</v>
      </c>
      <c r="Z18" s="123">
        <f t="shared" si="12"/>
        <v>0</v>
      </c>
      <c r="AA18" s="124">
        <f t="shared" si="13"/>
        <v>0</v>
      </c>
      <c r="AB18" s="121">
        <f t="shared" si="14"/>
        <v>0</v>
      </c>
      <c r="AC18" s="122">
        <f t="shared" si="15"/>
        <v>0</v>
      </c>
      <c r="AD18" s="123">
        <f t="shared" si="16"/>
        <v>0</v>
      </c>
      <c r="AE18" s="120">
        <f t="shared" si="17"/>
        <v>0</v>
      </c>
      <c r="AF18" s="121">
        <f t="shared" si="18"/>
        <v>0</v>
      </c>
      <c r="AG18" s="120">
        <f t="shared" si="19"/>
        <v>0</v>
      </c>
      <c r="AH18" s="123">
        <f t="shared" si="20"/>
        <v>0</v>
      </c>
      <c r="AI18" s="124">
        <f t="shared" si="21"/>
        <v>0</v>
      </c>
      <c r="AJ18" s="121">
        <f t="shared" si="22"/>
        <v>0</v>
      </c>
      <c r="AK18" s="125">
        <f t="shared" si="23"/>
        <v>0</v>
      </c>
      <c r="AL18" s="193"/>
    </row>
    <row r="19" spans="1:38" ht="26.1" customHeight="1">
      <c r="A19" s="190">
        <v>11</v>
      </c>
      <c r="B19" s="2"/>
      <c r="C19" s="76"/>
      <c r="D19" s="81" t="s">
        <v>48</v>
      </c>
      <c r="E19" s="53"/>
      <c r="F19" s="81" t="s">
        <v>45</v>
      </c>
      <c r="G19" s="81" t="s">
        <v>46</v>
      </c>
      <c r="H19" s="76"/>
      <c r="I19" s="81" t="s">
        <v>48</v>
      </c>
      <c r="J19" s="53"/>
      <c r="K19" s="81" t="s">
        <v>47</v>
      </c>
      <c r="L19" s="28"/>
      <c r="M19" s="29"/>
      <c r="N19" s="119">
        <f t="shared" si="0"/>
        <v>0</v>
      </c>
      <c r="O19" s="120">
        <f t="shared" si="1"/>
        <v>0</v>
      </c>
      <c r="P19" s="121">
        <f t="shared" si="2"/>
        <v>0</v>
      </c>
      <c r="Q19" s="122">
        <f t="shared" si="3"/>
        <v>0</v>
      </c>
      <c r="R19" s="123">
        <f t="shared" si="4"/>
        <v>0</v>
      </c>
      <c r="S19" s="124">
        <f t="shared" si="5"/>
        <v>0</v>
      </c>
      <c r="T19" s="121">
        <f t="shared" si="6"/>
        <v>0</v>
      </c>
      <c r="U19" s="122">
        <f t="shared" si="7"/>
        <v>0</v>
      </c>
      <c r="V19" s="123">
        <f t="shared" si="8"/>
        <v>0</v>
      </c>
      <c r="W19" s="124">
        <f t="shared" si="9"/>
        <v>0</v>
      </c>
      <c r="X19" s="121">
        <f t="shared" si="10"/>
        <v>0</v>
      </c>
      <c r="Y19" s="122">
        <f t="shared" si="11"/>
        <v>0</v>
      </c>
      <c r="Z19" s="123">
        <f t="shared" si="12"/>
        <v>0</v>
      </c>
      <c r="AA19" s="124">
        <f t="shared" si="13"/>
        <v>0</v>
      </c>
      <c r="AB19" s="121">
        <f t="shared" si="14"/>
        <v>0</v>
      </c>
      <c r="AC19" s="122">
        <f t="shared" si="15"/>
        <v>0</v>
      </c>
      <c r="AD19" s="123">
        <f t="shared" si="16"/>
        <v>0</v>
      </c>
      <c r="AE19" s="120">
        <f t="shared" si="17"/>
        <v>0</v>
      </c>
      <c r="AF19" s="121">
        <f t="shared" si="18"/>
        <v>0</v>
      </c>
      <c r="AG19" s="120">
        <f t="shared" si="19"/>
        <v>0</v>
      </c>
      <c r="AH19" s="123">
        <f t="shared" si="20"/>
        <v>0</v>
      </c>
      <c r="AI19" s="124">
        <f t="shared" si="21"/>
        <v>0</v>
      </c>
      <c r="AJ19" s="121">
        <f t="shared" si="22"/>
        <v>0</v>
      </c>
      <c r="AK19" s="125">
        <f t="shared" si="23"/>
        <v>0</v>
      </c>
      <c r="AL19" s="193"/>
    </row>
    <row r="20" spans="1:38" ht="26.1" customHeight="1">
      <c r="A20" s="190">
        <v>12</v>
      </c>
      <c r="B20" s="2"/>
      <c r="C20" s="76"/>
      <c r="D20" s="81" t="s">
        <v>48</v>
      </c>
      <c r="E20" s="53"/>
      <c r="F20" s="81" t="s">
        <v>45</v>
      </c>
      <c r="G20" s="81" t="s">
        <v>46</v>
      </c>
      <c r="H20" s="76"/>
      <c r="I20" s="81" t="s">
        <v>48</v>
      </c>
      <c r="J20" s="53"/>
      <c r="K20" s="81" t="s">
        <v>47</v>
      </c>
      <c r="L20" s="28"/>
      <c r="M20" s="29"/>
      <c r="N20" s="119">
        <f t="shared" si="0"/>
        <v>0</v>
      </c>
      <c r="O20" s="120">
        <f t="shared" si="1"/>
        <v>0</v>
      </c>
      <c r="P20" s="121">
        <f t="shared" si="2"/>
        <v>0</v>
      </c>
      <c r="Q20" s="122">
        <f t="shared" si="3"/>
        <v>0</v>
      </c>
      <c r="R20" s="123">
        <f t="shared" si="4"/>
        <v>0</v>
      </c>
      <c r="S20" s="124">
        <f t="shared" si="5"/>
        <v>0</v>
      </c>
      <c r="T20" s="121">
        <f t="shared" si="6"/>
        <v>0</v>
      </c>
      <c r="U20" s="122">
        <f t="shared" si="7"/>
        <v>0</v>
      </c>
      <c r="V20" s="123">
        <f t="shared" si="8"/>
        <v>0</v>
      </c>
      <c r="W20" s="124">
        <f t="shared" si="9"/>
        <v>0</v>
      </c>
      <c r="X20" s="121">
        <f t="shared" si="10"/>
        <v>0</v>
      </c>
      <c r="Y20" s="122">
        <f t="shared" si="11"/>
        <v>0</v>
      </c>
      <c r="Z20" s="123">
        <f t="shared" si="12"/>
        <v>0</v>
      </c>
      <c r="AA20" s="124">
        <f t="shared" si="13"/>
        <v>0</v>
      </c>
      <c r="AB20" s="121">
        <f t="shared" si="14"/>
        <v>0</v>
      </c>
      <c r="AC20" s="122">
        <f t="shared" si="15"/>
        <v>0</v>
      </c>
      <c r="AD20" s="123">
        <f t="shared" si="16"/>
        <v>0</v>
      </c>
      <c r="AE20" s="120">
        <f t="shared" si="17"/>
        <v>0</v>
      </c>
      <c r="AF20" s="121">
        <f t="shared" si="18"/>
        <v>0</v>
      </c>
      <c r="AG20" s="120">
        <f t="shared" si="19"/>
        <v>0</v>
      </c>
      <c r="AH20" s="123">
        <f t="shared" si="20"/>
        <v>0</v>
      </c>
      <c r="AI20" s="124">
        <f t="shared" si="21"/>
        <v>0</v>
      </c>
      <c r="AJ20" s="121">
        <f t="shared" si="22"/>
        <v>0</v>
      </c>
      <c r="AK20" s="125">
        <f t="shared" si="23"/>
        <v>0</v>
      </c>
      <c r="AL20" s="193"/>
    </row>
    <row r="21" spans="1:38" ht="26.1" customHeight="1">
      <c r="A21" s="190">
        <v>13</v>
      </c>
      <c r="B21" s="2"/>
      <c r="C21" s="76"/>
      <c r="D21" s="81" t="s">
        <v>48</v>
      </c>
      <c r="E21" s="53"/>
      <c r="F21" s="81" t="s">
        <v>45</v>
      </c>
      <c r="G21" s="81" t="s">
        <v>46</v>
      </c>
      <c r="H21" s="76"/>
      <c r="I21" s="81" t="s">
        <v>48</v>
      </c>
      <c r="J21" s="53"/>
      <c r="K21" s="81" t="s">
        <v>47</v>
      </c>
      <c r="L21" s="28"/>
      <c r="M21" s="29"/>
      <c r="N21" s="119">
        <f t="shared" si="0"/>
        <v>0</v>
      </c>
      <c r="O21" s="120">
        <f t="shared" si="1"/>
        <v>0</v>
      </c>
      <c r="P21" s="121">
        <f t="shared" si="2"/>
        <v>0</v>
      </c>
      <c r="Q21" s="122">
        <f t="shared" si="3"/>
        <v>0</v>
      </c>
      <c r="R21" s="123">
        <f t="shared" si="4"/>
        <v>0</v>
      </c>
      <c r="S21" s="124">
        <f t="shared" si="5"/>
        <v>0</v>
      </c>
      <c r="T21" s="121">
        <f t="shared" si="6"/>
        <v>0</v>
      </c>
      <c r="U21" s="122">
        <f t="shared" si="7"/>
        <v>0</v>
      </c>
      <c r="V21" s="123">
        <f t="shared" si="8"/>
        <v>0</v>
      </c>
      <c r="W21" s="124">
        <f t="shared" si="9"/>
        <v>0</v>
      </c>
      <c r="X21" s="121">
        <f t="shared" si="10"/>
        <v>0</v>
      </c>
      <c r="Y21" s="122">
        <f t="shared" si="11"/>
        <v>0</v>
      </c>
      <c r="Z21" s="123">
        <f t="shared" si="12"/>
        <v>0</v>
      </c>
      <c r="AA21" s="124">
        <f t="shared" si="13"/>
        <v>0</v>
      </c>
      <c r="AB21" s="121">
        <f t="shared" si="14"/>
        <v>0</v>
      </c>
      <c r="AC21" s="122">
        <f t="shared" si="15"/>
        <v>0</v>
      </c>
      <c r="AD21" s="123">
        <f t="shared" si="16"/>
        <v>0</v>
      </c>
      <c r="AE21" s="120">
        <f t="shared" si="17"/>
        <v>0</v>
      </c>
      <c r="AF21" s="121">
        <f t="shared" si="18"/>
        <v>0</v>
      </c>
      <c r="AG21" s="120">
        <f t="shared" si="19"/>
        <v>0</v>
      </c>
      <c r="AH21" s="123">
        <f t="shared" si="20"/>
        <v>0</v>
      </c>
      <c r="AI21" s="124">
        <f t="shared" si="21"/>
        <v>0</v>
      </c>
      <c r="AJ21" s="121">
        <f t="shared" si="22"/>
        <v>0</v>
      </c>
      <c r="AK21" s="125">
        <f t="shared" si="23"/>
        <v>0</v>
      </c>
      <c r="AL21" s="193"/>
    </row>
    <row r="22" spans="1:38" ht="26.1" customHeight="1">
      <c r="A22" s="190">
        <v>14</v>
      </c>
      <c r="B22" s="2"/>
      <c r="C22" s="76"/>
      <c r="D22" s="81" t="s">
        <v>48</v>
      </c>
      <c r="E22" s="53"/>
      <c r="F22" s="81" t="s">
        <v>45</v>
      </c>
      <c r="G22" s="81" t="s">
        <v>46</v>
      </c>
      <c r="H22" s="76"/>
      <c r="I22" s="81" t="s">
        <v>48</v>
      </c>
      <c r="J22" s="53"/>
      <c r="K22" s="81" t="s">
        <v>47</v>
      </c>
      <c r="L22" s="28"/>
      <c r="M22" s="29"/>
      <c r="N22" s="119">
        <f t="shared" si="0"/>
        <v>0</v>
      </c>
      <c r="O22" s="120">
        <f t="shared" si="1"/>
        <v>0</v>
      </c>
      <c r="P22" s="121">
        <f t="shared" si="2"/>
        <v>0</v>
      </c>
      <c r="Q22" s="122">
        <f t="shared" si="3"/>
        <v>0</v>
      </c>
      <c r="R22" s="123">
        <f t="shared" si="4"/>
        <v>0</v>
      </c>
      <c r="S22" s="124">
        <f t="shared" si="5"/>
        <v>0</v>
      </c>
      <c r="T22" s="121">
        <f t="shared" si="6"/>
        <v>0</v>
      </c>
      <c r="U22" s="122">
        <f t="shared" si="7"/>
        <v>0</v>
      </c>
      <c r="V22" s="123">
        <f t="shared" si="8"/>
        <v>0</v>
      </c>
      <c r="W22" s="124">
        <f t="shared" si="9"/>
        <v>0</v>
      </c>
      <c r="X22" s="121">
        <f t="shared" si="10"/>
        <v>0</v>
      </c>
      <c r="Y22" s="122">
        <f t="shared" si="11"/>
        <v>0</v>
      </c>
      <c r="Z22" s="123">
        <f t="shared" si="12"/>
        <v>0</v>
      </c>
      <c r="AA22" s="124">
        <f t="shared" si="13"/>
        <v>0</v>
      </c>
      <c r="AB22" s="121">
        <f t="shared" si="14"/>
        <v>0</v>
      </c>
      <c r="AC22" s="122">
        <f t="shared" si="15"/>
        <v>0</v>
      </c>
      <c r="AD22" s="123">
        <f t="shared" si="16"/>
        <v>0</v>
      </c>
      <c r="AE22" s="120">
        <f t="shared" si="17"/>
        <v>0</v>
      </c>
      <c r="AF22" s="121">
        <f t="shared" si="18"/>
        <v>0</v>
      </c>
      <c r="AG22" s="120">
        <f t="shared" si="19"/>
        <v>0</v>
      </c>
      <c r="AH22" s="123">
        <f t="shared" si="20"/>
        <v>0</v>
      </c>
      <c r="AI22" s="124">
        <f t="shared" si="21"/>
        <v>0</v>
      </c>
      <c r="AJ22" s="121">
        <f t="shared" si="22"/>
        <v>0</v>
      </c>
      <c r="AK22" s="125">
        <f t="shared" si="23"/>
        <v>0</v>
      </c>
      <c r="AL22" s="193"/>
    </row>
    <row r="23" spans="1:38" ht="26.1" customHeight="1">
      <c r="A23" s="190">
        <v>15</v>
      </c>
      <c r="B23" s="2"/>
      <c r="C23" s="76"/>
      <c r="D23" s="81" t="s">
        <v>48</v>
      </c>
      <c r="E23" s="53"/>
      <c r="F23" s="81" t="s">
        <v>45</v>
      </c>
      <c r="G23" s="81" t="s">
        <v>46</v>
      </c>
      <c r="H23" s="76"/>
      <c r="I23" s="81" t="s">
        <v>48</v>
      </c>
      <c r="J23" s="53"/>
      <c r="K23" s="81" t="s">
        <v>47</v>
      </c>
      <c r="L23" s="28"/>
      <c r="M23" s="29"/>
      <c r="N23" s="119">
        <f t="shared" si="0"/>
        <v>0</v>
      </c>
      <c r="O23" s="120">
        <f t="shared" si="1"/>
        <v>0</v>
      </c>
      <c r="P23" s="121">
        <f t="shared" si="2"/>
        <v>0</v>
      </c>
      <c r="Q23" s="122">
        <f t="shared" si="3"/>
        <v>0</v>
      </c>
      <c r="R23" s="123">
        <f t="shared" si="4"/>
        <v>0</v>
      </c>
      <c r="S23" s="124">
        <f t="shared" si="5"/>
        <v>0</v>
      </c>
      <c r="T23" s="121">
        <f t="shared" si="6"/>
        <v>0</v>
      </c>
      <c r="U23" s="122">
        <f t="shared" si="7"/>
        <v>0</v>
      </c>
      <c r="V23" s="123">
        <f t="shared" si="8"/>
        <v>0</v>
      </c>
      <c r="W23" s="124">
        <f t="shared" si="9"/>
        <v>0</v>
      </c>
      <c r="X23" s="121">
        <f t="shared" si="10"/>
        <v>0</v>
      </c>
      <c r="Y23" s="122">
        <f t="shared" si="11"/>
        <v>0</v>
      </c>
      <c r="Z23" s="123">
        <f t="shared" si="12"/>
        <v>0</v>
      </c>
      <c r="AA23" s="124">
        <f t="shared" si="13"/>
        <v>0</v>
      </c>
      <c r="AB23" s="121">
        <f t="shared" si="14"/>
        <v>0</v>
      </c>
      <c r="AC23" s="122">
        <f t="shared" si="15"/>
        <v>0</v>
      </c>
      <c r="AD23" s="123">
        <f t="shared" si="16"/>
        <v>0</v>
      </c>
      <c r="AE23" s="120">
        <f t="shared" si="17"/>
        <v>0</v>
      </c>
      <c r="AF23" s="121">
        <f t="shared" si="18"/>
        <v>0</v>
      </c>
      <c r="AG23" s="120">
        <f t="shared" si="19"/>
        <v>0</v>
      </c>
      <c r="AH23" s="123">
        <f t="shared" si="20"/>
        <v>0</v>
      </c>
      <c r="AI23" s="124">
        <f t="shared" si="21"/>
        <v>0</v>
      </c>
      <c r="AJ23" s="121">
        <f t="shared" si="22"/>
        <v>0</v>
      </c>
      <c r="AK23" s="125">
        <f t="shared" si="23"/>
        <v>0</v>
      </c>
      <c r="AL23" s="193"/>
    </row>
    <row r="24" spans="1:38" ht="26.1" customHeight="1">
      <c r="A24" s="190">
        <v>16</v>
      </c>
      <c r="B24" s="2"/>
      <c r="C24" s="76"/>
      <c r="D24" s="81" t="s">
        <v>48</v>
      </c>
      <c r="E24" s="53"/>
      <c r="F24" s="81" t="s">
        <v>45</v>
      </c>
      <c r="G24" s="81" t="s">
        <v>46</v>
      </c>
      <c r="H24" s="76"/>
      <c r="I24" s="81" t="s">
        <v>48</v>
      </c>
      <c r="J24" s="53"/>
      <c r="K24" s="81" t="s">
        <v>47</v>
      </c>
      <c r="L24" s="28"/>
      <c r="M24" s="29"/>
      <c r="N24" s="119">
        <f t="shared" si="0"/>
        <v>0</v>
      </c>
      <c r="O24" s="120">
        <f t="shared" si="1"/>
        <v>0</v>
      </c>
      <c r="P24" s="121">
        <f t="shared" si="2"/>
        <v>0</v>
      </c>
      <c r="Q24" s="122">
        <f t="shared" si="3"/>
        <v>0</v>
      </c>
      <c r="R24" s="123">
        <f t="shared" si="4"/>
        <v>0</v>
      </c>
      <c r="S24" s="124">
        <f t="shared" si="5"/>
        <v>0</v>
      </c>
      <c r="T24" s="121">
        <f t="shared" si="6"/>
        <v>0</v>
      </c>
      <c r="U24" s="122">
        <f t="shared" si="7"/>
        <v>0</v>
      </c>
      <c r="V24" s="123">
        <f t="shared" si="8"/>
        <v>0</v>
      </c>
      <c r="W24" s="124">
        <f t="shared" si="9"/>
        <v>0</v>
      </c>
      <c r="X24" s="121">
        <f t="shared" si="10"/>
        <v>0</v>
      </c>
      <c r="Y24" s="122">
        <f t="shared" si="11"/>
        <v>0</v>
      </c>
      <c r="Z24" s="123">
        <f t="shared" si="12"/>
        <v>0</v>
      </c>
      <c r="AA24" s="124">
        <f t="shared" si="13"/>
        <v>0</v>
      </c>
      <c r="AB24" s="121">
        <f t="shared" si="14"/>
        <v>0</v>
      </c>
      <c r="AC24" s="122">
        <f t="shared" si="15"/>
        <v>0</v>
      </c>
      <c r="AD24" s="123">
        <f t="shared" si="16"/>
        <v>0</v>
      </c>
      <c r="AE24" s="120">
        <f t="shared" si="17"/>
        <v>0</v>
      </c>
      <c r="AF24" s="121">
        <f t="shared" si="18"/>
        <v>0</v>
      </c>
      <c r="AG24" s="120">
        <f t="shared" si="19"/>
        <v>0</v>
      </c>
      <c r="AH24" s="123">
        <f t="shared" si="20"/>
        <v>0</v>
      </c>
      <c r="AI24" s="124">
        <f t="shared" si="21"/>
        <v>0</v>
      </c>
      <c r="AJ24" s="121">
        <f t="shared" si="22"/>
        <v>0</v>
      </c>
      <c r="AK24" s="125">
        <f t="shared" si="23"/>
        <v>0</v>
      </c>
      <c r="AL24" s="193"/>
    </row>
    <row r="25" spans="1:38" ht="26.1" customHeight="1">
      <c r="A25" s="190">
        <v>17</v>
      </c>
      <c r="B25" s="2"/>
      <c r="C25" s="76"/>
      <c r="D25" s="81" t="s">
        <v>48</v>
      </c>
      <c r="E25" s="53"/>
      <c r="F25" s="81" t="s">
        <v>45</v>
      </c>
      <c r="G25" s="81" t="s">
        <v>46</v>
      </c>
      <c r="H25" s="76"/>
      <c r="I25" s="81" t="s">
        <v>48</v>
      </c>
      <c r="J25" s="53"/>
      <c r="K25" s="81" t="s">
        <v>47</v>
      </c>
      <c r="L25" s="28"/>
      <c r="M25" s="29"/>
      <c r="N25" s="119">
        <f t="shared" si="0"/>
        <v>0</v>
      </c>
      <c r="O25" s="120">
        <f t="shared" si="1"/>
        <v>0</v>
      </c>
      <c r="P25" s="121">
        <f t="shared" si="2"/>
        <v>0</v>
      </c>
      <c r="Q25" s="122">
        <f t="shared" si="3"/>
        <v>0</v>
      </c>
      <c r="R25" s="123">
        <f t="shared" si="4"/>
        <v>0</v>
      </c>
      <c r="S25" s="124">
        <f t="shared" si="5"/>
        <v>0</v>
      </c>
      <c r="T25" s="121">
        <f t="shared" si="6"/>
        <v>0</v>
      </c>
      <c r="U25" s="122">
        <f t="shared" si="7"/>
        <v>0</v>
      </c>
      <c r="V25" s="123">
        <f t="shared" si="8"/>
        <v>0</v>
      </c>
      <c r="W25" s="124">
        <f t="shared" si="9"/>
        <v>0</v>
      </c>
      <c r="X25" s="121">
        <f t="shared" si="10"/>
        <v>0</v>
      </c>
      <c r="Y25" s="122">
        <f t="shared" si="11"/>
        <v>0</v>
      </c>
      <c r="Z25" s="123">
        <f t="shared" si="12"/>
        <v>0</v>
      </c>
      <c r="AA25" s="124">
        <f t="shared" si="13"/>
        <v>0</v>
      </c>
      <c r="AB25" s="121">
        <f t="shared" si="14"/>
        <v>0</v>
      </c>
      <c r="AC25" s="122">
        <f t="shared" si="15"/>
        <v>0</v>
      </c>
      <c r="AD25" s="123">
        <f t="shared" si="16"/>
        <v>0</v>
      </c>
      <c r="AE25" s="120">
        <f t="shared" si="17"/>
        <v>0</v>
      </c>
      <c r="AF25" s="121">
        <f t="shared" si="18"/>
        <v>0</v>
      </c>
      <c r="AG25" s="120">
        <f t="shared" si="19"/>
        <v>0</v>
      </c>
      <c r="AH25" s="123">
        <f t="shared" si="20"/>
        <v>0</v>
      </c>
      <c r="AI25" s="124">
        <f t="shared" si="21"/>
        <v>0</v>
      </c>
      <c r="AJ25" s="121">
        <f t="shared" si="22"/>
        <v>0</v>
      </c>
      <c r="AK25" s="125">
        <f t="shared" si="23"/>
        <v>0</v>
      </c>
      <c r="AL25" s="193"/>
    </row>
    <row r="26" spans="1:38" ht="26.1" customHeight="1">
      <c r="A26" s="190">
        <v>18</v>
      </c>
      <c r="B26" s="2"/>
      <c r="C26" s="76"/>
      <c r="D26" s="81" t="s">
        <v>48</v>
      </c>
      <c r="E26" s="53"/>
      <c r="F26" s="81" t="s">
        <v>45</v>
      </c>
      <c r="G26" s="81" t="s">
        <v>46</v>
      </c>
      <c r="H26" s="76"/>
      <c r="I26" s="81" t="s">
        <v>48</v>
      </c>
      <c r="J26" s="53"/>
      <c r="K26" s="81" t="s">
        <v>47</v>
      </c>
      <c r="L26" s="28"/>
      <c r="M26" s="29"/>
      <c r="N26" s="119">
        <f t="shared" si="0"/>
        <v>0</v>
      </c>
      <c r="O26" s="120">
        <f t="shared" si="1"/>
        <v>0</v>
      </c>
      <c r="P26" s="121">
        <f t="shared" si="2"/>
        <v>0</v>
      </c>
      <c r="Q26" s="122">
        <f t="shared" si="3"/>
        <v>0</v>
      </c>
      <c r="R26" s="123">
        <f t="shared" si="4"/>
        <v>0</v>
      </c>
      <c r="S26" s="124">
        <f t="shared" si="5"/>
        <v>0</v>
      </c>
      <c r="T26" s="121">
        <f t="shared" si="6"/>
        <v>0</v>
      </c>
      <c r="U26" s="122">
        <f t="shared" si="7"/>
        <v>0</v>
      </c>
      <c r="V26" s="123">
        <f t="shared" si="8"/>
        <v>0</v>
      </c>
      <c r="W26" s="124">
        <f t="shared" si="9"/>
        <v>0</v>
      </c>
      <c r="X26" s="121">
        <f t="shared" si="10"/>
        <v>0</v>
      </c>
      <c r="Y26" s="122">
        <f t="shared" si="11"/>
        <v>0</v>
      </c>
      <c r="Z26" s="123">
        <f t="shared" si="12"/>
        <v>0</v>
      </c>
      <c r="AA26" s="124">
        <f t="shared" si="13"/>
        <v>0</v>
      </c>
      <c r="AB26" s="121">
        <f t="shared" si="14"/>
        <v>0</v>
      </c>
      <c r="AC26" s="122">
        <f t="shared" si="15"/>
        <v>0</v>
      </c>
      <c r="AD26" s="123">
        <f t="shared" si="16"/>
        <v>0</v>
      </c>
      <c r="AE26" s="120">
        <f t="shared" si="17"/>
        <v>0</v>
      </c>
      <c r="AF26" s="121">
        <f t="shared" si="18"/>
        <v>0</v>
      </c>
      <c r="AG26" s="120">
        <f t="shared" si="19"/>
        <v>0</v>
      </c>
      <c r="AH26" s="123">
        <f t="shared" si="20"/>
        <v>0</v>
      </c>
      <c r="AI26" s="124">
        <f t="shared" si="21"/>
        <v>0</v>
      </c>
      <c r="AJ26" s="121">
        <f t="shared" si="22"/>
        <v>0</v>
      </c>
      <c r="AK26" s="125">
        <f t="shared" si="23"/>
        <v>0</v>
      </c>
      <c r="AL26" s="193"/>
    </row>
    <row r="27" spans="1:38" ht="26.1" customHeight="1">
      <c r="A27" s="190">
        <v>19</v>
      </c>
      <c r="B27" s="2"/>
      <c r="C27" s="76"/>
      <c r="D27" s="81" t="s">
        <v>48</v>
      </c>
      <c r="E27" s="53"/>
      <c r="F27" s="81" t="s">
        <v>45</v>
      </c>
      <c r="G27" s="81" t="s">
        <v>46</v>
      </c>
      <c r="H27" s="76"/>
      <c r="I27" s="81" t="s">
        <v>48</v>
      </c>
      <c r="J27" s="53"/>
      <c r="K27" s="81" t="s">
        <v>47</v>
      </c>
      <c r="L27" s="28"/>
      <c r="M27" s="29"/>
      <c r="N27" s="119">
        <f t="shared" si="0"/>
        <v>0</v>
      </c>
      <c r="O27" s="120">
        <f t="shared" si="1"/>
        <v>0</v>
      </c>
      <c r="P27" s="121">
        <f t="shared" si="2"/>
        <v>0</v>
      </c>
      <c r="Q27" s="122">
        <f t="shared" si="3"/>
        <v>0</v>
      </c>
      <c r="R27" s="123">
        <f t="shared" si="4"/>
        <v>0</v>
      </c>
      <c r="S27" s="124">
        <f t="shared" si="5"/>
        <v>0</v>
      </c>
      <c r="T27" s="121">
        <f t="shared" si="6"/>
        <v>0</v>
      </c>
      <c r="U27" s="122">
        <f t="shared" si="7"/>
        <v>0</v>
      </c>
      <c r="V27" s="123">
        <f t="shared" si="8"/>
        <v>0</v>
      </c>
      <c r="W27" s="124">
        <f t="shared" si="9"/>
        <v>0</v>
      </c>
      <c r="X27" s="121">
        <f t="shared" si="10"/>
        <v>0</v>
      </c>
      <c r="Y27" s="122">
        <f t="shared" si="11"/>
        <v>0</v>
      </c>
      <c r="Z27" s="123">
        <f t="shared" si="12"/>
        <v>0</v>
      </c>
      <c r="AA27" s="124">
        <f t="shared" si="13"/>
        <v>0</v>
      </c>
      <c r="AB27" s="121">
        <f t="shared" si="14"/>
        <v>0</v>
      </c>
      <c r="AC27" s="122">
        <f t="shared" si="15"/>
        <v>0</v>
      </c>
      <c r="AD27" s="123">
        <f t="shared" si="16"/>
        <v>0</v>
      </c>
      <c r="AE27" s="120">
        <f t="shared" si="17"/>
        <v>0</v>
      </c>
      <c r="AF27" s="121">
        <f t="shared" si="18"/>
        <v>0</v>
      </c>
      <c r="AG27" s="120">
        <f t="shared" si="19"/>
        <v>0</v>
      </c>
      <c r="AH27" s="123">
        <f t="shared" si="20"/>
        <v>0</v>
      </c>
      <c r="AI27" s="124">
        <f t="shared" si="21"/>
        <v>0</v>
      </c>
      <c r="AJ27" s="121">
        <f t="shared" si="22"/>
        <v>0</v>
      </c>
      <c r="AK27" s="125">
        <f t="shared" si="23"/>
        <v>0</v>
      </c>
      <c r="AL27" s="193"/>
    </row>
    <row r="28" spans="1:38" ht="26.1" customHeight="1">
      <c r="A28" s="190">
        <v>20</v>
      </c>
      <c r="B28" s="2"/>
      <c r="C28" s="76"/>
      <c r="D28" s="81" t="s">
        <v>48</v>
      </c>
      <c r="E28" s="53"/>
      <c r="F28" s="81" t="s">
        <v>45</v>
      </c>
      <c r="G28" s="81" t="s">
        <v>93</v>
      </c>
      <c r="H28" s="76"/>
      <c r="I28" s="81" t="s">
        <v>48</v>
      </c>
      <c r="J28" s="53"/>
      <c r="K28" s="81" t="s">
        <v>47</v>
      </c>
      <c r="L28" s="28"/>
      <c r="M28" s="29"/>
      <c r="N28" s="119">
        <f t="shared" si="0"/>
        <v>0</v>
      </c>
      <c r="O28" s="120">
        <f t="shared" si="1"/>
        <v>0</v>
      </c>
      <c r="P28" s="121">
        <f t="shared" si="2"/>
        <v>0</v>
      </c>
      <c r="Q28" s="122">
        <f t="shared" si="3"/>
        <v>0</v>
      </c>
      <c r="R28" s="123">
        <f t="shared" si="4"/>
        <v>0</v>
      </c>
      <c r="S28" s="124">
        <f t="shared" si="5"/>
        <v>0</v>
      </c>
      <c r="T28" s="121">
        <f t="shared" si="6"/>
        <v>0</v>
      </c>
      <c r="U28" s="122">
        <f t="shared" si="7"/>
        <v>0</v>
      </c>
      <c r="V28" s="123">
        <f t="shared" si="8"/>
        <v>0</v>
      </c>
      <c r="W28" s="124">
        <f t="shared" si="9"/>
        <v>0</v>
      </c>
      <c r="X28" s="121">
        <f t="shared" si="10"/>
        <v>0</v>
      </c>
      <c r="Y28" s="122">
        <f t="shared" si="11"/>
        <v>0</v>
      </c>
      <c r="Z28" s="123">
        <f t="shared" si="12"/>
        <v>0</v>
      </c>
      <c r="AA28" s="124">
        <f t="shared" si="13"/>
        <v>0</v>
      </c>
      <c r="AB28" s="121">
        <f t="shared" si="14"/>
        <v>0</v>
      </c>
      <c r="AC28" s="122">
        <f t="shared" si="15"/>
        <v>0</v>
      </c>
      <c r="AD28" s="123">
        <f t="shared" si="16"/>
        <v>0</v>
      </c>
      <c r="AE28" s="120">
        <f t="shared" si="17"/>
        <v>0</v>
      </c>
      <c r="AF28" s="121">
        <f t="shared" si="18"/>
        <v>0</v>
      </c>
      <c r="AG28" s="120">
        <f t="shared" si="19"/>
        <v>0</v>
      </c>
      <c r="AH28" s="123">
        <f t="shared" si="20"/>
        <v>0</v>
      </c>
      <c r="AI28" s="124">
        <f t="shared" si="21"/>
        <v>0</v>
      </c>
      <c r="AJ28" s="121">
        <f t="shared" si="22"/>
        <v>0</v>
      </c>
      <c r="AK28" s="125">
        <f t="shared" si="23"/>
        <v>0</v>
      </c>
      <c r="AL28" s="7"/>
    </row>
    <row r="29" spans="1:38" ht="26.1" customHeight="1">
      <c r="A29" s="190">
        <v>21</v>
      </c>
      <c r="B29" s="2"/>
      <c r="C29" s="76"/>
      <c r="D29" s="81" t="s">
        <v>48</v>
      </c>
      <c r="E29" s="53"/>
      <c r="F29" s="81" t="s">
        <v>45</v>
      </c>
      <c r="G29" s="81" t="s">
        <v>93</v>
      </c>
      <c r="H29" s="76"/>
      <c r="I29" s="81" t="s">
        <v>48</v>
      </c>
      <c r="J29" s="53"/>
      <c r="K29" s="81" t="s">
        <v>47</v>
      </c>
      <c r="L29" s="28"/>
      <c r="M29" s="29"/>
      <c r="N29" s="119">
        <f t="shared" si="0"/>
        <v>0</v>
      </c>
      <c r="O29" s="120">
        <f t="shared" si="1"/>
        <v>0</v>
      </c>
      <c r="P29" s="121">
        <f t="shared" si="2"/>
        <v>0</v>
      </c>
      <c r="Q29" s="122">
        <f t="shared" si="3"/>
        <v>0</v>
      </c>
      <c r="R29" s="123">
        <f t="shared" si="4"/>
        <v>0</v>
      </c>
      <c r="S29" s="124">
        <f t="shared" si="5"/>
        <v>0</v>
      </c>
      <c r="T29" s="121">
        <f t="shared" si="6"/>
        <v>0</v>
      </c>
      <c r="U29" s="122">
        <f t="shared" si="7"/>
        <v>0</v>
      </c>
      <c r="V29" s="123">
        <f t="shared" si="8"/>
        <v>0</v>
      </c>
      <c r="W29" s="124">
        <f t="shared" si="9"/>
        <v>0</v>
      </c>
      <c r="X29" s="121">
        <f t="shared" si="10"/>
        <v>0</v>
      </c>
      <c r="Y29" s="122">
        <f t="shared" si="11"/>
        <v>0</v>
      </c>
      <c r="Z29" s="123">
        <f t="shared" si="12"/>
        <v>0</v>
      </c>
      <c r="AA29" s="124">
        <f t="shared" si="13"/>
        <v>0</v>
      </c>
      <c r="AB29" s="121">
        <f t="shared" si="14"/>
        <v>0</v>
      </c>
      <c r="AC29" s="122">
        <f t="shared" si="15"/>
        <v>0</v>
      </c>
      <c r="AD29" s="123">
        <f t="shared" si="16"/>
        <v>0</v>
      </c>
      <c r="AE29" s="120">
        <f t="shared" si="17"/>
        <v>0</v>
      </c>
      <c r="AF29" s="121">
        <f t="shared" si="18"/>
        <v>0</v>
      </c>
      <c r="AG29" s="120">
        <f t="shared" si="19"/>
        <v>0</v>
      </c>
      <c r="AH29" s="123">
        <f t="shared" si="20"/>
        <v>0</v>
      </c>
      <c r="AI29" s="124">
        <f t="shared" si="21"/>
        <v>0</v>
      </c>
      <c r="AJ29" s="121">
        <f t="shared" si="22"/>
        <v>0</v>
      </c>
      <c r="AK29" s="125">
        <f t="shared" si="23"/>
        <v>0</v>
      </c>
      <c r="AL29" s="7"/>
    </row>
    <row r="30" spans="1:38" ht="26.1" customHeight="1">
      <c r="A30" s="190">
        <v>22</v>
      </c>
      <c r="B30" s="2"/>
      <c r="C30" s="76"/>
      <c r="D30" s="81" t="s">
        <v>48</v>
      </c>
      <c r="E30" s="53"/>
      <c r="F30" s="81" t="s">
        <v>45</v>
      </c>
      <c r="G30" s="81" t="s">
        <v>93</v>
      </c>
      <c r="H30" s="76"/>
      <c r="I30" s="81" t="s">
        <v>48</v>
      </c>
      <c r="J30" s="53"/>
      <c r="K30" s="81" t="s">
        <v>47</v>
      </c>
      <c r="L30" s="28"/>
      <c r="M30" s="29"/>
      <c r="N30" s="119">
        <f t="shared" si="0"/>
        <v>0</v>
      </c>
      <c r="O30" s="120">
        <f t="shared" si="1"/>
        <v>0</v>
      </c>
      <c r="P30" s="121">
        <f t="shared" si="2"/>
        <v>0</v>
      </c>
      <c r="Q30" s="122">
        <f t="shared" si="3"/>
        <v>0</v>
      </c>
      <c r="R30" s="123">
        <f t="shared" si="4"/>
        <v>0</v>
      </c>
      <c r="S30" s="124">
        <f t="shared" si="5"/>
        <v>0</v>
      </c>
      <c r="T30" s="121">
        <f t="shared" si="6"/>
        <v>0</v>
      </c>
      <c r="U30" s="122">
        <f t="shared" si="7"/>
        <v>0</v>
      </c>
      <c r="V30" s="123">
        <f t="shared" si="8"/>
        <v>0</v>
      </c>
      <c r="W30" s="124">
        <f t="shared" si="9"/>
        <v>0</v>
      </c>
      <c r="X30" s="121">
        <f t="shared" si="10"/>
        <v>0</v>
      </c>
      <c r="Y30" s="122">
        <f t="shared" si="11"/>
        <v>0</v>
      </c>
      <c r="Z30" s="123">
        <f t="shared" si="12"/>
        <v>0</v>
      </c>
      <c r="AA30" s="124">
        <f t="shared" si="13"/>
        <v>0</v>
      </c>
      <c r="AB30" s="121">
        <f t="shared" si="14"/>
        <v>0</v>
      </c>
      <c r="AC30" s="122">
        <f t="shared" si="15"/>
        <v>0</v>
      </c>
      <c r="AD30" s="123">
        <f t="shared" si="16"/>
        <v>0</v>
      </c>
      <c r="AE30" s="120">
        <f t="shared" si="17"/>
        <v>0</v>
      </c>
      <c r="AF30" s="121">
        <f t="shared" si="18"/>
        <v>0</v>
      </c>
      <c r="AG30" s="120">
        <f t="shared" si="19"/>
        <v>0</v>
      </c>
      <c r="AH30" s="123">
        <f t="shared" si="20"/>
        <v>0</v>
      </c>
      <c r="AI30" s="124">
        <f t="shared" si="21"/>
        <v>0</v>
      </c>
      <c r="AJ30" s="121">
        <f t="shared" si="22"/>
        <v>0</v>
      </c>
      <c r="AK30" s="125">
        <f t="shared" si="23"/>
        <v>0</v>
      </c>
      <c r="AL30" s="7"/>
    </row>
    <row r="31" spans="1:38" ht="26.1" customHeight="1">
      <c r="A31" s="190">
        <v>23</v>
      </c>
      <c r="B31" s="2"/>
      <c r="C31" s="76"/>
      <c r="D31" s="81" t="s">
        <v>48</v>
      </c>
      <c r="E31" s="53"/>
      <c r="F31" s="81" t="s">
        <v>45</v>
      </c>
      <c r="G31" s="81" t="s">
        <v>93</v>
      </c>
      <c r="H31" s="76"/>
      <c r="I31" s="81" t="s">
        <v>48</v>
      </c>
      <c r="J31" s="53"/>
      <c r="K31" s="81" t="s">
        <v>47</v>
      </c>
      <c r="L31" s="28"/>
      <c r="M31" s="29"/>
      <c r="N31" s="119">
        <f t="shared" si="0"/>
        <v>0</v>
      </c>
      <c r="O31" s="120">
        <f t="shared" si="1"/>
        <v>0</v>
      </c>
      <c r="P31" s="121">
        <f t="shared" si="2"/>
        <v>0</v>
      </c>
      <c r="Q31" s="122">
        <f t="shared" si="3"/>
        <v>0</v>
      </c>
      <c r="R31" s="123">
        <f t="shared" si="4"/>
        <v>0</v>
      </c>
      <c r="S31" s="124">
        <f t="shared" si="5"/>
        <v>0</v>
      </c>
      <c r="T31" s="121">
        <f t="shared" si="6"/>
        <v>0</v>
      </c>
      <c r="U31" s="122">
        <f t="shared" si="7"/>
        <v>0</v>
      </c>
      <c r="V31" s="123">
        <f t="shared" si="8"/>
        <v>0</v>
      </c>
      <c r="W31" s="124">
        <f t="shared" si="9"/>
        <v>0</v>
      </c>
      <c r="X31" s="121">
        <f t="shared" si="10"/>
        <v>0</v>
      </c>
      <c r="Y31" s="122">
        <f t="shared" si="11"/>
        <v>0</v>
      </c>
      <c r="Z31" s="123">
        <f t="shared" si="12"/>
        <v>0</v>
      </c>
      <c r="AA31" s="124">
        <f t="shared" si="13"/>
        <v>0</v>
      </c>
      <c r="AB31" s="121">
        <f t="shared" si="14"/>
        <v>0</v>
      </c>
      <c r="AC31" s="122">
        <f t="shared" si="15"/>
        <v>0</v>
      </c>
      <c r="AD31" s="123">
        <f t="shared" si="16"/>
        <v>0</v>
      </c>
      <c r="AE31" s="120">
        <f t="shared" si="17"/>
        <v>0</v>
      </c>
      <c r="AF31" s="121">
        <f t="shared" si="18"/>
        <v>0</v>
      </c>
      <c r="AG31" s="120">
        <f t="shared" si="19"/>
        <v>0</v>
      </c>
      <c r="AH31" s="123">
        <f t="shared" si="20"/>
        <v>0</v>
      </c>
      <c r="AI31" s="124">
        <f t="shared" si="21"/>
        <v>0</v>
      </c>
      <c r="AJ31" s="121">
        <f t="shared" si="22"/>
        <v>0</v>
      </c>
      <c r="AK31" s="125">
        <f t="shared" si="23"/>
        <v>0</v>
      </c>
      <c r="AL31" s="7"/>
    </row>
    <row r="32" spans="1:38" ht="26.1" customHeight="1">
      <c r="A32" s="190">
        <v>24</v>
      </c>
      <c r="B32" s="2"/>
      <c r="C32" s="76"/>
      <c r="D32" s="81" t="s">
        <v>48</v>
      </c>
      <c r="E32" s="53"/>
      <c r="F32" s="81" t="s">
        <v>45</v>
      </c>
      <c r="G32" s="81" t="s">
        <v>93</v>
      </c>
      <c r="H32" s="76"/>
      <c r="I32" s="81" t="s">
        <v>48</v>
      </c>
      <c r="J32" s="53"/>
      <c r="K32" s="81" t="s">
        <v>47</v>
      </c>
      <c r="L32" s="28"/>
      <c r="M32" s="29"/>
      <c r="N32" s="119">
        <f t="shared" si="0"/>
        <v>0</v>
      </c>
      <c r="O32" s="120">
        <f t="shared" si="1"/>
        <v>0</v>
      </c>
      <c r="P32" s="121">
        <f t="shared" si="2"/>
        <v>0</v>
      </c>
      <c r="Q32" s="122">
        <f t="shared" si="3"/>
        <v>0</v>
      </c>
      <c r="R32" s="123">
        <f t="shared" si="4"/>
        <v>0</v>
      </c>
      <c r="S32" s="124">
        <f t="shared" si="5"/>
        <v>0</v>
      </c>
      <c r="T32" s="121">
        <f t="shared" si="6"/>
        <v>0</v>
      </c>
      <c r="U32" s="122">
        <f t="shared" si="7"/>
        <v>0</v>
      </c>
      <c r="V32" s="123">
        <f t="shared" si="8"/>
        <v>0</v>
      </c>
      <c r="W32" s="124">
        <f t="shared" si="9"/>
        <v>0</v>
      </c>
      <c r="X32" s="121">
        <f t="shared" si="10"/>
        <v>0</v>
      </c>
      <c r="Y32" s="122">
        <f t="shared" si="11"/>
        <v>0</v>
      </c>
      <c r="Z32" s="123">
        <f t="shared" si="12"/>
        <v>0</v>
      </c>
      <c r="AA32" s="124">
        <f t="shared" si="13"/>
        <v>0</v>
      </c>
      <c r="AB32" s="121">
        <f t="shared" si="14"/>
        <v>0</v>
      </c>
      <c r="AC32" s="122">
        <f t="shared" si="15"/>
        <v>0</v>
      </c>
      <c r="AD32" s="123">
        <f t="shared" si="16"/>
        <v>0</v>
      </c>
      <c r="AE32" s="120">
        <f t="shared" si="17"/>
        <v>0</v>
      </c>
      <c r="AF32" s="121">
        <f t="shared" si="18"/>
        <v>0</v>
      </c>
      <c r="AG32" s="120">
        <f t="shared" si="19"/>
        <v>0</v>
      </c>
      <c r="AH32" s="123">
        <f t="shared" si="20"/>
        <v>0</v>
      </c>
      <c r="AI32" s="124">
        <f t="shared" si="21"/>
        <v>0</v>
      </c>
      <c r="AJ32" s="121">
        <f t="shared" si="22"/>
        <v>0</v>
      </c>
      <c r="AK32" s="125">
        <f t="shared" si="23"/>
        <v>0</v>
      </c>
      <c r="AL32" s="7"/>
    </row>
    <row r="33" spans="1:38" ht="26.1" customHeight="1">
      <c r="A33" s="190">
        <v>25</v>
      </c>
      <c r="B33" s="2"/>
      <c r="C33" s="76"/>
      <c r="D33" s="81" t="s">
        <v>48</v>
      </c>
      <c r="E33" s="53"/>
      <c r="F33" s="81" t="s">
        <v>45</v>
      </c>
      <c r="G33" s="81" t="s">
        <v>93</v>
      </c>
      <c r="H33" s="76"/>
      <c r="I33" s="81" t="s">
        <v>48</v>
      </c>
      <c r="J33" s="53"/>
      <c r="K33" s="81" t="s">
        <v>47</v>
      </c>
      <c r="L33" s="28"/>
      <c r="M33" s="29"/>
      <c r="N33" s="119">
        <f t="shared" si="0"/>
        <v>0</v>
      </c>
      <c r="O33" s="120">
        <f t="shared" si="1"/>
        <v>0</v>
      </c>
      <c r="P33" s="121">
        <f t="shared" si="2"/>
        <v>0</v>
      </c>
      <c r="Q33" s="122">
        <f t="shared" si="3"/>
        <v>0</v>
      </c>
      <c r="R33" s="123">
        <f t="shared" si="4"/>
        <v>0</v>
      </c>
      <c r="S33" s="124">
        <f t="shared" si="5"/>
        <v>0</v>
      </c>
      <c r="T33" s="121">
        <f t="shared" si="6"/>
        <v>0</v>
      </c>
      <c r="U33" s="122">
        <f t="shared" si="7"/>
        <v>0</v>
      </c>
      <c r="V33" s="123">
        <f t="shared" si="8"/>
        <v>0</v>
      </c>
      <c r="W33" s="124">
        <f t="shared" si="9"/>
        <v>0</v>
      </c>
      <c r="X33" s="121">
        <f t="shared" si="10"/>
        <v>0</v>
      </c>
      <c r="Y33" s="122">
        <f t="shared" si="11"/>
        <v>0</v>
      </c>
      <c r="Z33" s="123">
        <f t="shared" si="12"/>
        <v>0</v>
      </c>
      <c r="AA33" s="124">
        <f t="shared" si="13"/>
        <v>0</v>
      </c>
      <c r="AB33" s="121">
        <f t="shared" si="14"/>
        <v>0</v>
      </c>
      <c r="AC33" s="122">
        <f t="shared" si="15"/>
        <v>0</v>
      </c>
      <c r="AD33" s="123">
        <f t="shared" si="16"/>
        <v>0</v>
      </c>
      <c r="AE33" s="120">
        <f t="shared" si="17"/>
        <v>0</v>
      </c>
      <c r="AF33" s="121">
        <f t="shared" si="18"/>
        <v>0</v>
      </c>
      <c r="AG33" s="120">
        <f t="shared" si="19"/>
        <v>0</v>
      </c>
      <c r="AH33" s="123">
        <f t="shared" si="20"/>
        <v>0</v>
      </c>
      <c r="AI33" s="124">
        <f t="shared" si="21"/>
        <v>0</v>
      </c>
      <c r="AJ33" s="121">
        <f t="shared" si="22"/>
        <v>0</v>
      </c>
      <c r="AK33" s="125">
        <f t="shared" si="23"/>
        <v>0</v>
      </c>
      <c r="AL33" s="7"/>
    </row>
    <row r="34" spans="1:38" ht="26.1" customHeight="1">
      <c r="A34" s="190">
        <v>26</v>
      </c>
      <c r="B34" s="2"/>
      <c r="C34" s="76"/>
      <c r="D34" s="81" t="s">
        <v>48</v>
      </c>
      <c r="E34" s="53"/>
      <c r="F34" s="81" t="s">
        <v>45</v>
      </c>
      <c r="G34" s="81" t="s">
        <v>93</v>
      </c>
      <c r="H34" s="76"/>
      <c r="I34" s="81" t="s">
        <v>48</v>
      </c>
      <c r="J34" s="53"/>
      <c r="K34" s="81" t="s">
        <v>47</v>
      </c>
      <c r="L34" s="28"/>
      <c r="M34" s="29"/>
      <c r="N34" s="119">
        <f t="shared" si="0"/>
        <v>0</v>
      </c>
      <c r="O34" s="120">
        <f t="shared" si="1"/>
        <v>0</v>
      </c>
      <c r="P34" s="121">
        <f t="shared" si="2"/>
        <v>0</v>
      </c>
      <c r="Q34" s="122">
        <f t="shared" si="3"/>
        <v>0</v>
      </c>
      <c r="R34" s="123">
        <f t="shared" si="4"/>
        <v>0</v>
      </c>
      <c r="S34" s="124">
        <f t="shared" si="5"/>
        <v>0</v>
      </c>
      <c r="T34" s="121">
        <f t="shared" si="6"/>
        <v>0</v>
      </c>
      <c r="U34" s="122">
        <f t="shared" si="7"/>
        <v>0</v>
      </c>
      <c r="V34" s="123">
        <f t="shared" si="8"/>
        <v>0</v>
      </c>
      <c r="W34" s="124">
        <f t="shared" si="9"/>
        <v>0</v>
      </c>
      <c r="X34" s="121">
        <f t="shared" si="10"/>
        <v>0</v>
      </c>
      <c r="Y34" s="122">
        <f t="shared" si="11"/>
        <v>0</v>
      </c>
      <c r="Z34" s="123">
        <f t="shared" si="12"/>
        <v>0</v>
      </c>
      <c r="AA34" s="124">
        <f t="shared" si="13"/>
        <v>0</v>
      </c>
      <c r="AB34" s="121">
        <f t="shared" si="14"/>
        <v>0</v>
      </c>
      <c r="AC34" s="122">
        <f t="shared" si="15"/>
        <v>0</v>
      </c>
      <c r="AD34" s="123">
        <f t="shared" si="16"/>
        <v>0</v>
      </c>
      <c r="AE34" s="120">
        <f t="shared" si="17"/>
        <v>0</v>
      </c>
      <c r="AF34" s="121">
        <f t="shared" si="18"/>
        <v>0</v>
      </c>
      <c r="AG34" s="120">
        <f t="shared" si="19"/>
        <v>0</v>
      </c>
      <c r="AH34" s="123">
        <f t="shared" si="20"/>
        <v>0</v>
      </c>
      <c r="AI34" s="124">
        <f t="shared" si="21"/>
        <v>0</v>
      </c>
      <c r="AJ34" s="121">
        <f t="shared" si="22"/>
        <v>0</v>
      </c>
      <c r="AK34" s="125">
        <f t="shared" si="23"/>
        <v>0</v>
      </c>
      <c r="AL34" s="7"/>
    </row>
    <row r="35" spans="1:38" ht="26.1" customHeight="1">
      <c r="A35" s="190">
        <v>27</v>
      </c>
      <c r="B35" s="2"/>
      <c r="C35" s="76"/>
      <c r="D35" s="81" t="s">
        <v>48</v>
      </c>
      <c r="E35" s="53"/>
      <c r="F35" s="81" t="s">
        <v>45</v>
      </c>
      <c r="G35" s="81" t="s">
        <v>93</v>
      </c>
      <c r="H35" s="76"/>
      <c r="I35" s="81" t="s">
        <v>48</v>
      </c>
      <c r="J35" s="53"/>
      <c r="K35" s="81" t="s">
        <v>47</v>
      </c>
      <c r="L35" s="28"/>
      <c r="M35" s="29"/>
      <c r="N35" s="119">
        <f t="shared" si="0"/>
        <v>0</v>
      </c>
      <c r="O35" s="120">
        <f t="shared" si="1"/>
        <v>0</v>
      </c>
      <c r="P35" s="121">
        <f t="shared" si="2"/>
        <v>0</v>
      </c>
      <c r="Q35" s="122">
        <f t="shared" si="3"/>
        <v>0</v>
      </c>
      <c r="R35" s="123">
        <f t="shared" si="4"/>
        <v>0</v>
      </c>
      <c r="S35" s="124">
        <f t="shared" si="5"/>
        <v>0</v>
      </c>
      <c r="T35" s="121">
        <f t="shared" si="6"/>
        <v>0</v>
      </c>
      <c r="U35" s="122">
        <f t="shared" si="7"/>
        <v>0</v>
      </c>
      <c r="V35" s="123">
        <f t="shared" si="8"/>
        <v>0</v>
      </c>
      <c r="W35" s="124">
        <f t="shared" si="9"/>
        <v>0</v>
      </c>
      <c r="X35" s="121">
        <f t="shared" si="10"/>
        <v>0</v>
      </c>
      <c r="Y35" s="122">
        <f t="shared" si="11"/>
        <v>0</v>
      </c>
      <c r="Z35" s="123">
        <f t="shared" si="12"/>
        <v>0</v>
      </c>
      <c r="AA35" s="124">
        <f t="shared" si="13"/>
        <v>0</v>
      </c>
      <c r="AB35" s="121">
        <f t="shared" si="14"/>
        <v>0</v>
      </c>
      <c r="AC35" s="122">
        <f t="shared" si="15"/>
        <v>0</v>
      </c>
      <c r="AD35" s="123">
        <f t="shared" si="16"/>
        <v>0</v>
      </c>
      <c r="AE35" s="120">
        <f t="shared" si="17"/>
        <v>0</v>
      </c>
      <c r="AF35" s="121">
        <f t="shared" si="18"/>
        <v>0</v>
      </c>
      <c r="AG35" s="120">
        <f t="shared" si="19"/>
        <v>0</v>
      </c>
      <c r="AH35" s="123">
        <f t="shared" si="20"/>
        <v>0</v>
      </c>
      <c r="AI35" s="124">
        <f t="shared" si="21"/>
        <v>0</v>
      </c>
      <c r="AJ35" s="121">
        <f t="shared" si="22"/>
        <v>0</v>
      </c>
      <c r="AK35" s="125">
        <f t="shared" si="23"/>
        <v>0</v>
      </c>
      <c r="AL35" s="7"/>
    </row>
    <row r="36" spans="1:38" ht="26.1" customHeight="1">
      <c r="A36" s="190">
        <v>28</v>
      </c>
      <c r="B36" s="2"/>
      <c r="C36" s="76"/>
      <c r="D36" s="81" t="s">
        <v>48</v>
      </c>
      <c r="E36" s="53"/>
      <c r="F36" s="81" t="s">
        <v>45</v>
      </c>
      <c r="G36" s="81" t="s">
        <v>93</v>
      </c>
      <c r="H36" s="76"/>
      <c r="I36" s="81" t="s">
        <v>48</v>
      </c>
      <c r="J36" s="53"/>
      <c r="K36" s="81" t="s">
        <v>47</v>
      </c>
      <c r="L36" s="28"/>
      <c r="M36" s="29"/>
      <c r="N36" s="119">
        <f t="shared" si="0"/>
        <v>0</v>
      </c>
      <c r="O36" s="120">
        <f t="shared" si="1"/>
        <v>0</v>
      </c>
      <c r="P36" s="121">
        <f t="shared" si="2"/>
        <v>0</v>
      </c>
      <c r="Q36" s="122">
        <f t="shared" si="3"/>
        <v>0</v>
      </c>
      <c r="R36" s="123">
        <f t="shared" si="4"/>
        <v>0</v>
      </c>
      <c r="S36" s="124">
        <f t="shared" si="5"/>
        <v>0</v>
      </c>
      <c r="T36" s="121">
        <f t="shared" si="6"/>
        <v>0</v>
      </c>
      <c r="U36" s="122">
        <f t="shared" si="7"/>
        <v>0</v>
      </c>
      <c r="V36" s="123">
        <f t="shared" si="8"/>
        <v>0</v>
      </c>
      <c r="W36" s="124">
        <f t="shared" si="9"/>
        <v>0</v>
      </c>
      <c r="X36" s="121">
        <f t="shared" si="10"/>
        <v>0</v>
      </c>
      <c r="Y36" s="122">
        <f t="shared" si="11"/>
        <v>0</v>
      </c>
      <c r="Z36" s="123">
        <f t="shared" si="12"/>
        <v>0</v>
      </c>
      <c r="AA36" s="124">
        <f t="shared" si="13"/>
        <v>0</v>
      </c>
      <c r="AB36" s="121">
        <f t="shared" si="14"/>
        <v>0</v>
      </c>
      <c r="AC36" s="122">
        <f t="shared" si="15"/>
        <v>0</v>
      </c>
      <c r="AD36" s="123">
        <f t="shared" si="16"/>
        <v>0</v>
      </c>
      <c r="AE36" s="120">
        <f t="shared" si="17"/>
        <v>0</v>
      </c>
      <c r="AF36" s="121">
        <f t="shared" si="18"/>
        <v>0</v>
      </c>
      <c r="AG36" s="120">
        <f t="shared" si="19"/>
        <v>0</v>
      </c>
      <c r="AH36" s="123">
        <f t="shared" si="20"/>
        <v>0</v>
      </c>
      <c r="AI36" s="124">
        <f t="shared" si="21"/>
        <v>0</v>
      </c>
      <c r="AJ36" s="121">
        <f t="shared" si="22"/>
        <v>0</v>
      </c>
      <c r="AK36" s="125">
        <f t="shared" si="23"/>
        <v>0</v>
      </c>
      <c r="AL36" s="7"/>
    </row>
    <row r="37" spans="1:38" ht="26.1" customHeight="1">
      <c r="A37" s="190">
        <v>29</v>
      </c>
      <c r="B37" s="2"/>
      <c r="C37" s="76"/>
      <c r="D37" s="81" t="s">
        <v>48</v>
      </c>
      <c r="E37" s="53"/>
      <c r="F37" s="81" t="s">
        <v>45</v>
      </c>
      <c r="G37" s="81" t="s">
        <v>93</v>
      </c>
      <c r="H37" s="76"/>
      <c r="I37" s="81" t="s">
        <v>48</v>
      </c>
      <c r="J37" s="53"/>
      <c r="K37" s="81" t="s">
        <v>47</v>
      </c>
      <c r="L37" s="28"/>
      <c r="M37" s="29"/>
      <c r="N37" s="119">
        <f t="shared" si="0"/>
        <v>0</v>
      </c>
      <c r="O37" s="120">
        <f t="shared" si="1"/>
        <v>0</v>
      </c>
      <c r="P37" s="121">
        <f t="shared" si="2"/>
        <v>0</v>
      </c>
      <c r="Q37" s="122">
        <f t="shared" si="3"/>
        <v>0</v>
      </c>
      <c r="R37" s="123">
        <f t="shared" si="4"/>
        <v>0</v>
      </c>
      <c r="S37" s="124">
        <f t="shared" si="5"/>
        <v>0</v>
      </c>
      <c r="T37" s="121">
        <f t="shared" si="6"/>
        <v>0</v>
      </c>
      <c r="U37" s="122">
        <f t="shared" si="7"/>
        <v>0</v>
      </c>
      <c r="V37" s="123">
        <f t="shared" si="8"/>
        <v>0</v>
      </c>
      <c r="W37" s="124">
        <f t="shared" si="9"/>
        <v>0</v>
      </c>
      <c r="X37" s="121">
        <f t="shared" si="10"/>
        <v>0</v>
      </c>
      <c r="Y37" s="122">
        <f t="shared" si="11"/>
        <v>0</v>
      </c>
      <c r="Z37" s="123">
        <f t="shared" si="12"/>
        <v>0</v>
      </c>
      <c r="AA37" s="124">
        <f t="shared" si="13"/>
        <v>0</v>
      </c>
      <c r="AB37" s="121">
        <f t="shared" si="14"/>
        <v>0</v>
      </c>
      <c r="AC37" s="122">
        <f t="shared" si="15"/>
        <v>0</v>
      </c>
      <c r="AD37" s="123">
        <f t="shared" si="16"/>
        <v>0</v>
      </c>
      <c r="AE37" s="120">
        <f t="shared" si="17"/>
        <v>0</v>
      </c>
      <c r="AF37" s="121">
        <f t="shared" si="18"/>
        <v>0</v>
      </c>
      <c r="AG37" s="120">
        <f t="shared" si="19"/>
        <v>0</v>
      </c>
      <c r="AH37" s="123">
        <f t="shared" si="20"/>
        <v>0</v>
      </c>
      <c r="AI37" s="124">
        <f t="shared" si="21"/>
        <v>0</v>
      </c>
      <c r="AJ37" s="121">
        <f t="shared" si="22"/>
        <v>0</v>
      </c>
      <c r="AK37" s="125">
        <f t="shared" si="23"/>
        <v>0</v>
      </c>
      <c r="AL37" s="7"/>
    </row>
    <row r="38" spans="1:38" ht="26.1" customHeight="1" thickBot="1">
      <c r="A38" s="190">
        <v>30</v>
      </c>
      <c r="B38" s="2"/>
      <c r="C38" s="76"/>
      <c r="D38" s="81" t="s">
        <v>48</v>
      </c>
      <c r="E38" s="53"/>
      <c r="F38" s="81" t="s">
        <v>45</v>
      </c>
      <c r="G38" s="81" t="s">
        <v>93</v>
      </c>
      <c r="H38" s="76"/>
      <c r="I38" s="81" t="s">
        <v>48</v>
      </c>
      <c r="J38" s="53"/>
      <c r="K38" s="81" t="s">
        <v>47</v>
      </c>
      <c r="L38" s="30"/>
      <c r="M38" s="31"/>
      <c r="N38" s="126">
        <f t="shared" si="0"/>
        <v>0</v>
      </c>
      <c r="O38" s="127">
        <f t="shared" si="1"/>
        <v>0</v>
      </c>
      <c r="P38" s="128">
        <f t="shared" si="2"/>
        <v>0</v>
      </c>
      <c r="Q38" s="129">
        <f t="shared" si="3"/>
        <v>0</v>
      </c>
      <c r="R38" s="130">
        <f t="shared" si="4"/>
        <v>0</v>
      </c>
      <c r="S38" s="131">
        <f t="shared" si="5"/>
        <v>0</v>
      </c>
      <c r="T38" s="128">
        <f t="shared" si="6"/>
        <v>0</v>
      </c>
      <c r="U38" s="129">
        <f t="shared" si="7"/>
        <v>0</v>
      </c>
      <c r="V38" s="130">
        <f t="shared" si="8"/>
        <v>0</v>
      </c>
      <c r="W38" s="131">
        <f t="shared" si="9"/>
        <v>0</v>
      </c>
      <c r="X38" s="128">
        <f t="shared" si="10"/>
        <v>0</v>
      </c>
      <c r="Y38" s="129">
        <f t="shared" si="11"/>
        <v>0</v>
      </c>
      <c r="Z38" s="130">
        <f t="shared" si="12"/>
        <v>0</v>
      </c>
      <c r="AA38" s="131">
        <f t="shared" si="13"/>
        <v>0</v>
      </c>
      <c r="AB38" s="128">
        <f t="shared" si="14"/>
        <v>0</v>
      </c>
      <c r="AC38" s="129">
        <f t="shared" si="15"/>
        <v>0</v>
      </c>
      <c r="AD38" s="130">
        <f t="shared" si="16"/>
        <v>0</v>
      </c>
      <c r="AE38" s="127">
        <f t="shared" si="17"/>
        <v>0</v>
      </c>
      <c r="AF38" s="128">
        <f t="shared" si="18"/>
        <v>0</v>
      </c>
      <c r="AG38" s="127">
        <f t="shared" si="19"/>
        <v>0</v>
      </c>
      <c r="AH38" s="130">
        <f t="shared" si="20"/>
        <v>0</v>
      </c>
      <c r="AI38" s="131">
        <f t="shared" si="21"/>
        <v>0</v>
      </c>
      <c r="AJ38" s="128">
        <f t="shared" si="22"/>
        <v>0</v>
      </c>
      <c r="AK38" s="132">
        <f t="shared" si="23"/>
        <v>0</v>
      </c>
      <c r="AL38" s="7"/>
    </row>
    <row r="39" spans="1:38" ht="26.1" customHeight="1">
      <c r="A39" s="929" t="s">
        <v>14</v>
      </c>
      <c r="B39" s="930"/>
      <c r="C39" s="930"/>
      <c r="D39" s="930"/>
      <c r="E39" s="930"/>
      <c r="F39" s="930"/>
      <c r="G39" s="930"/>
      <c r="H39" s="930"/>
      <c r="I39" s="930"/>
      <c r="J39" s="930"/>
      <c r="K39" s="931"/>
      <c r="L39" s="922">
        <f>(SUM(L9:L38)*60+SUM(M9:M38))/60</f>
        <v>0</v>
      </c>
      <c r="M39" s="923"/>
      <c r="N39" s="922">
        <f>(SUM(N9:N38)*60+SUM(O9:O38))/60</f>
        <v>0</v>
      </c>
      <c r="O39" s="923"/>
      <c r="P39" s="922">
        <f>(SUM(P9:P38)*60+SUM(Q9:Q38))/60</f>
        <v>0</v>
      </c>
      <c r="Q39" s="923"/>
      <c r="R39" s="922">
        <f>(SUM(R9:R38)*60+SUM(S9:S38))/60</f>
        <v>0</v>
      </c>
      <c r="S39" s="923"/>
      <c r="T39" s="922">
        <f>(SUM(T9:T38)*60+SUM(U9:U38))/60</f>
        <v>0</v>
      </c>
      <c r="U39" s="923"/>
      <c r="V39" s="922">
        <f>(SUM(V9:V38)*60+SUM(W9:W38))/60</f>
        <v>0</v>
      </c>
      <c r="W39" s="923"/>
      <c r="X39" s="922">
        <f>(SUM(X9:X38)*60+SUM(Y9:Y38))/60</f>
        <v>0</v>
      </c>
      <c r="Y39" s="923"/>
      <c r="Z39" s="922">
        <f>(SUM(Z9:Z38)*60+SUM(AA9:AA38))/60</f>
        <v>0</v>
      </c>
      <c r="AA39" s="923"/>
      <c r="AB39" s="922">
        <f>(SUM(AB9:AB38)*60+SUM(AC9:AC38))/60</f>
        <v>0</v>
      </c>
      <c r="AC39" s="923"/>
      <c r="AD39" s="922">
        <f>(SUM(AD9:AD38)*60+SUM(AE9:AE38))/60</f>
        <v>0</v>
      </c>
      <c r="AE39" s="923"/>
      <c r="AF39" s="572">
        <f>(SUM(AF9:AF38)*60+SUM(AG9:AG38))/60</f>
        <v>0</v>
      </c>
      <c r="AG39" s="572"/>
      <c r="AH39" s="945">
        <f>(SUM(AH9:AH38)*60+SUM(AI9:AI38))/60</f>
        <v>0</v>
      </c>
      <c r="AI39" s="945"/>
      <c r="AJ39" s="922">
        <f>(SUM(AJ9:AJ38)*60+SUM(AK9:AK38))/60</f>
        <v>0</v>
      </c>
      <c r="AK39" s="923"/>
      <c r="AL39" s="7"/>
    </row>
    <row r="40" spans="1:38" ht="25.5" customHeight="1">
      <c r="A40" s="918" t="s">
        <v>252</v>
      </c>
      <c r="B40" s="919"/>
      <c r="C40" s="919"/>
      <c r="D40" s="919"/>
      <c r="E40" s="919"/>
      <c r="F40" s="919"/>
      <c r="G40" s="919"/>
      <c r="H40" s="919"/>
      <c r="I40" s="919"/>
      <c r="J40" s="919"/>
      <c r="K40" s="920"/>
      <c r="L40" s="916">
        <f>IFERROR(L39/$L$5,0)</f>
        <v>0</v>
      </c>
      <c r="M40" s="917"/>
      <c r="N40" s="916">
        <f t="shared" ref="N40" si="24">IFERROR(N39/$L$5,0)</f>
        <v>0</v>
      </c>
      <c r="O40" s="917"/>
      <c r="P40" s="916">
        <f t="shared" ref="P40" si="25">IFERROR(P39/$L$5,0)</f>
        <v>0</v>
      </c>
      <c r="Q40" s="917"/>
      <c r="R40" s="916">
        <f t="shared" ref="R40" si="26">IFERROR(R39/$L$5,0)</f>
        <v>0</v>
      </c>
      <c r="S40" s="917"/>
      <c r="T40" s="916">
        <f t="shared" ref="T40" si="27">IFERROR(T39/$L$5,0)</f>
        <v>0</v>
      </c>
      <c r="U40" s="917"/>
      <c r="V40" s="916">
        <f t="shared" ref="V40" si="28">IFERROR(V39/$L$5,0)</f>
        <v>0</v>
      </c>
      <c r="W40" s="917"/>
      <c r="X40" s="916">
        <f t="shared" ref="X40" si="29">IFERROR(X39/$L$5,0)</f>
        <v>0</v>
      </c>
      <c r="Y40" s="917"/>
      <c r="Z40" s="916">
        <f t="shared" ref="Z40" si="30">IFERROR(Z39/$L$5,0)</f>
        <v>0</v>
      </c>
      <c r="AA40" s="917"/>
      <c r="AB40" s="916">
        <f t="shared" ref="AB40" si="31">IFERROR(AB39/$L$5,0)</f>
        <v>0</v>
      </c>
      <c r="AC40" s="917"/>
      <c r="AD40" s="916">
        <f t="shared" ref="AD40" si="32">IFERROR(AD39/$L$5,0)</f>
        <v>0</v>
      </c>
      <c r="AE40" s="917"/>
      <c r="AF40" s="916">
        <f t="shared" ref="AF40" si="33">IFERROR(AF39/$L$5,0)</f>
        <v>0</v>
      </c>
      <c r="AG40" s="917"/>
      <c r="AH40" s="916">
        <f t="shared" ref="AH40" si="34">IFERROR(AH39/$L$5,0)</f>
        <v>0</v>
      </c>
      <c r="AI40" s="917"/>
      <c r="AJ40" s="916">
        <f t="shared" ref="AJ40" si="35">IFERROR(AJ39/$L$5,0)</f>
        <v>0</v>
      </c>
      <c r="AK40" s="917"/>
      <c r="AL40" s="7"/>
    </row>
    <row r="41" spans="1:38" ht="30.75" hidden="1" customHeight="1">
      <c r="O41" s="111">
        <f>ROUNDDOWN(SUM(N40,'様式２（専従の常勤）'!G72:G73,'様式２（専従の常勤）'!G86:G87),1)</f>
        <v>0</v>
      </c>
      <c r="Q41" s="111">
        <f>ROUNDDOWN(SUM(P40,'様式２（専従の常勤）'!H72:H73,'様式２（専従の常勤）'!H86:H87),1)</f>
        <v>0</v>
      </c>
      <c r="S41" s="111">
        <f>ROUNDDOWN(SUM(R40,'様式２（専従の常勤）'!I72:I73,'様式２（専従の常勤）'!I86:I87),1)</f>
        <v>0</v>
      </c>
      <c r="U41" s="111">
        <f>ROUNDDOWN(SUM(T40,'様式２（専従の常勤）'!J72:J73,'様式２（専従の常勤）'!J86:J87),1)</f>
        <v>0</v>
      </c>
      <c r="W41" s="111">
        <f>ROUNDDOWN(SUM(V40,'様式２（専従の常勤）'!K72:K73,'様式２（専従の常勤）'!K86:K87),1)</f>
        <v>0</v>
      </c>
      <c r="Y41" s="111">
        <f>ROUNDDOWN(SUM(X40,'様式２（専従の常勤）'!L72:L73,'様式２（専従の常勤）'!L86:L87),1)</f>
        <v>0</v>
      </c>
      <c r="AA41" s="111">
        <f>ROUNDDOWN(SUM(Z40,'様式２（専従の常勤）'!M72:M73,'様式２（専従の常勤）'!M86:M87),1)</f>
        <v>0</v>
      </c>
      <c r="AC41" s="111">
        <f>ROUNDDOWN(SUM(AB40,'様式２（専従の常勤）'!N72:N73,'様式２（専従の常勤）'!N86:N87),1)</f>
        <v>0</v>
      </c>
      <c r="AE41" s="111">
        <f>ROUNDDOWN(SUM(AD40,'様式２（専従の常勤）'!O72:O73,'様式２（専従の常勤）'!O86:O87),1)</f>
        <v>0</v>
      </c>
      <c r="AG41" s="111">
        <f>ROUNDDOWN(SUM(AF40,'様式２（専従の常勤）'!P72:P73,'様式２（専従の常勤）'!P86:P87),1)</f>
        <v>0</v>
      </c>
      <c r="AI41" s="111">
        <f>ROUNDDOWN(SUM(AH40,'様式２（専従の常勤）'!Q72:Q73,'様式２（専従の常勤）'!Q86:Q87),1)</f>
        <v>0</v>
      </c>
      <c r="AK41" s="111">
        <f>ROUNDDOWN(SUM(AJ40,'様式２（専従の常勤）'!R72:R73,'様式２（専従の常勤）'!R86:R87),1)</f>
        <v>0</v>
      </c>
      <c r="AL41" s="7"/>
    </row>
    <row r="42" spans="1:38" ht="16.5" customHeight="1">
      <c r="AL42" s="7"/>
    </row>
    <row r="43" spans="1:38">
      <c r="AL43" s="7"/>
    </row>
    <row r="44" spans="1:38" ht="26.1" customHeight="1" thickBot="1">
      <c r="A44" s="82" t="s">
        <v>89</v>
      </c>
      <c r="B44" s="83"/>
      <c r="C44" s="83"/>
      <c r="D44" s="83"/>
      <c r="E44" s="83"/>
      <c r="F44" s="83"/>
      <c r="G44" s="83"/>
      <c r="H44" s="83"/>
      <c r="I44" s="83"/>
      <c r="J44" s="83"/>
      <c r="K44" s="83"/>
      <c r="L44" s="84"/>
      <c r="M44" s="84"/>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7"/>
    </row>
    <row r="45" spans="1:38">
      <c r="A45" s="897" t="s">
        <v>13</v>
      </c>
      <c r="B45" s="933" t="s">
        <v>97</v>
      </c>
      <c r="C45" s="734" t="s">
        <v>44</v>
      </c>
      <c r="D45" s="734"/>
      <c r="E45" s="734"/>
      <c r="F45" s="734"/>
      <c r="G45" s="734"/>
      <c r="H45" s="734"/>
      <c r="I45" s="734"/>
      <c r="J45" s="734"/>
      <c r="K45" s="936"/>
      <c r="L45" s="940" t="s">
        <v>68</v>
      </c>
      <c r="M45" s="941"/>
      <c r="N45" s="906" t="s">
        <v>69</v>
      </c>
      <c r="O45" s="907"/>
      <c r="P45" s="907"/>
      <c r="Q45" s="907"/>
      <c r="R45" s="907"/>
      <c r="S45" s="907"/>
      <c r="T45" s="907"/>
      <c r="U45" s="907"/>
      <c r="V45" s="907"/>
      <c r="W45" s="907"/>
      <c r="X45" s="907"/>
      <c r="Y45" s="907"/>
      <c r="Z45" s="907"/>
      <c r="AA45" s="907"/>
      <c r="AB45" s="907"/>
      <c r="AC45" s="907"/>
      <c r="AD45" s="907"/>
      <c r="AE45" s="907"/>
      <c r="AF45" s="907"/>
      <c r="AG45" s="907"/>
      <c r="AH45" s="907"/>
      <c r="AI45" s="907"/>
      <c r="AJ45" s="907"/>
      <c r="AK45" s="908"/>
      <c r="AL45" s="7"/>
    </row>
    <row r="46" spans="1:38">
      <c r="A46" s="898"/>
      <c r="B46" s="934"/>
      <c r="C46" s="649"/>
      <c r="D46" s="649"/>
      <c r="E46" s="649"/>
      <c r="F46" s="649"/>
      <c r="G46" s="649"/>
      <c r="H46" s="649"/>
      <c r="I46" s="649"/>
      <c r="J46" s="649"/>
      <c r="K46" s="937"/>
      <c r="L46" s="942"/>
      <c r="M46" s="943"/>
      <c r="N46" s="944">
        <v>4</v>
      </c>
      <c r="O46" s="921"/>
      <c r="P46" s="921">
        <v>5</v>
      </c>
      <c r="Q46" s="921"/>
      <c r="R46" s="921">
        <v>6</v>
      </c>
      <c r="S46" s="921"/>
      <c r="T46" s="921">
        <v>7</v>
      </c>
      <c r="U46" s="921"/>
      <c r="V46" s="921">
        <v>8</v>
      </c>
      <c r="W46" s="921"/>
      <c r="X46" s="921">
        <v>9</v>
      </c>
      <c r="Y46" s="921"/>
      <c r="Z46" s="921">
        <v>10</v>
      </c>
      <c r="AA46" s="921"/>
      <c r="AB46" s="921">
        <v>11</v>
      </c>
      <c r="AC46" s="921"/>
      <c r="AD46" s="921">
        <v>12</v>
      </c>
      <c r="AE46" s="921"/>
      <c r="AF46" s="926">
        <v>1</v>
      </c>
      <c r="AG46" s="927"/>
      <c r="AH46" s="921">
        <v>2</v>
      </c>
      <c r="AI46" s="921"/>
      <c r="AJ46" s="921">
        <v>3</v>
      </c>
      <c r="AK46" s="925"/>
      <c r="AL46" s="7"/>
    </row>
    <row r="47" spans="1:38" ht="13.5" customHeight="1">
      <c r="A47" s="932"/>
      <c r="B47" s="935"/>
      <c r="C47" s="938"/>
      <c r="D47" s="938"/>
      <c r="E47" s="938"/>
      <c r="F47" s="938"/>
      <c r="G47" s="938"/>
      <c r="H47" s="938"/>
      <c r="I47" s="938"/>
      <c r="J47" s="938"/>
      <c r="K47" s="939"/>
      <c r="L47" s="26" t="s">
        <v>20</v>
      </c>
      <c r="M47" s="27" t="s">
        <v>21</v>
      </c>
      <c r="N47" s="78" t="s">
        <v>20</v>
      </c>
      <c r="O47" s="35" t="s">
        <v>21</v>
      </c>
      <c r="P47" s="36" t="s">
        <v>20</v>
      </c>
      <c r="Q47" s="79" t="s">
        <v>21</v>
      </c>
      <c r="R47" s="80" t="s">
        <v>20</v>
      </c>
      <c r="S47" s="35" t="s">
        <v>21</v>
      </c>
      <c r="T47" s="36" t="s">
        <v>20</v>
      </c>
      <c r="U47" s="79" t="s">
        <v>21</v>
      </c>
      <c r="V47" s="80" t="s">
        <v>20</v>
      </c>
      <c r="W47" s="35" t="s">
        <v>21</v>
      </c>
      <c r="X47" s="36" t="s">
        <v>20</v>
      </c>
      <c r="Y47" s="79" t="s">
        <v>21</v>
      </c>
      <c r="Z47" s="80" t="s">
        <v>20</v>
      </c>
      <c r="AA47" s="35" t="s">
        <v>21</v>
      </c>
      <c r="AB47" s="36" t="s">
        <v>20</v>
      </c>
      <c r="AC47" s="79" t="s">
        <v>21</v>
      </c>
      <c r="AD47" s="36" t="s">
        <v>20</v>
      </c>
      <c r="AE47" s="35" t="s">
        <v>21</v>
      </c>
      <c r="AF47" s="36" t="s">
        <v>20</v>
      </c>
      <c r="AG47" s="35" t="s">
        <v>21</v>
      </c>
      <c r="AH47" s="34" t="s">
        <v>20</v>
      </c>
      <c r="AI47" s="35" t="s">
        <v>21</v>
      </c>
      <c r="AJ47" s="36" t="s">
        <v>20</v>
      </c>
      <c r="AK47" s="47" t="s">
        <v>21</v>
      </c>
      <c r="AL47" s="7"/>
    </row>
    <row r="48" spans="1:38" ht="26.1" customHeight="1">
      <c r="A48" s="21">
        <v>1</v>
      </c>
      <c r="B48" s="2"/>
      <c r="C48" s="76"/>
      <c r="D48" s="81" t="s">
        <v>48</v>
      </c>
      <c r="E48" s="53"/>
      <c r="F48" s="81" t="s">
        <v>45</v>
      </c>
      <c r="G48" s="81" t="s">
        <v>93</v>
      </c>
      <c r="H48" s="76"/>
      <c r="I48" s="81" t="s">
        <v>48</v>
      </c>
      <c r="J48" s="53"/>
      <c r="K48" s="81" t="s">
        <v>47</v>
      </c>
      <c r="L48" s="28"/>
      <c r="M48" s="29"/>
      <c r="N48" s="993">
        <f>IF(AND($C48=$C$58,$E48=4),$L48,0)</f>
        <v>0</v>
      </c>
      <c r="O48" s="124">
        <f>IF(AND($C48=$C$58,$E48=4),$M48,0)</f>
        <v>0</v>
      </c>
      <c r="P48" s="994">
        <f>IF(AND($C48=$C$58,$E48&lt;=5,$H48=$C$58,$J48&gt;=5),$L48,IF(AND($C48=$C$58,$E48&lt;=5,$H48=$C$59,$J48&lt;=3),$L48,0))</f>
        <v>0</v>
      </c>
      <c r="Q48" s="122">
        <f>IF(AND($C48=$C$58,$E48&lt;=5,$H48=$C$58,$J48&gt;=5),$M48,IF(AND($C48=$C$58,$E48&lt;=5,$H48=$C$59,$J48&lt;=3),$M48,0))</f>
        <v>0</v>
      </c>
      <c r="R48" s="993">
        <f>IF(AND($C48=$C$58,$E48&lt;=6,$H48=$C$58,$J48&gt;=6),$L48,IF(AND($C48=$C$58,$E48&lt;=6,$H48=$C$59,$J48&lt;=3),$L48,0))</f>
        <v>0</v>
      </c>
      <c r="S48" s="124">
        <f>IF(AND($C48=$C$58,$E48&lt;=6,$H48=$C$58,$J48&gt;=6),$M48,IF(AND($C48=$C$58,$E48&lt;=6,$H48=$C$59,$J48&lt;=3),$M48,0))</f>
        <v>0</v>
      </c>
      <c r="T48" s="994">
        <f>IF(AND($C48=$C$58,$E48&lt;=7,$H48=$C$58,$J48&gt;=7),$L48,IF(AND($C48=$C$58,$E48&lt;=7,$H48=$C$59,$J48&lt;=3),$L48,0))</f>
        <v>0</v>
      </c>
      <c r="U48" s="122">
        <f>IF(AND($C48=$C$58,$E48&lt;=7,$H48=$C$58,$J48&gt;=7),$M48,IF(AND($C48=$C$58,$E48&lt;=7,$H48=$C$59,$J48&lt;=3),$M48,0))</f>
        <v>0</v>
      </c>
      <c r="V48" s="993">
        <f>IF(AND($C48=$C$58,$E48&lt;=8,$H48=$C$58,$J48&gt;=8),$L48,IF(AND($C48=$C$58,$E48&lt;=8,$H48=$C$59,$J48&lt;=3),$L48,0))</f>
        <v>0</v>
      </c>
      <c r="W48" s="124">
        <f>IF(AND($C48=$C$58,$E48&lt;=8,$H48=$C$58,$J48&gt;=8),$M48,IF(AND($C48=$C$58,$E48&lt;=8,$H48=$C$59,$J48&lt;=3),$M48,0))</f>
        <v>0</v>
      </c>
      <c r="X48" s="994">
        <f>IF(AND($C48=$C$58,$E48&lt;=9,$H48=$C$58,$J48&gt;=9),$L48,IF(AND($C48=$C$58,$E48&lt;=9,$H48=$C$59,$J48&lt;=3),$L48,0))</f>
        <v>0</v>
      </c>
      <c r="Y48" s="122">
        <f>IF(AND($C48=$C$58,$E48&lt;=9,$H48=$C$58,$J48&gt;=9),$M48,IF(AND($C48=$C$58,$E48&lt;=9,$H48=$C$59,$J48&lt;=3),$M48,0))</f>
        <v>0</v>
      </c>
      <c r="Z48" s="993">
        <f>IF(AND($C48=$C$58,$E48&lt;=10,$H48=$C$58,$J48&gt;=10),$L48,IF(AND($C48=$C$58,$E48&lt;=10,$H48=$C$59,$J48&lt;=3),$L48,0))</f>
        <v>0</v>
      </c>
      <c r="AA48" s="124">
        <f>IF(AND($C48=$C$58,$E48&lt;=10,$H48=$C$58,$J48&gt;=10),$M48,IF(AND($C48=$C$58,$E48&lt;=10,$H48=$C$59,$J48&lt;=3),$M48,0))</f>
        <v>0</v>
      </c>
      <c r="AB48" s="994">
        <f>IF(AND($C48=$C$58,$E48&lt;=11,$H48=$C$58,$J48&gt;=11),$L48,IF(AND($C48=$C$58,$E48&lt;=11,$H48=$C$59,$J48&lt;=3),$L48,0))</f>
        <v>0</v>
      </c>
      <c r="AC48" s="122">
        <f>IF(AND($C48=$C$58,$E48&lt;=11,$H48=$C$58,$J48&gt;=11),$M48,IF(AND($C48=$C$58,$E48&lt;=11,$H48=$C$59,$J48&lt;=3),$M48,0))</f>
        <v>0</v>
      </c>
      <c r="AD48" s="993">
        <f>IF(AND($C48=$C$58,$E48&lt;=12,$H48=$C$58,$J48=12),$L48,IF(AND($C48=$C$58,$E48&lt;=12,$H48=$C$59,$J48&lt;=3),$L48,0))</f>
        <v>0</v>
      </c>
      <c r="AE48" s="124">
        <f>IF(AND($C48=$C$58,$E48&lt;=12,$H48=$C$58,$J48&gt;=12),$M48,IF(AND($C48=$C$58,$E48&lt;=12,$H48=$C$59,$J48&lt;=3),$M48,0))</f>
        <v>0</v>
      </c>
      <c r="AF48" s="994">
        <f>IF(AND($C48=$C$58,$E48&lt;=12,$H48=$C$59,$J48&lt;=3),$L48,IF(AND($C48=$C$59,$E48&lt;=1,$H48=$C$59,$J48&lt;=3),$L48,0))</f>
        <v>0</v>
      </c>
      <c r="AG48" s="124">
        <f>IF(AND($C48=$C$58,$E48&lt;=12,$H48=$C$59,$J48&gt;=1),$M48,IF(AND($C48=$C$59,$E48&lt;=1,$H48=$C$59,$J48&lt;=3),$M48,0))</f>
        <v>0</v>
      </c>
      <c r="AH48" s="993">
        <f>IF(AND($C48=$C$58,$E48&lt;=12,$H48=$C$59,$J48&gt;=2),$L48,IF(AND($C48=$C$59,$E48&lt;=2,$H48=$C$59,$J48&gt;1),$L48,0))</f>
        <v>0</v>
      </c>
      <c r="AI48" s="124">
        <f>IF(AND($C48=$C$58,$E48&lt;=12,$H48=$C$59,$J48&gt;=2),$M48,IF(AND($C48=$C$59,$E48&lt;=2,$H48=$C$59,$J48&gt;1),$M48,0))</f>
        <v>0</v>
      </c>
      <c r="AJ48" s="994">
        <f>IF(AND($C48=$C$58,$E48&lt;=12,$H48=$C$59,$J48=3),$L48,IF(AND($C48=$C$59,$E48&lt;=3,$H48=$C$59,$J48=3),$L48,0))</f>
        <v>0</v>
      </c>
      <c r="AK48" s="125">
        <f>IF(AND($C48=$C$58,$E48&lt;=12,$H48=$C$59,$J48=3),$M48,IF(AND($C48=$C$59,$E48&lt;=3,$H48=$C$59,$J48=3),$M48,0))</f>
        <v>0</v>
      </c>
      <c r="AL48" s="7"/>
    </row>
    <row r="49" spans="1:38" ht="26.1" customHeight="1">
      <c r="A49" s="21">
        <v>2</v>
      </c>
      <c r="B49" s="2"/>
      <c r="C49" s="76"/>
      <c r="D49" s="81" t="s">
        <v>48</v>
      </c>
      <c r="E49" s="53"/>
      <c r="F49" s="81" t="s">
        <v>45</v>
      </c>
      <c r="G49" s="81" t="s">
        <v>93</v>
      </c>
      <c r="H49" s="76"/>
      <c r="I49" s="81" t="s">
        <v>48</v>
      </c>
      <c r="J49" s="53"/>
      <c r="K49" s="81" t="s">
        <v>47</v>
      </c>
      <c r="L49" s="28"/>
      <c r="M49" s="29"/>
      <c r="N49" s="993">
        <f>IF(AND($C49=$C$58,$E49=4),$L49,0)</f>
        <v>0</v>
      </c>
      <c r="O49" s="124">
        <f>IF(AND($C49=$C$58,$E49=4),$M49,0)</f>
        <v>0</v>
      </c>
      <c r="P49" s="994">
        <f>IF(AND($C49=$C$58,$E49&lt;=5,$H49=$C$58,$J49&gt;=5),$L49,IF(AND($C49=$C$58,$E49&lt;=5,$H49=$C$59,$J49&lt;=3),$L49,0))</f>
        <v>0</v>
      </c>
      <c r="Q49" s="122">
        <f>IF(AND($C49=$C$58,$E49&lt;=5,$H49=$C$58,$J49&gt;=5),$M49,IF(AND($C49=$C$58,$E49&lt;=5,$H49=$C$59,$J49&lt;=3),$M49,0))</f>
        <v>0</v>
      </c>
      <c r="R49" s="993">
        <f>IF(AND($C49=$C$58,$E49&lt;=6,$H49=$C$58,$J49&gt;=6),$L49,IF(AND($C49=$C$58,$E49&lt;=6,$H49=$C$59,$J49&lt;=3),$L49,0))</f>
        <v>0</v>
      </c>
      <c r="S49" s="124">
        <f>IF(AND($C49=$C$58,$E49&lt;=6,$H49=$C$58,$J49&gt;=6),$M49,IF(AND($C49=$C$58,$E49&lt;=6,$H49=$C$59,$J49&lt;=3),$M49,0))</f>
        <v>0</v>
      </c>
      <c r="T49" s="994">
        <f>IF(AND($C49=$C$58,$E49&lt;=7,$H49=$C$58,$J49&gt;=7),$L49,IF(AND($C49=$C$58,$E49&lt;=7,$H49=$C$59,$J49&lt;=3),$L49,0))</f>
        <v>0</v>
      </c>
      <c r="U49" s="122">
        <f>IF(AND($C49=$C$58,$E49&lt;=7,$H49=$C$58,$J49&gt;=7),$M49,IF(AND($C49=$C$58,$E49&lt;=7,$H49=$C$59,$J49&lt;=3),$M49,0))</f>
        <v>0</v>
      </c>
      <c r="V49" s="993">
        <f>IF(AND($C49=$C$58,$E49&lt;=8,$H49=$C$58,$J49&gt;=8),$L49,IF(AND($C49=$C$58,$E49&lt;=8,$H49=$C$59,$J49&lt;=3),$L49,0))</f>
        <v>0</v>
      </c>
      <c r="W49" s="124">
        <f>IF(AND($C49=$C$58,$E49&lt;=8,$H49=$C$58,$J49&gt;=8),$M49,IF(AND($C49=$C$58,$E49&lt;=8,$H49=$C$59,$J49&lt;=3),$M49,0))</f>
        <v>0</v>
      </c>
      <c r="X49" s="994">
        <f>IF(AND($C49=$C$58,$E49&lt;=9,$H49=$C$58,$J49&gt;=9),$L49,IF(AND($C49=$C$58,$E49&lt;=9,$H49=$C$59,$J49&lt;=3),$L49,0))</f>
        <v>0</v>
      </c>
      <c r="Y49" s="122">
        <f>IF(AND($C49=$C$58,$E49&lt;=9,$H49=$C$58,$J49&gt;=9),$M49,IF(AND($C49=$C$58,$E49&lt;=9,$H49=$C$59,$J49&lt;=3),$M49,0))</f>
        <v>0</v>
      </c>
      <c r="Z49" s="993">
        <f>IF(AND($C49=$C$58,$E49&lt;=10,$H49=$C$58,$J49&gt;=10),$L49,IF(AND($C49=$C$58,$E49&lt;=10,$H49=$C$59,$J49&lt;=3),$L49,0))</f>
        <v>0</v>
      </c>
      <c r="AA49" s="124">
        <f>IF(AND($C49=$C$58,$E49&lt;=10,$H49=$C$58,$J49&gt;=10),$M49,IF(AND($C49=$C$58,$E49&lt;=10,$H49=$C$59,$J49&lt;=3),$M49,0))</f>
        <v>0</v>
      </c>
      <c r="AB49" s="994">
        <f>IF(AND($C49=$C$58,$E49&lt;=11,$H49=$C$58,$J49&gt;=11),$L49,IF(AND($C49=$C$58,$E49&lt;=11,$H49=$C$59,$J49&lt;=3),$L49,0))</f>
        <v>0</v>
      </c>
      <c r="AC49" s="122">
        <f>IF(AND($C49=$C$58,$E49&lt;=11,$H49=$C$58,$J49&gt;=11),$M49,IF(AND($C49=$C$58,$E49&lt;=11,$H49=$C$59,$J49&lt;=3),$M49,0))</f>
        <v>0</v>
      </c>
      <c r="AD49" s="993">
        <f>IF(AND($C49=$C$58,$E49&lt;=12,$H49=$C$58,$J49=12),$L49,IF(AND($C49=$C$58,$E49&lt;=12,$H49=$C$59,$J49&lt;=3),$L49,0))</f>
        <v>0</v>
      </c>
      <c r="AE49" s="124">
        <f>IF(AND($C49=$C$58,$E49&lt;=12,$H49=$C$58,$J49&gt;=12),$M49,IF(AND($C49=$C$58,$E49&lt;=12,$H49=$C$59,$J49&lt;=3),$M49,0))</f>
        <v>0</v>
      </c>
      <c r="AF49" s="994">
        <f>IF(AND($C49=$C$58,$E49&lt;=12,$H49=$C$59,$J49&lt;=3),$L49,IF(AND($C49=$C$59,$E49&lt;=1,$H49=$C$59,$J49&lt;=3),$L49,0))</f>
        <v>0</v>
      </c>
      <c r="AG49" s="124">
        <f>IF(AND($C49=$C$58,$E49&lt;=12,$H49=$C$59,$J49&gt;=1),$M49,IF(AND($C49=$C$59,$E49&lt;=1,$H49=$C$59,$J49&lt;=3),$M49,0))</f>
        <v>0</v>
      </c>
      <c r="AH49" s="993">
        <f>IF(AND($C49=$C$58,$E49&lt;=12,$H49=$C$59,$J49&gt;=2),$L49,IF(AND($C49=$C$59,$E49&lt;=2,$H49=$C$59,$J49&gt;1),$L49,0))</f>
        <v>0</v>
      </c>
      <c r="AI49" s="124">
        <f>IF(AND($C49=$C$58,$E49&lt;=12,$H49=$C$59,$J49&gt;=2),$M49,IF(AND($C49=$C$59,$E49&lt;=2,$H49=$C$59,$J49&gt;1),$M49,0))</f>
        <v>0</v>
      </c>
      <c r="AJ49" s="994">
        <f>IF(AND($C49=$C$58,$E49&lt;=12,$H49=$C$59,$J49=3),$L49,IF(AND($C49=$C$59,$E49&lt;=3,$H49=$C$59,$J49=3),$L49,0))</f>
        <v>0</v>
      </c>
      <c r="AK49" s="125">
        <f>IF(AND($C49=$C$58,$E49&lt;=12,$H49=$C$59,$J49=3),$M49,IF(AND($C49=$C$59,$E49&lt;=3,$H49=$C$59,$J49=3),$M49,0))</f>
        <v>0</v>
      </c>
      <c r="AL49" s="7"/>
    </row>
    <row r="50" spans="1:38" ht="26.1" customHeight="1">
      <c r="A50" s="21">
        <v>3</v>
      </c>
      <c r="B50" s="2"/>
      <c r="C50" s="76"/>
      <c r="D50" s="81" t="s">
        <v>48</v>
      </c>
      <c r="E50" s="53"/>
      <c r="F50" s="81" t="s">
        <v>45</v>
      </c>
      <c r="G50" s="81" t="s">
        <v>93</v>
      </c>
      <c r="H50" s="76"/>
      <c r="I50" s="81" t="s">
        <v>48</v>
      </c>
      <c r="J50" s="53"/>
      <c r="K50" s="81" t="s">
        <v>47</v>
      </c>
      <c r="L50" s="28"/>
      <c r="M50" s="29"/>
      <c r="N50" s="993">
        <f>IF(AND($C50=$C$58,$E50=4),$L50,0)</f>
        <v>0</v>
      </c>
      <c r="O50" s="124">
        <f>IF(AND($C50=$C$58,$E50=4),$M50,0)</f>
        <v>0</v>
      </c>
      <c r="P50" s="994">
        <f>IF(AND($C50=$C$58,$E50&lt;=5,$H50=$C$58,$J50&gt;=5),$L50,IF(AND($C50=$C$58,$E50&lt;=5,$H50=$C$59,$J50&lt;=3),$L50,0))</f>
        <v>0</v>
      </c>
      <c r="Q50" s="122">
        <f>IF(AND($C50=$C$58,$E50&lt;=5,$H50=$C$58,$J50&gt;=5),$M50,IF(AND($C50=$C$58,$E50&lt;=5,$H50=$C$59,$J50&lt;=3),$M50,0))</f>
        <v>0</v>
      </c>
      <c r="R50" s="993">
        <f>IF(AND($C50=$C$58,$E50&lt;=6,$H50=$C$58,$J50&gt;=6),$L50,IF(AND($C50=$C$58,$E50&lt;=6,$H50=$C$59,$J50&lt;=3),$L50,0))</f>
        <v>0</v>
      </c>
      <c r="S50" s="124">
        <f>IF(AND($C50=$C$58,$E50&lt;=6,$H50=$C$58,$J50&gt;=6),$M50,IF(AND($C50=$C$58,$E50&lt;=6,$H50=$C$59,$J50&lt;=3),$M50,0))</f>
        <v>0</v>
      </c>
      <c r="T50" s="994">
        <f>IF(AND($C50=$C$58,$E50&lt;=7,$H50=$C$58,$J50&gt;=7),$L50,IF(AND($C50=$C$58,$E50&lt;=7,$H50=$C$59,$J50&lt;=3),$L50,0))</f>
        <v>0</v>
      </c>
      <c r="U50" s="122">
        <f>IF(AND($C50=$C$58,$E50&lt;=7,$H50=$C$58,$J50&gt;=7),$M50,IF(AND($C50=$C$58,$E50&lt;=7,$H50=$C$59,$J50&lt;=3),$M50,0))</f>
        <v>0</v>
      </c>
      <c r="V50" s="993">
        <f>IF(AND($C50=$C$58,$E50&lt;=8,$H50=$C$58,$J50&gt;=8),$L50,IF(AND($C50=$C$58,$E50&lt;=8,$H50=$C$59,$J50&lt;=3),$L50,0))</f>
        <v>0</v>
      </c>
      <c r="W50" s="124">
        <f>IF(AND($C50=$C$58,$E50&lt;=8,$H50=$C$58,$J50&gt;=8),$M50,IF(AND($C50=$C$58,$E50&lt;=8,$H50=$C$59,$J50&lt;=3),$M50,0))</f>
        <v>0</v>
      </c>
      <c r="X50" s="994">
        <f>IF(AND($C50=$C$58,$E50&lt;=9,$H50=$C$58,$J50&gt;=9),$L50,IF(AND($C50=$C$58,$E50&lt;=9,$H50=$C$59,$J50&lt;=3),$L50,0))</f>
        <v>0</v>
      </c>
      <c r="Y50" s="122">
        <f>IF(AND($C50=$C$58,$E50&lt;=9,$H50=$C$58,$J50&gt;=9),$M50,IF(AND($C50=$C$58,$E50&lt;=9,$H50=$C$59,$J50&lt;=3),$M50,0))</f>
        <v>0</v>
      </c>
      <c r="Z50" s="993">
        <f>IF(AND($C50=$C$58,$E50&lt;=10,$H50=$C$58,$J50&gt;=10),$L50,IF(AND($C50=$C$58,$E50&lt;=10,$H50=$C$59,$J50&lt;=3),$L50,0))</f>
        <v>0</v>
      </c>
      <c r="AA50" s="124">
        <f>IF(AND($C50=$C$58,$E50&lt;=10,$H50=$C$58,$J50&gt;=10),$M50,IF(AND($C50=$C$58,$E50&lt;=10,$H50=$C$59,$J50&lt;=3),$M50,0))</f>
        <v>0</v>
      </c>
      <c r="AB50" s="994">
        <f>IF(AND($C50=$C$58,$E50&lt;=11,$H50=$C$58,$J50&gt;=11),$L50,IF(AND($C50=$C$58,$E50&lt;=11,$H50=$C$59,$J50&lt;=3),$L50,0))</f>
        <v>0</v>
      </c>
      <c r="AC50" s="122">
        <f>IF(AND($C50=$C$58,$E50&lt;=11,$H50=$C$58,$J50&gt;=11),$M50,IF(AND($C50=$C$58,$E50&lt;=11,$H50=$C$59,$J50&lt;=3),$M50,0))</f>
        <v>0</v>
      </c>
      <c r="AD50" s="993">
        <f>IF(AND($C50=$C$58,$E50&lt;=12,$H50=$C$58,$J50=12),$L50,IF(AND($C50=$C$58,$E50&lt;=12,$H50=$C$59,$J50&lt;=3),$L50,0))</f>
        <v>0</v>
      </c>
      <c r="AE50" s="124">
        <f>IF(AND($C50=$C$58,$E50&lt;=12,$H50=$C$58,$J50&gt;=12),$M50,IF(AND($C50=$C$58,$E50&lt;=12,$H50=$C$59,$J50&lt;=3),$M50,0))</f>
        <v>0</v>
      </c>
      <c r="AF50" s="994">
        <f>IF(AND($C50=$C$58,$E50&lt;=12,$H50=$C$59,$J50&lt;=3),$L50,IF(AND($C50=$C$59,$E50&lt;=1,$H50=$C$59,$J50&lt;=3),$L50,0))</f>
        <v>0</v>
      </c>
      <c r="AG50" s="124">
        <f>IF(AND($C50=$C$58,$E50&lt;=12,$H50=$C$59,$J50&gt;=1),$M50,IF(AND($C50=$C$59,$E50&lt;=1,$H50=$C$59,$J50&lt;=3),$M50,0))</f>
        <v>0</v>
      </c>
      <c r="AH50" s="993">
        <f>IF(AND($C50=$C$58,$E50&lt;=12,$H50=$C$59,$J50&gt;=2),$L50,IF(AND($C50=$C$59,$E50&lt;=2,$H50=$C$59,$J50&gt;1),$L50,0))</f>
        <v>0</v>
      </c>
      <c r="AI50" s="124">
        <f>IF(AND($C50=$C$58,$E50&lt;=12,$H50=$C$59,$J50&gt;=2),$M50,IF(AND($C50=$C$59,$E50&lt;=2,$H50=$C$59,$J50&gt;1),$M50,0))</f>
        <v>0</v>
      </c>
      <c r="AJ50" s="994">
        <f>IF(AND($C50=$C$58,$E50&lt;=12,$H50=$C$59,$J50=3),$L50,IF(AND($C50=$C$59,$E50&lt;=3,$H50=$C$59,$J50=3),$L50,0))</f>
        <v>0</v>
      </c>
      <c r="AK50" s="125">
        <f>IF(AND($C50=$C$58,$E50&lt;=12,$H50=$C$59,$J50=3),$M50,IF(AND($C50=$C$59,$E50&lt;=3,$H50=$C$59,$J50=3),$M50,0))</f>
        <v>0</v>
      </c>
      <c r="AL50" s="7"/>
    </row>
    <row r="51" spans="1:38" ht="26.1" customHeight="1">
      <c r="A51" s="21">
        <v>4</v>
      </c>
      <c r="B51" s="2"/>
      <c r="C51" s="76"/>
      <c r="D51" s="81" t="s">
        <v>48</v>
      </c>
      <c r="E51" s="53"/>
      <c r="F51" s="81" t="s">
        <v>45</v>
      </c>
      <c r="G51" s="81" t="s">
        <v>93</v>
      </c>
      <c r="H51" s="76"/>
      <c r="I51" s="81" t="s">
        <v>48</v>
      </c>
      <c r="J51" s="53"/>
      <c r="K51" s="81" t="s">
        <v>47</v>
      </c>
      <c r="L51" s="28"/>
      <c r="M51" s="29"/>
      <c r="N51" s="993">
        <f>IF(AND($C51=$C$58,$E51=4),$L51,0)</f>
        <v>0</v>
      </c>
      <c r="O51" s="124">
        <f>IF(AND($C51=$C$58,$E51=4),$M51,0)</f>
        <v>0</v>
      </c>
      <c r="P51" s="994">
        <f>IF(AND($C51=$C$58,$E51&lt;=5,$H51=$C$58,$J51&gt;=5),$L51,IF(AND($C51=$C$58,$E51&lt;=5,$H51=$C$59,$J51&lt;=3),$L51,0))</f>
        <v>0</v>
      </c>
      <c r="Q51" s="122">
        <f>IF(AND($C51=$C$58,$E51&lt;=5,$H51=$C$58,$J51&gt;=5),$M51,IF(AND($C51=$C$58,$E51&lt;=5,$H51=$C$59,$J51&lt;=3),$M51,0))</f>
        <v>0</v>
      </c>
      <c r="R51" s="993">
        <f>IF(AND($C51=$C$58,$E51&lt;=6,$H51=$C$58,$J51&gt;=6),$L51,IF(AND($C51=$C$58,$E51&lt;=6,$H51=$C$59,$J51&lt;=3),$L51,0))</f>
        <v>0</v>
      </c>
      <c r="S51" s="124">
        <f>IF(AND($C51=$C$58,$E51&lt;=6,$H51=$C$58,$J51&gt;=6),$M51,IF(AND($C51=$C$58,$E51&lt;=6,$H51=$C$59,$J51&lt;=3),$M51,0))</f>
        <v>0</v>
      </c>
      <c r="T51" s="994">
        <f>IF(AND($C51=$C$58,$E51&lt;=7,$H51=$C$58,$J51&gt;=7),$L51,IF(AND($C51=$C$58,$E51&lt;=7,$H51=$C$59,$J51&lt;=3),$L51,0))</f>
        <v>0</v>
      </c>
      <c r="U51" s="122">
        <f>IF(AND($C51=$C$58,$E51&lt;=7,$H51=$C$58,$J51&gt;=7),$M51,IF(AND($C51=$C$58,$E51&lt;=7,$H51=$C$59,$J51&lt;=3),$M51,0))</f>
        <v>0</v>
      </c>
      <c r="V51" s="993">
        <f>IF(AND($C51=$C$58,$E51&lt;=8,$H51=$C$58,$J51&gt;=8),$L51,IF(AND($C51=$C$58,$E51&lt;=8,$H51=$C$59,$J51&lt;=3),$L51,0))</f>
        <v>0</v>
      </c>
      <c r="W51" s="124">
        <f>IF(AND($C51=$C$58,$E51&lt;=8,$H51=$C$58,$J51&gt;=8),$M51,IF(AND($C51=$C$58,$E51&lt;=8,$H51=$C$59,$J51&lt;=3),$M51,0))</f>
        <v>0</v>
      </c>
      <c r="X51" s="994">
        <f>IF(AND($C51=$C$58,$E51&lt;=9,$H51=$C$58,$J51&gt;=9),$L51,IF(AND($C51=$C$58,$E51&lt;=9,$H51=$C$59,$J51&lt;=3),$L51,0))</f>
        <v>0</v>
      </c>
      <c r="Y51" s="122">
        <f>IF(AND($C51=$C$58,$E51&lt;=9,$H51=$C$58,$J51&gt;=9),$M51,IF(AND($C51=$C$58,$E51&lt;=9,$H51=$C$59,$J51&lt;=3),$M51,0))</f>
        <v>0</v>
      </c>
      <c r="Z51" s="993">
        <f>IF(AND($C51=$C$58,$E51&lt;=10,$H51=$C$58,$J51&gt;=10),$L51,IF(AND($C51=$C$58,$E51&lt;=10,$H51=$C$59,$J51&lt;=3),$L51,0))</f>
        <v>0</v>
      </c>
      <c r="AA51" s="124">
        <f>IF(AND($C51=$C$58,$E51&lt;=10,$H51=$C$58,$J51&gt;=10),$M51,IF(AND($C51=$C$58,$E51&lt;=10,$H51=$C$59,$J51&lt;=3),$M51,0))</f>
        <v>0</v>
      </c>
      <c r="AB51" s="994">
        <f>IF(AND($C51=$C$58,$E51&lt;=11,$H51=$C$58,$J51&gt;=11),$L51,IF(AND($C51=$C$58,$E51&lt;=11,$H51=$C$59,$J51&lt;=3),$L51,0))</f>
        <v>0</v>
      </c>
      <c r="AC51" s="122">
        <f>IF(AND($C51=$C$58,$E51&lt;=11,$H51=$C$58,$J51&gt;=11),$M51,IF(AND($C51=$C$58,$E51&lt;=11,$H51=$C$59,$J51&lt;=3),$M51,0))</f>
        <v>0</v>
      </c>
      <c r="AD51" s="993">
        <f>IF(AND($C51=$C$58,$E51&lt;=12,$H51=$C$58,$J51=12),$L51,IF(AND($C51=$C$58,$E51&lt;=12,$H51=$C$59,$J51&lt;=3),$L51,0))</f>
        <v>0</v>
      </c>
      <c r="AE51" s="124">
        <f>IF(AND($C51=$C$58,$E51&lt;=12,$H51=$C$58,$J51&gt;=12),$M51,IF(AND($C51=$C$58,$E51&lt;=12,$H51=$C$59,$J51&lt;=3),$M51,0))</f>
        <v>0</v>
      </c>
      <c r="AF51" s="994">
        <f>IF(AND($C51=$C$58,$E51&lt;=12,$H51=$C$59,$J51&lt;=3),$L51,IF(AND($C51=$C$59,$E51&lt;=1,$H51=$C$59,$J51&lt;=3),$L51,0))</f>
        <v>0</v>
      </c>
      <c r="AG51" s="124">
        <f>IF(AND($C51=$C$58,$E51&lt;=12,$H51=$C$59,$J51&gt;=1),$M51,IF(AND($C51=$C$59,$E51&lt;=1,$H51=$C$59,$J51&lt;=3),$M51,0))</f>
        <v>0</v>
      </c>
      <c r="AH51" s="993">
        <f>IF(AND($C51=$C$58,$E51&lt;=12,$H51=$C$59,$J51&gt;=2),$L51,IF(AND($C51=$C$59,$E51&lt;=2,$H51=$C$59,$J51&gt;1),$L51,0))</f>
        <v>0</v>
      </c>
      <c r="AI51" s="124">
        <f>IF(AND($C51=$C$58,$E51&lt;=12,$H51=$C$59,$J51&gt;=2),$M51,IF(AND($C51=$C$59,$E51&lt;=2,$H51=$C$59,$J51&gt;1),$M51,0))</f>
        <v>0</v>
      </c>
      <c r="AJ51" s="994">
        <f>IF(AND($C51=$C$58,$E51&lt;=12,$H51=$C$59,$J51=3),$L51,IF(AND($C51=$C$59,$E51&lt;=3,$H51=$C$59,$J51=3),$L51,0))</f>
        <v>0</v>
      </c>
      <c r="AK51" s="125">
        <f>IF(AND($C51=$C$58,$E51&lt;=12,$H51=$C$59,$J51=3),$M51,IF(AND($C51=$C$59,$E51&lt;=3,$H51=$C$59,$J51=3),$M51,0))</f>
        <v>0</v>
      </c>
      <c r="AL51" s="7"/>
    </row>
    <row r="52" spans="1:38" ht="26.1" customHeight="1" thickBot="1">
      <c r="A52" s="21">
        <v>5</v>
      </c>
      <c r="B52" s="2"/>
      <c r="C52" s="76"/>
      <c r="D52" s="81" t="s">
        <v>48</v>
      </c>
      <c r="E52" s="53"/>
      <c r="F52" s="81" t="s">
        <v>45</v>
      </c>
      <c r="G52" s="81" t="s">
        <v>93</v>
      </c>
      <c r="H52" s="76"/>
      <c r="I52" s="81" t="s">
        <v>48</v>
      </c>
      <c r="J52" s="53"/>
      <c r="K52" s="81" t="s">
        <v>47</v>
      </c>
      <c r="L52" s="30"/>
      <c r="M52" s="31"/>
      <c r="N52" s="995">
        <f>IF(AND($C52=$C$58,$E52=4),$L52,0)</f>
        <v>0</v>
      </c>
      <c r="O52" s="131">
        <f>IF(AND($C52=$C$58,$E52=4),$M52,0)</f>
        <v>0</v>
      </c>
      <c r="P52" s="996">
        <f>IF(AND($C52=$C$58,$E52&lt;=5,$H52=$C$58,$J52&gt;=5),$L52,IF(AND($C52=$C$58,$E52&lt;=5,$H52=$C$59,$J52&lt;=3),$L52,0))</f>
        <v>0</v>
      </c>
      <c r="Q52" s="129">
        <f>IF(AND($C52=$C$58,$E52&lt;=5,$H52=$C$58,$J52&gt;=5),$M52,IF(AND($C52=$C$58,$E52&lt;=5,$H52=$C$59,$J52&lt;=3),$M52,0))</f>
        <v>0</v>
      </c>
      <c r="R52" s="995">
        <f>IF(AND($C52=$C$58,$E52&lt;=6,$H52=$C$58,$J52&gt;=6),$L52,IF(AND($C52=$C$58,$E52&lt;=6,$H52=$C$59,$J52&lt;=3),$L52,0))</f>
        <v>0</v>
      </c>
      <c r="S52" s="131">
        <f>IF(AND($C52=$C$58,$E52&lt;=6,$H52=$C$58,$J52&gt;=6),$M52,IF(AND($C52=$C$58,$E52&lt;=6,$H52=$C$59,$J52&lt;=3),$M52,0))</f>
        <v>0</v>
      </c>
      <c r="T52" s="996">
        <f>IF(AND($C52=$C$58,$E52&lt;=7,$H52=$C$58,$J52&gt;=7),$L52,IF(AND($C52=$C$58,$E52&lt;=7,$H52=$C$59,$J52&lt;=3),$L52,0))</f>
        <v>0</v>
      </c>
      <c r="U52" s="129">
        <f>IF(AND($C52=$C$58,$E52&lt;=7,$H52=$C$58,$J52&gt;=7),$M52,IF(AND($C52=$C$58,$E52&lt;=7,$H52=$C$59,$J52&lt;=3),$M52,0))</f>
        <v>0</v>
      </c>
      <c r="V52" s="995">
        <f>IF(AND($C52=$C$58,$E52&lt;=8,$H52=$C$58,$J52&gt;=8),$L52,IF(AND($C52=$C$58,$E52&lt;=8,$H52=$C$59,$J52&lt;=3),$L52,0))</f>
        <v>0</v>
      </c>
      <c r="W52" s="131">
        <f>IF(AND($C52=$C$58,$E52&lt;=8,$H52=$C$58,$J52&gt;=8),$M52,IF(AND($C52=$C$58,$E52&lt;=8,$H52=$C$59,$J52&lt;=3),$M52,0))</f>
        <v>0</v>
      </c>
      <c r="X52" s="996">
        <f>IF(AND($C52=$C$58,$E52&lt;=9,$H52=$C$58,$J52&gt;=9),$L52,IF(AND($C52=$C$58,$E52&lt;=9,$H52=$C$59,$J52&lt;=3),$L52,0))</f>
        <v>0</v>
      </c>
      <c r="Y52" s="129">
        <f>IF(AND($C52=$C$58,$E52&lt;=9,$H52=$C$58,$J52&gt;=9),$M52,IF(AND($C52=$C$58,$E52&lt;=9,$H52=$C$59,$J52&lt;=3),$M52,0))</f>
        <v>0</v>
      </c>
      <c r="Z52" s="995">
        <f>IF(AND($C52=$C$58,$E52&lt;=10,$H52=$C$58,$J52&gt;=10),$L52,IF(AND($C52=$C$58,$E52&lt;=10,$H52=$C$59,$J52&lt;=3),$L52,0))</f>
        <v>0</v>
      </c>
      <c r="AA52" s="131">
        <f>IF(AND($C52=$C$58,$E52&lt;=10,$H52=$C$58,$J52&gt;=10),$M52,IF(AND($C52=$C$58,$E52&lt;=10,$H52=$C$59,$J52&lt;=3),$M52,0))</f>
        <v>0</v>
      </c>
      <c r="AB52" s="996">
        <f>IF(AND($C52=$C$58,$E52&lt;=11,$H52=$C$58,$J52&gt;=11),$L52,IF(AND($C52=$C$58,$E52&lt;=11,$H52=$C$59,$J52&lt;=3),$L52,0))</f>
        <v>0</v>
      </c>
      <c r="AC52" s="129">
        <f>IF(AND($C52=$C$58,$E52&lt;=11,$H52=$C$58,$J52&gt;=11),$M52,IF(AND($C52=$C$58,$E52&lt;=11,$H52=$C$59,$J52&lt;=3),$M52,0))</f>
        <v>0</v>
      </c>
      <c r="AD52" s="995">
        <f>IF(AND($C52=$C$58,$E52&lt;=12,$H52=$C$58,$J52=12),$L52,IF(AND($C52=$C$58,$E52&lt;=12,$H52=$C$59,$J52&lt;=3),$L52,0))</f>
        <v>0</v>
      </c>
      <c r="AE52" s="131">
        <f>IF(AND($C52=$C$58,$E52&lt;=12,$H52=$C$58,$J52&gt;=12),$M52,IF(AND($C52=$C$58,$E52&lt;=12,$H52=$C$59,$J52&lt;=3),$M52,0))</f>
        <v>0</v>
      </c>
      <c r="AF52" s="997">
        <f>IF(AND($C52=$C$58,$E52&lt;=12,$H52=$C$59,$J52&lt;=3),$L52,IF(AND($C52=$C$59,$E52&lt;=1,$H52=$C$59,$J52&lt;=3),$L52,0))</f>
        <v>0</v>
      </c>
      <c r="AG52" s="998">
        <f>IF(AND($C52=$C$58,$E52&lt;=12,$H52=$C$59,$J52&gt;=1),$M52,IF(AND($C52=$C$59,$E52&lt;=1,$H52=$C$59,$J52&lt;=3),$M52,0))</f>
        <v>0</v>
      </c>
      <c r="AH52" s="995">
        <f>IF(AND($C52=$C$58,$E52&lt;=12,$H52=$C$59,$J52&gt;=2),$L52,IF(AND($C52=$C$59,$E52&lt;=2,$H52=$C$59,$J52&gt;1),$L52,0))</f>
        <v>0</v>
      </c>
      <c r="AI52" s="131">
        <f>IF(AND($C52=$C$58,$E52&lt;=12,$H52=$C$59,$J52&gt;=2),$M52,IF(AND($C52=$C$59,$E52&lt;=2,$H52=$C$59,$J52&gt;1),$M52,0))</f>
        <v>0</v>
      </c>
      <c r="AJ52" s="996">
        <f>IF(AND($C52=$C$58,$E52&lt;=12,$H52=$C$59,$J52=3),$L52,IF(AND($C52=$C$59,$E52&lt;=3,$H52=$C$59,$J52=3),$L52,0))</f>
        <v>0</v>
      </c>
      <c r="AK52" s="132">
        <f>IF(AND($C52=$C$58,$E52&lt;=12,$H52=$C$59,$J52=3),$M52,IF(AND($C52=$C$59,$E52&lt;=3,$H52=$C$59,$J52=3),$M52,0))</f>
        <v>0</v>
      </c>
      <c r="AL52" s="7"/>
    </row>
    <row r="53" spans="1:38" ht="26.1" customHeight="1">
      <c r="A53" s="929" t="s">
        <v>14</v>
      </c>
      <c r="B53" s="930"/>
      <c r="C53" s="930"/>
      <c r="D53" s="930"/>
      <c r="E53" s="930"/>
      <c r="F53" s="930"/>
      <c r="G53" s="930"/>
      <c r="H53" s="930"/>
      <c r="I53" s="930"/>
      <c r="J53" s="930"/>
      <c r="K53" s="931"/>
      <c r="L53" s="922">
        <f>(SUM(L48:L52)*60+SUM(M48:M52))/60</f>
        <v>0</v>
      </c>
      <c r="M53" s="923"/>
      <c r="N53" s="922">
        <f>(SUM(N48:N52)*60+SUM(O48:O52))/60</f>
        <v>0</v>
      </c>
      <c r="O53" s="923"/>
      <c r="P53" s="922">
        <f>(SUM(P48:P52)*60+SUM(Q48:Q52))/60</f>
        <v>0</v>
      </c>
      <c r="Q53" s="923"/>
      <c r="R53" s="922">
        <f>(SUM(R48:R52)*60+SUM(S48:S52))/60</f>
        <v>0</v>
      </c>
      <c r="S53" s="923"/>
      <c r="T53" s="922">
        <f>(SUM(T48:T52)*60+SUM(U48:U52))/60</f>
        <v>0</v>
      </c>
      <c r="U53" s="923"/>
      <c r="V53" s="922">
        <f>(SUM(V48:V52)*60+SUM(W48:W52))/60</f>
        <v>0</v>
      </c>
      <c r="W53" s="923"/>
      <c r="X53" s="922">
        <f>(SUM(X48:X52)*60+SUM(Y48:Y52))/60</f>
        <v>0</v>
      </c>
      <c r="Y53" s="923"/>
      <c r="Z53" s="922">
        <f>(SUM(Z48:Z52)*60+SUM(AA48:AA52))/60</f>
        <v>0</v>
      </c>
      <c r="AA53" s="923"/>
      <c r="AB53" s="922">
        <f>(SUM(AB48:AB52)*60+SUM(AC48:AC52))/60</f>
        <v>0</v>
      </c>
      <c r="AC53" s="923"/>
      <c r="AD53" s="922">
        <f>(SUM(AD48:AD52)*60+SUM(AE48:AE52))/60</f>
        <v>0</v>
      </c>
      <c r="AE53" s="923"/>
      <c r="AF53" s="928">
        <f>(SUM(AF48:AF52)*60+SUM(AG48:AG52))/60</f>
        <v>0</v>
      </c>
      <c r="AG53" s="928"/>
      <c r="AH53" s="924">
        <f>(SUM(AH48:AH52)*60+SUM(AI48:AI52))/60</f>
        <v>0</v>
      </c>
      <c r="AI53" s="923"/>
      <c r="AJ53" s="922">
        <f>(SUM(AJ48:AJ52)*60+SUM(AK48:AK52))/60</f>
        <v>0</v>
      </c>
      <c r="AK53" s="923"/>
      <c r="AL53" s="7"/>
    </row>
    <row r="54" spans="1:38" ht="26.1" customHeight="1">
      <c r="A54" s="918" t="s">
        <v>252</v>
      </c>
      <c r="B54" s="919"/>
      <c r="C54" s="919"/>
      <c r="D54" s="919"/>
      <c r="E54" s="919"/>
      <c r="F54" s="919"/>
      <c r="G54" s="919"/>
      <c r="H54" s="919"/>
      <c r="I54" s="919"/>
      <c r="J54" s="919"/>
      <c r="K54" s="920"/>
      <c r="L54" s="916">
        <f>IFERROR(L53/$L$5,0)</f>
        <v>0</v>
      </c>
      <c r="M54" s="917"/>
      <c r="N54" s="916">
        <f t="shared" ref="N54" si="36">IFERROR(N53/$L$5,0)</f>
        <v>0</v>
      </c>
      <c r="O54" s="917"/>
      <c r="P54" s="916">
        <f t="shared" ref="P54" si="37">IFERROR(P53/$L$5,0)</f>
        <v>0</v>
      </c>
      <c r="Q54" s="917"/>
      <c r="R54" s="916">
        <f t="shared" ref="R54" si="38">IFERROR(R53/$L$5,0)</f>
        <v>0</v>
      </c>
      <c r="S54" s="917"/>
      <c r="T54" s="916">
        <f t="shared" ref="T54" si="39">IFERROR(T53/$L$5,0)</f>
        <v>0</v>
      </c>
      <c r="U54" s="917"/>
      <c r="V54" s="916">
        <f t="shared" ref="V54" si="40">IFERROR(V53/$L$5,0)</f>
        <v>0</v>
      </c>
      <c r="W54" s="917"/>
      <c r="X54" s="916">
        <f t="shared" ref="X54" si="41">IFERROR(X53/$L$5,0)</f>
        <v>0</v>
      </c>
      <c r="Y54" s="917"/>
      <c r="Z54" s="916">
        <f t="shared" ref="Z54" si="42">IFERROR(Z53/$L$5,0)</f>
        <v>0</v>
      </c>
      <c r="AA54" s="917"/>
      <c r="AB54" s="916">
        <f t="shared" ref="AB54" si="43">IFERROR(AB53/$L$5,0)</f>
        <v>0</v>
      </c>
      <c r="AC54" s="917"/>
      <c r="AD54" s="916">
        <f t="shared" ref="AD54" si="44">IFERROR(AD53/$L$5,0)</f>
        <v>0</v>
      </c>
      <c r="AE54" s="917"/>
      <c r="AF54" s="916">
        <f t="shared" ref="AF54" si="45">IFERROR(AF53/$L$5,0)</f>
        <v>0</v>
      </c>
      <c r="AG54" s="917"/>
      <c r="AH54" s="916">
        <f t="shared" ref="AH54" si="46">IFERROR(AH53/$L$5,0)</f>
        <v>0</v>
      </c>
      <c r="AI54" s="917"/>
      <c r="AJ54" s="916">
        <f t="shared" ref="AJ54" si="47">IFERROR(AJ53/$L$5,0)</f>
        <v>0</v>
      </c>
      <c r="AK54" s="917"/>
      <c r="AL54" s="7"/>
    </row>
    <row r="55" spans="1:38">
      <c r="AL55" s="7"/>
    </row>
    <row r="56" spans="1:38">
      <c r="AL56" s="7"/>
    </row>
    <row r="57" spans="1:38">
      <c r="AL57" s="7"/>
    </row>
    <row r="58" spans="1:38">
      <c r="C58" s="1">
        <v>2026</v>
      </c>
    </row>
    <row r="59" spans="1:38">
      <c r="C59" s="1">
        <v>2027</v>
      </c>
    </row>
    <row r="61" spans="1:38">
      <c r="D61" s="1">
        <v>4</v>
      </c>
    </row>
    <row r="62" spans="1:38">
      <c r="D62" s="1">
        <v>5</v>
      </c>
    </row>
    <row r="63" spans="1:38">
      <c r="D63" s="1">
        <v>6</v>
      </c>
    </row>
    <row r="64" spans="1:38">
      <c r="D64" s="1">
        <v>7</v>
      </c>
    </row>
    <row r="65" spans="4:4">
      <c r="D65" s="1">
        <v>8</v>
      </c>
    </row>
    <row r="66" spans="4:4">
      <c r="D66" s="1">
        <v>9</v>
      </c>
    </row>
    <row r="67" spans="4:4">
      <c r="D67" s="1">
        <v>10</v>
      </c>
    </row>
    <row r="68" spans="4:4">
      <c r="D68" s="1">
        <v>11</v>
      </c>
    </row>
    <row r="69" spans="4:4">
      <c r="D69" s="1">
        <v>12</v>
      </c>
    </row>
    <row r="70" spans="4:4">
      <c r="D70" s="1">
        <v>1</v>
      </c>
    </row>
    <row r="71" spans="4:4">
      <c r="D71" s="1">
        <v>2</v>
      </c>
    </row>
    <row r="72" spans="4:4">
      <c r="D72" s="1">
        <v>3</v>
      </c>
    </row>
  </sheetData>
  <sheetProtection algorithmName="SHA-512" hashValue="euLdNDJuefU+vt+6tkBsy5oQ/ugdfYmrBphV+MKw8t02eH1RLq+9Wm/mdDoaQuIAt7L8Ilv4Nh3xAmY2QL8nZA==" saltValue="v2INnC3Oe64Xjo19DjmCUQ==" spinCount="100000" sheet="1" objects="1" scenarios="1"/>
  <mergeCells count="97">
    <mergeCell ref="AD7:AE7"/>
    <mergeCell ref="A2:B2"/>
    <mergeCell ref="C2:M2"/>
    <mergeCell ref="T2:W2"/>
    <mergeCell ref="N3:Q3"/>
    <mergeCell ref="T3:W3"/>
    <mergeCell ref="A5:K5"/>
    <mergeCell ref="L5:M5"/>
    <mergeCell ref="AH7:AI7"/>
    <mergeCell ref="A6:A8"/>
    <mergeCell ref="B6:B8"/>
    <mergeCell ref="C6:K8"/>
    <mergeCell ref="L6:M7"/>
    <mergeCell ref="N6:AK6"/>
    <mergeCell ref="AJ7:AK7"/>
    <mergeCell ref="R7:S7"/>
    <mergeCell ref="T7:U7"/>
    <mergeCell ref="V7:W7"/>
    <mergeCell ref="X7:Y7"/>
    <mergeCell ref="N7:O7"/>
    <mergeCell ref="P7:Q7"/>
    <mergeCell ref="AF7:AG7"/>
    <mergeCell ref="Z7:AA7"/>
    <mergeCell ref="AB7:AC7"/>
    <mergeCell ref="AJ39:AK39"/>
    <mergeCell ref="V39:W39"/>
    <mergeCell ref="X39:Y39"/>
    <mergeCell ref="Z39:AA39"/>
    <mergeCell ref="AH39:AI39"/>
    <mergeCell ref="A39:K39"/>
    <mergeCell ref="L39:M39"/>
    <mergeCell ref="N39:O39"/>
    <mergeCell ref="P39:Q39"/>
    <mergeCell ref="R39:S39"/>
    <mergeCell ref="T39:U39"/>
    <mergeCell ref="AF39:AG39"/>
    <mergeCell ref="AB39:AC39"/>
    <mergeCell ref="AD39:AE39"/>
    <mergeCell ref="AF40:AG40"/>
    <mergeCell ref="V40:W40"/>
    <mergeCell ref="X40:Y40"/>
    <mergeCell ref="Z40:AA40"/>
    <mergeCell ref="AB40:AC40"/>
    <mergeCell ref="T40:U40"/>
    <mergeCell ref="AJ40:AK40"/>
    <mergeCell ref="A45:A47"/>
    <mergeCell ref="B45:B47"/>
    <mergeCell ref="C45:K47"/>
    <mergeCell ref="L45:M46"/>
    <mergeCell ref="N45:AK45"/>
    <mergeCell ref="N46:O46"/>
    <mergeCell ref="P46:Q46"/>
    <mergeCell ref="R46:S46"/>
    <mergeCell ref="T46:U46"/>
    <mergeCell ref="AD40:AE40"/>
    <mergeCell ref="AH40:AI40"/>
    <mergeCell ref="A40:K40"/>
    <mergeCell ref="L40:M40"/>
    <mergeCell ref="N40:O40"/>
    <mergeCell ref="P40:Q40"/>
    <mergeCell ref="R40:S40"/>
    <mergeCell ref="A53:K53"/>
    <mergeCell ref="L53:M53"/>
    <mergeCell ref="N53:O53"/>
    <mergeCell ref="P53:Q53"/>
    <mergeCell ref="R53:S53"/>
    <mergeCell ref="T53:U53"/>
    <mergeCell ref="V53:W53"/>
    <mergeCell ref="X53:Y53"/>
    <mergeCell ref="V46:W46"/>
    <mergeCell ref="X46:Y46"/>
    <mergeCell ref="AH53:AI53"/>
    <mergeCell ref="AJ53:AK53"/>
    <mergeCell ref="AH46:AI46"/>
    <mergeCell ref="AJ46:AK46"/>
    <mergeCell ref="AD46:AE46"/>
    <mergeCell ref="AF46:AG46"/>
    <mergeCell ref="AF53:AG53"/>
    <mergeCell ref="AD53:AE53"/>
    <mergeCell ref="Z46:AA46"/>
    <mergeCell ref="AB46:AC46"/>
    <mergeCell ref="Z53:AA53"/>
    <mergeCell ref="AB53:AC53"/>
    <mergeCell ref="AD54:AE54"/>
    <mergeCell ref="AH54:AI54"/>
    <mergeCell ref="AJ54:AK54"/>
    <mergeCell ref="AF54:AG54"/>
    <mergeCell ref="A54:K54"/>
    <mergeCell ref="L54:M54"/>
    <mergeCell ref="V54:W54"/>
    <mergeCell ref="X54:Y54"/>
    <mergeCell ref="Z54:AA54"/>
    <mergeCell ref="AB54:AC54"/>
    <mergeCell ref="N54:O54"/>
    <mergeCell ref="P54:Q54"/>
    <mergeCell ref="R54:S54"/>
    <mergeCell ref="T54:U54"/>
  </mergeCells>
  <phoneticPr fontId="3"/>
  <conditionalFormatting sqref="L5:M5">
    <cfRule type="notContainsBlanks" dxfId="0" priority="1">
      <formula>LEN(TRIM(L5))&gt;0</formula>
    </cfRule>
  </conditionalFormatting>
  <dataValidations count="4">
    <dataValidation type="list" allowBlank="1" showInputMessage="1" showErrorMessage="1" sqref="C48:C52 H9:H38 C9:C38 H48:H52" xr:uid="{00000000-0002-0000-0400-000000000000}">
      <formula1>$C$58:$C$59</formula1>
    </dataValidation>
    <dataValidation type="list" allowBlank="1" showInputMessage="1" showErrorMessage="1" sqref="E48:E52 J9:J38 E9:E38 J48:J52" xr:uid="{00000000-0002-0000-0400-000001000000}">
      <formula1>$D$61:$D$72</formula1>
    </dataValidation>
    <dataValidation type="list" allowBlank="1" showInputMessage="1" showErrorMessage="1" sqref="E44 J44" xr:uid="{00000000-0002-0000-0400-000003000000}">
      <formula1>$D$55:$D$68</formula1>
    </dataValidation>
    <dataValidation type="list" allowBlank="1" showInputMessage="1" showErrorMessage="1" sqref="C44 H44" xr:uid="{00000000-0002-0000-0400-000002000000}">
      <formula1>$C$53:$C$53</formula1>
    </dataValidation>
  </dataValidations>
  <pageMargins left="0.62992125984251968" right="0.31496062992125984" top="0.82677165354330717" bottom="0.43307086614173229" header="0.51181102362204722" footer="0.27559055118110237"/>
  <pageSetup paperSize="9" scale="40" pageOrder="overThenDown" orientation="landscape" r:id="rId1"/>
  <headerFooter alignWithMargins="0">
    <oddHeader>&amp;L&amp;"ＭＳ Ｐゴシック,太字"&amp;22 令和６年度　保育施設職員配置状況確認書（様式３（非常勤保育士等））</oddHead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04A04-AF71-4BE8-BC41-5F4A2F2EEB08}">
  <sheetPr codeName="Sheet9"/>
  <dimension ref="A1:AB121"/>
  <sheetViews>
    <sheetView view="pageBreakPreview" zoomScale="90" zoomScaleNormal="100" zoomScaleSheetLayoutView="90" workbookViewId="0">
      <selection activeCell="AB4" sqref="AB4"/>
    </sheetView>
  </sheetViews>
  <sheetFormatPr defaultRowHeight="18.75"/>
  <cols>
    <col min="1" max="1" width="19.25" style="358" bestFit="1" customWidth="1"/>
    <col min="2" max="3" width="7.125" style="358" customWidth="1"/>
    <col min="4" max="4" width="15.125" style="358" customWidth="1"/>
    <col min="5" max="6" width="7.125" style="358" customWidth="1"/>
    <col min="7" max="7" width="15.125" style="358" customWidth="1"/>
    <col min="8" max="8" width="11.375" style="358" customWidth="1"/>
    <col min="9" max="9" width="7.125" style="384" bestFit="1" customWidth="1"/>
    <col min="10" max="13" width="7.875" style="384" customWidth="1"/>
    <col min="14" max="14" width="1.5" style="384" customWidth="1"/>
    <col min="15" max="17" width="7.5" style="384" customWidth="1"/>
    <col min="18" max="18" width="1.5" style="384" customWidth="1"/>
    <col min="19" max="21" width="7.5" style="384" customWidth="1"/>
    <col min="22" max="22" width="1.5" style="384" customWidth="1"/>
    <col min="23" max="28" width="7.5" style="384" customWidth="1"/>
    <col min="29" max="16384" width="9" style="358"/>
  </cols>
  <sheetData>
    <row r="1" spans="1:28" ht="47.25" customHeight="1" thickBot="1">
      <c r="A1" s="358" t="s">
        <v>302</v>
      </c>
      <c r="I1" s="383" t="str">
        <f>加算等適用状況!A12</f>
        <v>対象月</v>
      </c>
      <c r="J1" s="387" t="str">
        <f>加算等適用状況!G12</f>
        <v>4歳以上児配置改善加算</v>
      </c>
      <c r="K1" s="387" t="str">
        <f>加算等適用状況!H12</f>
        <v>3歳児配置改善加算</v>
      </c>
      <c r="L1" s="387" t="str">
        <f>加算等適用状況!I12</f>
        <v>1歳児配置改善加算</v>
      </c>
      <c r="M1" s="387" t="str">
        <f>加算等適用状況!J12</f>
        <v>満3歳児対応加配加算</v>
      </c>
      <c r="N1" s="385"/>
      <c r="O1" s="388" t="s">
        <v>316</v>
      </c>
      <c r="P1" s="389"/>
      <c r="Q1" s="390"/>
      <c r="R1" s="385"/>
      <c r="S1" s="388" t="s">
        <v>317</v>
      </c>
      <c r="T1" s="389"/>
      <c r="U1" s="390"/>
      <c r="V1" s="385"/>
      <c r="W1" s="388" t="s">
        <v>386</v>
      </c>
      <c r="X1" s="389"/>
      <c r="Y1" s="390"/>
      <c r="Z1" s="388" t="s">
        <v>387</v>
      </c>
      <c r="AA1" s="389"/>
      <c r="AB1" s="390"/>
    </row>
    <row r="2" spans="1:28">
      <c r="A2" s="955" t="str">
        <f>I2</f>
        <v>4月</v>
      </c>
      <c r="B2" s="958" t="s">
        <v>303</v>
      </c>
      <c r="C2" s="958"/>
      <c r="D2" s="958"/>
      <c r="E2" s="958" t="s">
        <v>304</v>
      </c>
      <c r="F2" s="958"/>
      <c r="G2" s="958"/>
      <c r="H2" s="959" t="s">
        <v>305</v>
      </c>
      <c r="I2" s="379" t="str">
        <f>加算等適用状況!A14</f>
        <v>4月</v>
      </c>
      <c r="J2" s="379">
        <f>加算等適用状況!G14</f>
        <v>0</v>
      </c>
      <c r="K2" s="379">
        <f>加算等適用状況!H14</f>
        <v>0</v>
      </c>
      <c r="L2" s="379">
        <f>加算等適用状況!I14</f>
        <v>0</v>
      </c>
      <c r="M2" s="379">
        <f>加算等適用状況!J14</f>
        <v>0</v>
      </c>
      <c r="N2" s="386"/>
      <c r="O2" s="379" t="s">
        <v>296</v>
      </c>
      <c r="P2" s="379" t="s">
        <v>297</v>
      </c>
      <c r="Q2" s="379" t="s">
        <v>138</v>
      </c>
      <c r="R2" s="386"/>
      <c r="S2" s="379" t="s">
        <v>318</v>
      </c>
      <c r="T2" s="379" t="s">
        <v>319</v>
      </c>
      <c r="U2" s="379" t="s">
        <v>138</v>
      </c>
      <c r="V2" s="386"/>
      <c r="W2" s="379" t="s">
        <v>296</v>
      </c>
      <c r="X2" s="379" t="s">
        <v>297</v>
      </c>
      <c r="Y2" s="379" t="s">
        <v>138</v>
      </c>
      <c r="Z2" s="379" t="s">
        <v>296</v>
      </c>
      <c r="AA2" s="379" t="s">
        <v>297</v>
      </c>
      <c r="AB2" s="379" t="s">
        <v>138</v>
      </c>
    </row>
    <row r="3" spans="1:28">
      <c r="A3" s="956"/>
      <c r="B3" s="961" t="s">
        <v>313</v>
      </c>
      <c r="C3" s="962"/>
      <c r="D3" s="359" t="s">
        <v>314</v>
      </c>
      <c r="E3" s="961" t="s">
        <v>313</v>
      </c>
      <c r="F3" s="962"/>
      <c r="G3" s="359" t="s">
        <v>314</v>
      </c>
      <c r="H3" s="960"/>
      <c r="I3" s="380"/>
      <c r="J3" s="380"/>
      <c r="K3" s="380"/>
      <c r="L3" s="380"/>
      <c r="M3" s="380"/>
      <c r="N3" s="386"/>
      <c r="O3" s="380"/>
      <c r="P3" s="380"/>
      <c r="Q3" s="380"/>
      <c r="R3" s="386"/>
      <c r="S3" s="380"/>
      <c r="T3" s="380"/>
      <c r="U3" s="380"/>
      <c r="V3" s="386"/>
      <c r="W3" s="380"/>
      <c r="X3" s="380"/>
      <c r="Y3" s="380"/>
      <c r="Z3" s="380"/>
      <c r="AA3" s="380"/>
      <c r="AB3" s="380"/>
    </row>
    <row r="4" spans="1:28" ht="19.5">
      <c r="A4" s="957"/>
      <c r="B4" s="363" t="s">
        <v>70</v>
      </c>
      <c r="C4" s="364" t="s">
        <v>315</v>
      </c>
      <c r="D4" s="393">
        <f>ROUND(SUM(D5:D11),0)</f>
        <v>0</v>
      </c>
      <c r="E4" s="363" t="s">
        <v>70</v>
      </c>
      <c r="F4" s="364" t="s">
        <v>315</v>
      </c>
      <c r="G4" s="393">
        <f>ROUND(SUM(G5:G11),0)</f>
        <v>0</v>
      </c>
      <c r="H4" s="392">
        <f>SUM(D4,G4)</f>
        <v>0</v>
      </c>
      <c r="I4" s="380"/>
      <c r="J4" s="380"/>
      <c r="K4" s="380"/>
      <c r="L4" s="380"/>
      <c r="M4" s="380"/>
      <c r="N4" s="386"/>
      <c r="O4" s="382">
        <f>ROUND(SUM(O5:O11),0)</f>
        <v>0</v>
      </c>
      <c r="P4" s="382">
        <f>ROUND(SUM(P5:P11),0)</f>
        <v>0</v>
      </c>
      <c r="Q4" s="391">
        <f>SUM(O4,P4)</f>
        <v>0</v>
      </c>
      <c r="R4" s="386"/>
      <c r="S4" s="382">
        <f>ROUND(SUM(S5:S11),0)</f>
        <v>0</v>
      </c>
      <c r="T4" s="382">
        <f>ROUND(SUM(T5:T11),0)</f>
        <v>0</v>
      </c>
      <c r="U4" s="391">
        <f>SUM(S4,T4)</f>
        <v>0</v>
      </c>
      <c r="V4" s="386"/>
      <c r="W4" s="382">
        <f>ROUND(SUM(W5:W11),0)</f>
        <v>0</v>
      </c>
      <c r="X4" s="382">
        <f>ROUND(SUM(X5:X11),0)</f>
        <v>0</v>
      </c>
      <c r="Y4" s="391">
        <f>SUM(W4,X4)</f>
        <v>0</v>
      </c>
      <c r="Z4" s="382">
        <f>ROUND(SUM(Z5:Z11),0)</f>
        <v>0</v>
      </c>
      <c r="AA4" s="382">
        <f>ROUND(SUM(AA5:AA11),0)</f>
        <v>0</v>
      </c>
      <c r="AB4" s="391">
        <f>SUM(Z4,AA4)</f>
        <v>0</v>
      </c>
    </row>
    <row r="5" spans="1:28">
      <c r="A5" s="360" t="s">
        <v>306</v>
      </c>
      <c r="B5" s="370"/>
      <c r="C5" s="372">
        <f>様式１!E9</f>
        <v>0</v>
      </c>
      <c r="D5" s="373">
        <f>ROUNDDOWN(C5/3,1)</f>
        <v>0</v>
      </c>
      <c r="E5" s="370"/>
      <c r="F5" s="372">
        <f>様式１!M9</f>
        <v>0</v>
      </c>
      <c r="G5" s="373">
        <f>ROUNDDOWN(F5/3,1)</f>
        <v>0</v>
      </c>
      <c r="H5" s="376"/>
      <c r="I5" s="380"/>
      <c r="J5" s="380"/>
      <c r="K5" s="380"/>
      <c r="L5" s="380"/>
      <c r="M5" s="380"/>
      <c r="N5" s="386"/>
      <c r="O5" s="381"/>
      <c r="P5" s="381"/>
      <c r="Q5" s="381"/>
      <c r="R5" s="386"/>
      <c r="S5" s="382">
        <f>D5</f>
        <v>0</v>
      </c>
      <c r="T5" s="382">
        <f>G5</f>
        <v>0</v>
      </c>
      <c r="U5" s="381"/>
      <c r="V5" s="386"/>
      <c r="W5" s="382">
        <f>D5</f>
        <v>0</v>
      </c>
      <c r="X5" s="382">
        <f>G5</f>
        <v>0</v>
      </c>
      <c r="Y5" s="381"/>
      <c r="Z5" s="382">
        <f>D5</f>
        <v>0</v>
      </c>
      <c r="AA5" s="382">
        <f>G5</f>
        <v>0</v>
      </c>
      <c r="AB5" s="381"/>
    </row>
    <row r="6" spans="1:28">
      <c r="A6" s="361" t="s">
        <v>307</v>
      </c>
      <c r="B6" s="371"/>
      <c r="C6" s="367">
        <f>様式１!F9</f>
        <v>0</v>
      </c>
      <c r="D6" s="374">
        <f>ROUNDDOWN(C6/5,1)</f>
        <v>0</v>
      </c>
      <c r="E6" s="371"/>
      <c r="F6" s="367">
        <f>様式１!N9</f>
        <v>0</v>
      </c>
      <c r="G6" s="374">
        <f>ROUNDDOWN(F6/5,1)</f>
        <v>0</v>
      </c>
      <c r="H6" s="377"/>
      <c r="I6" s="380"/>
      <c r="J6" s="380"/>
      <c r="K6" s="380"/>
      <c r="L6" s="380"/>
      <c r="M6" s="380"/>
      <c r="N6" s="386"/>
      <c r="O6" s="381"/>
      <c r="P6" s="381"/>
      <c r="Q6" s="381"/>
      <c r="R6" s="386"/>
      <c r="S6" s="382">
        <f>D6</f>
        <v>0</v>
      </c>
      <c r="T6" s="382">
        <f>G6</f>
        <v>0</v>
      </c>
      <c r="U6" s="381"/>
      <c r="V6" s="386"/>
      <c r="W6" s="963">
        <f>IF(L2="○",ROUNDDOWN(C6/5,1)+ROUNDDOWN(C7/6,1),ROUNDDOWN(SUM(C6:C7)/6,1))</f>
        <v>0</v>
      </c>
      <c r="X6" s="963">
        <f>IF(L2="○",ROUNDDOWN(F6/5,1)+ROUNDDOWN(F7/6,1),ROUNDDOWN(SUM(F6:F7)/6,1))</f>
        <v>0</v>
      </c>
      <c r="Y6" s="381"/>
      <c r="Z6" s="963">
        <f>ROUNDDOWN(SUM(C6:C7)/6,1)</f>
        <v>0</v>
      </c>
      <c r="AA6" s="963">
        <f>ROUNDDOWN(SUM(F6:F7)/6,1)</f>
        <v>0</v>
      </c>
      <c r="AB6" s="381"/>
    </row>
    <row r="7" spans="1:28">
      <c r="A7" s="361" t="s">
        <v>308</v>
      </c>
      <c r="B7" s="371"/>
      <c r="C7" s="367">
        <f>様式１!G9</f>
        <v>0</v>
      </c>
      <c r="D7" s="374">
        <f>ROUNDDOWN(C7/6,1)</f>
        <v>0</v>
      </c>
      <c r="E7" s="371"/>
      <c r="F7" s="367">
        <f>様式１!O9</f>
        <v>0</v>
      </c>
      <c r="G7" s="374">
        <f>ROUNDDOWN(F7/6,1)</f>
        <v>0</v>
      </c>
      <c r="H7" s="377"/>
      <c r="I7" s="380"/>
      <c r="J7" s="380"/>
      <c r="K7" s="380"/>
      <c r="L7" s="380"/>
      <c r="M7" s="380"/>
      <c r="N7" s="386"/>
      <c r="O7" s="381"/>
      <c r="P7" s="381"/>
      <c r="Q7" s="381"/>
      <c r="R7" s="386"/>
      <c r="S7" s="382">
        <f>D7</f>
        <v>0</v>
      </c>
      <c r="T7" s="382">
        <f>G7</f>
        <v>0</v>
      </c>
      <c r="U7" s="381"/>
      <c r="V7" s="386"/>
      <c r="W7" s="964"/>
      <c r="X7" s="964"/>
      <c r="Y7" s="381"/>
      <c r="Z7" s="964"/>
      <c r="AA7" s="964"/>
      <c r="AB7" s="381"/>
    </row>
    <row r="8" spans="1:28">
      <c r="A8" s="361" t="s">
        <v>309</v>
      </c>
      <c r="B8" s="365">
        <f>様式１!H7</f>
        <v>0</v>
      </c>
      <c r="C8" s="366"/>
      <c r="D8" s="374">
        <f>IF($M2="○",ROUNDDOWN(B8/6,1),IF($K2="○",ROUNDDOWN(B8/15,1),ROUNDDOWN(B8/20,1)))</f>
        <v>0</v>
      </c>
      <c r="E8" s="365">
        <f>様式１!P7</f>
        <v>0</v>
      </c>
      <c r="F8" s="366"/>
      <c r="G8" s="374">
        <f>IF($M2="○",ROUNDDOWN(E8/6,1),IF($K2="○",ROUNDDOWN(E8/15,1),ROUNDDOWN(E8/20,1)))</f>
        <v>0</v>
      </c>
      <c r="H8" s="377"/>
      <c r="I8" s="380"/>
      <c r="J8" s="380"/>
      <c r="K8" s="380"/>
      <c r="L8" s="380"/>
      <c r="M8" s="380"/>
      <c r="N8" s="386"/>
      <c r="O8" s="382">
        <f>D8</f>
        <v>0</v>
      </c>
      <c r="P8" s="382">
        <f>G8</f>
        <v>0</v>
      </c>
      <c r="Q8" s="381"/>
      <c r="R8" s="386"/>
      <c r="S8" s="382">
        <f>IF($M2="○",ROUNDDOWN(B8/6,1),ROUNDDOWN(B8/15,1))</f>
        <v>0</v>
      </c>
      <c r="T8" s="382">
        <f>IF($M2="○",ROUNDDOWN(E8/6,1),ROUNDDOWN(E8/15,1))</f>
        <v>0</v>
      </c>
      <c r="U8" s="381"/>
      <c r="V8" s="386"/>
      <c r="W8" s="382">
        <f>D8</f>
        <v>0</v>
      </c>
      <c r="X8" s="382">
        <f>G8</f>
        <v>0</v>
      </c>
      <c r="Y8" s="381"/>
      <c r="Z8" s="382">
        <f>ROUNDDOWN(B8/20,1)</f>
        <v>0</v>
      </c>
      <c r="AA8" s="382">
        <f>ROUNDDOWN(E8/20,1)</f>
        <v>0</v>
      </c>
      <c r="AB8" s="381"/>
    </row>
    <row r="9" spans="1:28">
      <c r="A9" s="361" t="s">
        <v>310</v>
      </c>
      <c r="B9" s="365">
        <f>様式１!I7</f>
        <v>0</v>
      </c>
      <c r="C9" s="367">
        <f>様式１!I8</f>
        <v>0</v>
      </c>
      <c r="D9" s="374">
        <f>IF($K2="○",ROUNDDOWN((B9+C9)/15,1),ROUNDDOWN(B9/20,1)+ROUNDDOWN(C9/15,1))</f>
        <v>0</v>
      </c>
      <c r="E9" s="365">
        <f>様式１!Q7</f>
        <v>0</v>
      </c>
      <c r="F9" s="367">
        <f>様式１!Q8</f>
        <v>0</v>
      </c>
      <c r="G9" s="374">
        <f>IF($K2="○",ROUNDDOWN((E9+F9)/15,1),ROUNDDOWN(E9/20,1)+ROUNDDOWN(F9/15,1))</f>
        <v>0</v>
      </c>
      <c r="H9" s="377"/>
      <c r="I9" s="380"/>
      <c r="J9" s="380"/>
      <c r="K9" s="380"/>
      <c r="L9" s="380"/>
      <c r="M9" s="380"/>
      <c r="N9" s="386"/>
      <c r="O9" s="382">
        <f>IF($K2="○",ROUNDDOWN(B9/15,1),ROUNDDOWN(B9/20,1))</f>
        <v>0</v>
      </c>
      <c r="P9" s="382">
        <f>IF($K2="○",ROUNDDOWN(E9/15,1),ROUNDDOWN(E9/20,1))</f>
        <v>0</v>
      </c>
      <c r="Q9" s="381"/>
      <c r="R9" s="386"/>
      <c r="S9" s="382">
        <f>ROUNDDOWN((B9+C9)/15,1)</f>
        <v>0</v>
      </c>
      <c r="T9" s="382">
        <f>ROUNDDOWN((E9+F9)/15,1)</f>
        <v>0</v>
      </c>
      <c r="U9" s="381"/>
      <c r="V9" s="386"/>
      <c r="W9" s="382">
        <f>IF(K2="○",ROUNDDOWN(SUM(B9:C9)/15,1),ROUNDDOWN(SUM(B9:C9)/20,1))</f>
        <v>0</v>
      </c>
      <c r="X9" s="382">
        <f>IF(K2="○",ROUNDDOWN(SUM(E9:F9)/15,1),ROUNDDOWN(SUM(E9:F9)/20,1))</f>
        <v>0</v>
      </c>
      <c r="Y9" s="381"/>
      <c r="Z9" s="382">
        <f>ROUNDDOWN(SUM(B9:C9)/20,1)</f>
        <v>0</v>
      </c>
      <c r="AA9" s="382">
        <f>ROUNDDOWN(SUM(E9:F9)/20,1)</f>
        <v>0</v>
      </c>
      <c r="AB9" s="381"/>
    </row>
    <row r="10" spans="1:28">
      <c r="A10" s="361" t="s">
        <v>311</v>
      </c>
      <c r="B10" s="365">
        <f>様式１!J7</f>
        <v>0</v>
      </c>
      <c r="C10" s="367">
        <f>様式１!J8</f>
        <v>0</v>
      </c>
      <c r="D10" s="965">
        <f>IF($J2="○",ROUNDDOWN(SUM(B10,B11,C11)/25,1)+ROUNDDOWN(C10/20,1),ROUNDDOWN(SUM(B10,B11)/30,1)+ROUNDDOWN(C10/20,1)+ROUNDDOWN(C11/25,1))</f>
        <v>0</v>
      </c>
      <c r="E10" s="365">
        <f>様式１!R7</f>
        <v>0</v>
      </c>
      <c r="F10" s="367">
        <f>様式１!R8</f>
        <v>0</v>
      </c>
      <c r="G10" s="965">
        <f>IF($J2="○",ROUNDDOWN(SUM(E10,E11,F11)/25,1)+ROUNDDOWN(F10/20,1),ROUNDDOWN(SUM(E10,E11)/30,1)+ROUNDDOWN(F10/20,1)+ROUNDDOWN(F11/25,1))</f>
        <v>0</v>
      </c>
      <c r="H10" s="377"/>
      <c r="I10" s="380"/>
      <c r="J10" s="380"/>
      <c r="K10" s="380"/>
      <c r="L10" s="380"/>
      <c r="M10" s="380"/>
      <c r="N10" s="386"/>
      <c r="O10" s="963">
        <f>IF($J2="○",ROUNDDOWN(SUM(B10,B11)/25,1),ROUNDDOWN(SUM(B10,B11)/30,1))</f>
        <v>0</v>
      </c>
      <c r="P10" s="963">
        <f>IF($J2="○",ROUNDDOWN(SUM(E10,E11)/25,1),ROUNDDOWN(SUM(E10,E11)/30,1))</f>
        <v>0</v>
      </c>
      <c r="Q10" s="381"/>
      <c r="R10" s="386"/>
      <c r="S10" s="963">
        <f>ROUNDDOWN(SUM(B10,B11,C11)/25,1)+ROUNDDOWN(C10/20,1)</f>
        <v>0</v>
      </c>
      <c r="T10" s="963">
        <f>ROUNDDOWN(SUM(E10,E11,F11)/25,1)+ROUNDDOWN(F10/20,1)</f>
        <v>0</v>
      </c>
      <c r="U10" s="381"/>
      <c r="V10" s="386"/>
      <c r="W10" s="963">
        <f>IF(J2="○",ROUNDDOWN(SUM(B10:C11)/25,1),ROUNDDOWN(SUM(B10:C11)/30,1))</f>
        <v>0</v>
      </c>
      <c r="X10" s="963">
        <f>IF(J2="○",ROUNDDOWN(SUM(E10:F11)/25,1),ROUNDDOWN(SUM(E10:F11)/30,1))</f>
        <v>0</v>
      </c>
      <c r="Y10" s="381"/>
      <c r="Z10" s="963">
        <f>ROUNDDOWN(SUM(B10:C11)/30,1)</f>
        <v>0</v>
      </c>
      <c r="AA10" s="963">
        <f>ROUNDDOWN(SUM(E10:F11)/30,1)</f>
        <v>0</v>
      </c>
      <c r="AB10" s="381"/>
    </row>
    <row r="11" spans="1:28" ht="19.5" thickBot="1">
      <c r="A11" s="362" t="s">
        <v>312</v>
      </c>
      <c r="B11" s="368">
        <f>様式１!K7</f>
        <v>0</v>
      </c>
      <c r="C11" s="369">
        <f>様式１!K8</f>
        <v>0</v>
      </c>
      <c r="D11" s="966"/>
      <c r="E11" s="368">
        <f>様式１!S7</f>
        <v>0</v>
      </c>
      <c r="F11" s="369">
        <f>様式１!S8</f>
        <v>0</v>
      </c>
      <c r="G11" s="966"/>
      <c r="H11" s="378"/>
      <c r="I11" s="380"/>
      <c r="J11" s="380"/>
      <c r="K11" s="380"/>
      <c r="L11" s="380"/>
      <c r="M11" s="380"/>
      <c r="N11" s="386"/>
      <c r="O11" s="964"/>
      <c r="P11" s="964"/>
      <c r="Q11" s="381"/>
      <c r="R11" s="386"/>
      <c r="S11" s="964"/>
      <c r="T11" s="964"/>
      <c r="U11" s="381"/>
      <c r="V11" s="386"/>
      <c r="W11" s="964"/>
      <c r="X11" s="964"/>
      <c r="Y11" s="381"/>
      <c r="Z11" s="964"/>
      <c r="AA11" s="964"/>
      <c r="AB11" s="381"/>
    </row>
    <row r="12" spans="1:28">
      <c r="A12" s="955" t="str">
        <f>I12</f>
        <v>5月</v>
      </c>
      <c r="B12" s="958" t="s">
        <v>303</v>
      </c>
      <c r="C12" s="958"/>
      <c r="D12" s="958"/>
      <c r="E12" s="958" t="s">
        <v>304</v>
      </c>
      <c r="F12" s="958"/>
      <c r="G12" s="958"/>
      <c r="H12" s="959" t="s">
        <v>305</v>
      </c>
      <c r="I12" s="379" t="str">
        <f>加算等適用状況!A15</f>
        <v>5月</v>
      </c>
      <c r="J12" s="379" t="str">
        <f>加算等適用状況!G15</f>
        <v/>
      </c>
      <c r="K12" s="379" t="str">
        <f>加算等適用状況!H15</f>
        <v/>
      </c>
      <c r="L12" s="379" t="str">
        <f>加算等適用状況!I15</f>
        <v/>
      </c>
      <c r="M12" s="379" t="str">
        <f>加算等適用状況!J15</f>
        <v/>
      </c>
      <c r="N12" s="386"/>
      <c r="O12" s="379" t="s">
        <v>296</v>
      </c>
      <c r="P12" s="379" t="s">
        <v>297</v>
      </c>
      <c r="Q12" s="379" t="s">
        <v>138</v>
      </c>
      <c r="R12" s="386"/>
      <c r="S12" s="379" t="s">
        <v>296</v>
      </c>
      <c r="T12" s="379" t="s">
        <v>297</v>
      </c>
      <c r="U12" s="379" t="s">
        <v>138</v>
      </c>
      <c r="V12" s="386"/>
      <c r="W12" s="379" t="s">
        <v>296</v>
      </c>
      <c r="X12" s="379" t="s">
        <v>297</v>
      </c>
      <c r="Y12" s="379" t="s">
        <v>138</v>
      </c>
      <c r="Z12" s="379" t="s">
        <v>296</v>
      </c>
      <c r="AA12" s="379" t="s">
        <v>297</v>
      </c>
      <c r="AB12" s="379" t="s">
        <v>138</v>
      </c>
    </row>
    <row r="13" spans="1:28">
      <c r="A13" s="956"/>
      <c r="B13" s="961" t="s">
        <v>313</v>
      </c>
      <c r="C13" s="962"/>
      <c r="D13" s="359" t="s">
        <v>314</v>
      </c>
      <c r="E13" s="961" t="s">
        <v>313</v>
      </c>
      <c r="F13" s="962"/>
      <c r="G13" s="359" t="s">
        <v>314</v>
      </c>
      <c r="H13" s="960"/>
      <c r="I13" s="380"/>
      <c r="J13" s="380"/>
      <c r="K13" s="380"/>
      <c r="L13" s="380"/>
      <c r="M13" s="380"/>
      <c r="N13" s="386"/>
      <c r="O13" s="380"/>
      <c r="P13" s="380"/>
      <c r="Q13" s="380"/>
      <c r="R13" s="386"/>
      <c r="S13" s="380"/>
      <c r="T13" s="380"/>
      <c r="U13" s="380"/>
      <c r="V13" s="386"/>
      <c r="W13" s="380"/>
      <c r="X13" s="380"/>
      <c r="Y13" s="380"/>
      <c r="Z13" s="380"/>
      <c r="AA13" s="380"/>
      <c r="AB13" s="380"/>
    </row>
    <row r="14" spans="1:28" ht="19.5">
      <c r="A14" s="957"/>
      <c r="B14" s="363" t="s">
        <v>70</v>
      </c>
      <c r="C14" s="364" t="s">
        <v>315</v>
      </c>
      <c r="D14" s="393">
        <f>ROUND(SUM(D15:D21),0)</f>
        <v>0</v>
      </c>
      <c r="E14" s="363" t="s">
        <v>70</v>
      </c>
      <c r="F14" s="364" t="s">
        <v>315</v>
      </c>
      <c r="G14" s="393">
        <f>ROUND(SUM(G15:G21),0)</f>
        <v>0</v>
      </c>
      <c r="H14" s="392">
        <f>SUM(D14,G14)</f>
        <v>0</v>
      </c>
      <c r="I14" s="380"/>
      <c r="J14" s="380"/>
      <c r="K14" s="380"/>
      <c r="L14" s="380"/>
      <c r="M14" s="380"/>
      <c r="N14" s="386"/>
      <c r="O14" s="382">
        <f>ROUND(SUM(O15:O21),0)</f>
        <v>0</v>
      </c>
      <c r="P14" s="382">
        <f>ROUND(SUM(P15:P21),0)</f>
        <v>0</v>
      </c>
      <c r="Q14" s="391">
        <f>SUM(O14,P14)</f>
        <v>0</v>
      </c>
      <c r="R14" s="386"/>
      <c r="S14" s="382">
        <f>ROUND(SUM(S15:S21),0)</f>
        <v>0</v>
      </c>
      <c r="T14" s="382">
        <f>ROUND(SUM(T15:T21),0)</f>
        <v>0</v>
      </c>
      <c r="U14" s="391">
        <f>SUM(S14,T14)</f>
        <v>0</v>
      </c>
      <c r="V14" s="386"/>
      <c r="W14" s="382">
        <f>ROUND(SUM(W15:W21),0)</f>
        <v>0</v>
      </c>
      <c r="X14" s="382">
        <f>ROUND(SUM(X15:X21),0)</f>
        <v>0</v>
      </c>
      <c r="Y14" s="391">
        <f>SUM(W14,X14)</f>
        <v>0</v>
      </c>
      <c r="Z14" s="382">
        <f>ROUND(SUM(Z15:Z21),0)</f>
        <v>0</v>
      </c>
      <c r="AA14" s="382">
        <f>ROUND(SUM(AA15:AA21),0)</f>
        <v>0</v>
      </c>
      <c r="AB14" s="391">
        <f>SUM(Z14,AA14)</f>
        <v>0</v>
      </c>
    </row>
    <row r="15" spans="1:28">
      <c r="A15" s="360" t="s">
        <v>306</v>
      </c>
      <c r="B15" s="370"/>
      <c r="C15" s="372">
        <f>様式１!E12</f>
        <v>0</v>
      </c>
      <c r="D15" s="373">
        <f>ROUNDDOWN(C15/3,1)</f>
        <v>0</v>
      </c>
      <c r="E15" s="370"/>
      <c r="F15" s="372">
        <f>様式１!M12</f>
        <v>0</v>
      </c>
      <c r="G15" s="373">
        <f>ROUNDDOWN(F15/3,1)</f>
        <v>0</v>
      </c>
      <c r="H15" s="376"/>
      <c r="I15" s="380"/>
      <c r="J15" s="380"/>
      <c r="K15" s="380"/>
      <c r="L15" s="380"/>
      <c r="M15" s="380"/>
      <c r="N15" s="386"/>
      <c r="O15" s="381"/>
      <c r="P15" s="381"/>
      <c r="Q15" s="381"/>
      <c r="R15" s="386"/>
      <c r="S15" s="382">
        <f>D15</f>
        <v>0</v>
      </c>
      <c r="T15" s="382">
        <f>G15</f>
        <v>0</v>
      </c>
      <c r="U15" s="381"/>
      <c r="V15" s="386"/>
      <c r="W15" s="382">
        <f>D15</f>
        <v>0</v>
      </c>
      <c r="X15" s="382">
        <f>G15</f>
        <v>0</v>
      </c>
      <c r="Y15" s="381"/>
      <c r="Z15" s="382">
        <f>D15</f>
        <v>0</v>
      </c>
      <c r="AA15" s="382">
        <f>G15</f>
        <v>0</v>
      </c>
      <c r="AB15" s="381"/>
    </row>
    <row r="16" spans="1:28">
      <c r="A16" s="361" t="s">
        <v>307</v>
      </c>
      <c r="B16" s="371"/>
      <c r="C16" s="367">
        <f>様式１!F12</f>
        <v>0</v>
      </c>
      <c r="D16" s="374">
        <f>ROUNDDOWN(C16/5,1)</f>
        <v>0</v>
      </c>
      <c r="E16" s="371"/>
      <c r="F16" s="367">
        <f>様式１!N12</f>
        <v>0</v>
      </c>
      <c r="G16" s="374">
        <f>ROUNDDOWN(F16/5,1)</f>
        <v>0</v>
      </c>
      <c r="H16" s="377"/>
      <c r="I16" s="380"/>
      <c r="J16" s="380"/>
      <c r="K16" s="380"/>
      <c r="L16" s="380"/>
      <c r="M16" s="380"/>
      <c r="N16" s="386"/>
      <c r="O16" s="381"/>
      <c r="P16" s="381"/>
      <c r="Q16" s="381"/>
      <c r="R16" s="386"/>
      <c r="S16" s="382">
        <f>D16</f>
        <v>0</v>
      </c>
      <c r="T16" s="382">
        <f>G16</f>
        <v>0</v>
      </c>
      <c r="U16" s="381"/>
      <c r="V16" s="386"/>
      <c r="W16" s="963">
        <f>IF(L12="○",ROUNDDOWN(C16/5,1)+ROUNDDOWN(C17/6,1),ROUNDDOWN(SUM(C16:C17)/6,1))</f>
        <v>0</v>
      </c>
      <c r="X16" s="963">
        <f>IF(L12="○",ROUNDDOWN(F16/5,1)+ROUNDDOWN(F17/6,1),ROUNDDOWN(SUM(F16:F17)/6,1))</f>
        <v>0</v>
      </c>
      <c r="Y16" s="381"/>
      <c r="Z16" s="963">
        <f>ROUNDDOWN(SUM(C16:C17)/6,1)</f>
        <v>0</v>
      </c>
      <c r="AA16" s="963">
        <f>ROUNDDOWN(SUM(F16:F17)/6,1)</f>
        <v>0</v>
      </c>
      <c r="AB16" s="381"/>
    </row>
    <row r="17" spans="1:28">
      <c r="A17" s="361" t="s">
        <v>308</v>
      </c>
      <c r="B17" s="371"/>
      <c r="C17" s="367">
        <f>様式１!G12</f>
        <v>0</v>
      </c>
      <c r="D17" s="374">
        <f>ROUNDDOWN(C17/6,1)</f>
        <v>0</v>
      </c>
      <c r="E17" s="371"/>
      <c r="F17" s="367">
        <f>様式１!O12</f>
        <v>0</v>
      </c>
      <c r="G17" s="374">
        <f>ROUNDDOWN(F17/6,1)</f>
        <v>0</v>
      </c>
      <c r="H17" s="377"/>
      <c r="I17" s="380"/>
      <c r="J17" s="380"/>
      <c r="K17" s="380"/>
      <c r="L17" s="380"/>
      <c r="M17" s="380"/>
      <c r="N17" s="386"/>
      <c r="O17" s="381"/>
      <c r="P17" s="381"/>
      <c r="Q17" s="381"/>
      <c r="R17" s="386"/>
      <c r="S17" s="382">
        <f>D17</f>
        <v>0</v>
      </c>
      <c r="T17" s="382">
        <f>G17</f>
        <v>0</v>
      </c>
      <c r="U17" s="381"/>
      <c r="V17" s="386"/>
      <c r="W17" s="964"/>
      <c r="X17" s="964"/>
      <c r="Y17" s="381"/>
      <c r="Z17" s="964"/>
      <c r="AA17" s="964"/>
      <c r="AB17" s="381"/>
    </row>
    <row r="18" spans="1:28">
      <c r="A18" s="361" t="s">
        <v>309</v>
      </c>
      <c r="B18" s="365">
        <f>様式１!H10</f>
        <v>0</v>
      </c>
      <c r="C18" s="366"/>
      <c r="D18" s="374">
        <f>IF($M12="○",ROUNDDOWN(B18/6,1),IF($K12="○",ROUNDDOWN(B18/15,1),ROUNDDOWN(B18/20,1)))</f>
        <v>0</v>
      </c>
      <c r="E18" s="365">
        <f>様式１!P10</f>
        <v>0</v>
      </c>
      <c r="F18" s="366"/>
      <c r="G18" s="374">
        <f>IF($M12="○",ROUNDDOWN(E18/6,1),IF($K12="○",ROUNDDOWN(E18/15,1),ROUNDDOWN(E18/20,1)))</f>
        <v>0</v>
      </c>
      <c r="H18" s="377"/>
      <c r="I18" s="380"/>
      <c r="J18" s="380"/>
      <c r="K18" s="380"/>
      <c r="L18" s="380"/>
      <c r="M18" s="380"/>
      <c r="N18" s="386"/>
      <c r="O18" s="382">
        <f>D18</f>
        <v>0</v>
      </c>
      <c r="P18" s="382">
        <f>G18</f>
        <v>0</v>
      </c>
      <c r="Q18" s="381"/>
      <c r="R18" s="386"/>
      <c r="S18" s="382">
        <f>IF($M12="○",ROUNDDOWN(B18/6,1),ROUNDDOWN(B18/15,1))</f>
        <v>0</v>
      </c>
      <c r="T18" s="382">
        <f>IF($M12="○",ROUNDDOWN(E18/6,1),ROUNDDOWN(E18/15,1))</f>
        <v>0</v>
      </c>
      <c r="U18" s="381"/>
      <c r="V18" s="386"/>
      <c r="W18" s="382">
        <f>D18</f>
        <v>0</v>
      </c>
      <c r="X18" s="382">
        <f>G18</f>
        <v>0</v>
      </c>
      <c r="Y18" s="381"/>
      <c r="Z18" s="382">
        <f>ROUNDDOWN(B18/20,1)</f>
        <v>0</v>
      </c>
      <c r="AA18" s="382">
        <f>ROUNDDOWN(E18/20,1)</f>
        <v>0</v>
      </c>
      <c r="AB18" s="381"/>
    </row>
    <row r="19" spans="1:28">
      <c r="A19" s="361" t="s">
        <v>310</v>
      </c>
      <c r="B19" s="365">
        <f>様式１!I10</f>
        <v>0</v>
      </c>
      <c r="C19" s="367">
        <f>様式１!I11</f>
        <v>0</v>
      </c>
      <c r="D19" s="374">
        <f>IF($K12="○",ROUNDDOWN((B19+C19)/15,1),ROUNDDOWN(B19/20,1)+ROUNDDOWN(C19/15,1))</f>
        <v>0</v>
      </c>
      <c r="E19" s="365">
        <f>様式１!Q10</f>
        <v>0</v>
      </c>
      <c r="F19" s="367">
        <f>様式１!Q11</f>
        <v>0</v>
      </c>
      <c r="G19" s="374">
        <f>IF($K12="○",ROUNDDOWN((E19+F19)/15,1),ROUNDDOWN(E19/20,1)+ROUNDDOWN(F19/15,1))</f>
        <v>0</v>
      </c>
      <c r="H19" s="377"/>
      <c r="I19" s="380"/>
      <c r="J19" s="380"/>
      <c r="K19" s="380"/>
      <c r="L19" s="380"/>
      <c r="M19" s="380"/>
      <c r="N19" s="386"/>
      <c r="O19" s="382">
        <f>IF($K12="○",ROUNDDOWN(B19/15,1),ROUNDDOWN(B19/20,1))</f>
        <v>0</v>
      </c>
      <c r="P19" s="382">
        <f>IF($K12="○",ROUNDDOWN(E19/15,1),ROUNDDOWN(E19/20,1))</f>
        <v>0</v>
      </c>
      <c r="Q19" s="381"/>
      <c r="R19" s="386"/>
      <c r="S19" s="382">
        <f>ROUNDDOWN((B19+C19)/15,1)</f>
        <v>0</v>
      </c>
      <c r="T19" s="382">
        <f>ROUNDDOWN((E19+F19)/15,1)</f>
        <v>0</v>
      </c>
      <c r="U19" s="381"/>
      <c r="V19" s="386"/>
      <c r="W19" s="382">
        <f>IF(K12="○",ROUNDDOWN(SUM(B19:C19)/15,1),ROUNDDOWN(SUM(B19:C19)/20,1))</f>
        <v>0</v>
      </c>
      <c r="X19" s="382">
        <f>IF(K12="○",ROUNDDOWN(SUM(E19:F19)/15,1),ROUNDDOWN(SUM(E19:F19)/20,1))</f>
        <v>0</v>
      </c>
      <c r="Y19" s="381"/>
      <c r="Z19" s="382">
        <f>ROUNDDOWN(SUM(B19:C19)/20,1)</f>
        <v>0</v>
      </c>
      <c r="AA19" s="382">
        <f>ROUNDDOWN(SUM(E19:F19)/20,1)</f>
        <v>0</v>
      </c>
      <c r="AB19" s="381"/>
    </row>
    <row r="20" spans="1:28">
      <c r="A20" s="361" t="s">
        <v>311</v>
      </c>
      <c r="B20" s="365">
        <f>様式１!J10</f>
        <v>0</v>
      </c>
      <c r="C20" s="367">
        <f>様式１!J11</f>
        <v>0</v>
      </c>
      <c r="D20" s="965">
        <f>IF($J12="○",ROUNDDOWN(SUM(B20,B21,C21)/25,1)+ROUNDDOWN(C20/20,1),ROUNDDOWN(SUM(B20,B21)/30,1)+ROUNDDOWN(C20/20,1)+ROUNDDOWN(C21/25,1))</f>
        <v>0</v>
      </c>
      <c r="E20" s="365">
        <f>様式１!R10</f>
        <v>0</v>
      </c>
      <c r="F20" s="367">
        <f>様式１!R11</f>
        <v>0</v>
      </c>
      <c r="G20" s="965">
        <f>IF($J12="○",ROUNDDOWN(SUM(E20,E21,F21)/25,1)+ROUNDDOWN(F20/20,1),ROUNDDOWN(SUM(E20,E21)/30,1)+ROUNDDOWN(F20/20,1)+ROUNDDOWN(F21/25,1))</f>
        <v>0</v>
      </c>
      <c r="H20" s="377"/>
      <c r="I20" s="380"/>
      <c r="J20" s="380"/>
      <c r="K20" s="380"/>
      <c r="L20" s="380"/>
      <c r="M20" s="380"/>
      <c r="N20" s="386"/>
      <c r="O20" s="963">
        <f>IF($J12="○",ROUNDDOWN(SUM(B20,B21)/25,1),ROUNDDOWN(SUM(B20,B21)/30,1))</f>
        <v>0</v>
      </c>
      <c r="P20" s="963">
        <f>IF($J12="○",ROUNDDOWN(SUM(E20,E21)/25,1),ROUNDDOWN(SUM(E20,E21)/30,1))</f>
        <v>0</v>
      </c>
      <c r="Q20" s="381"/>
      <c r="R20" s="386"/>
      <c r="S20" s="963">
        <f>ROUNDDOWN(SUM(B20,B21,C21)/25,1)+ROUNDDOWN(C20/20,1)</f>
        <v>0</v>
      </c>
      <c r="T20" s="963">
        <f>ROUNDDOWN(SUM(E20,E21,F21)/25,1)+ROUNDDOWN(F20/20,1)</f>
        <v>0</v>
      </c>
      <c r="U20" s="381"/>
      <c r="V20" s="386"/>
      <c r="W20" s="963">
        <f>IF(J12="○",ROUNDDOWN(SUM(B20:C21)/25,1),ROUNDDOWN(SUM(B20:C21)/30,1))</f>
        <v>0</v>
      </c>
      <c r="X20" s="963">
        <f>IF(J12="○",ROUNDDOWN(SUM(E20:F21)/25,1),ROUNDDOWN(SUM(E20:F21)/30,1))</f>
        <v>0</v>
      </c>
      <c r="Y20" s="381"/>
      <c r="Z20" s="963">
        <f>ROUNDDOWN(SUM(B20:C21)/30,1)</f>
        <v>0</v>
      </c>
      <c r="AA20" s="963">
        <f>ROUNDDOWN(SUM(E20:F21)/30,1)</f>
        <v>0</v>
      </c>
      <c r="AB20" s="381"/>
    </row>
    <row r="21" spans="1:28" ht="19.5" thickBot="1">
      <c r="A21" s="362" t="s">
        <v>312</v>
      </c>
      <c r="B21" s="368">
        <f>様式１!K10</f>
        <v>0</v>
      </c>
      <c r="C21" s="369">
        <f>様式１!K11</f>
        <v>0</v>
      </c>
      <c r="D21" s="966"/>
      <c r="E21" s="368">
        <f>様式１!S10</f>
        <v>0</v>
      </c>
      <c r="F21" s="369">
        <f>様式１!S11</f>
        <v>0</v>
      </c>
      <c r="G21" s="966"/>
      <c r="H21" s="378"/>
      <c r="I21" s="380"/>
      <c r="J21" s="380"/>
      <c r="K21" s="380"/>
      <c r="L21" s="380"/>
      <c r="M21" s="380"/>
      <c r="N21" s="386"/>
      <c r="O21" s="964"/>
      <c r="P21" s="964"/>
      <c r="Q21" s="381"/>
      <c r="R21" s="386"/>
      <c r="S21" s="964"/>
      <c r="T21" s="964"/>
      <c r="U21" s="381"/>
      <c r="V21" s="386"/>
      <c r="W21" s="964"/>
      <c r="X21" s="964"/>
      <c r="Y21" s="381"/>
      <c r="Z21" s="964"/>
      <c r="AA21" s="964"/>
      <c r="AB21" s="381"/>
    </row>
    <row r="22" spans="1:28">
      <c r="A22" s="955" t="str">
        <f>I22</f>
        <v>6月</v>
      </c>
      <c r="B22" s="958" t="s">
        <v>303</v>
      </c>
      <c r="C22" s="958"/>
      <c r="D22" s="958"/>
      <c r="E22" s="958" t="s">
        <v>304</v>
      </c>
      <c r="F22" s="958"/>
      <c r="G22" s="958"/>
      <c r="H22" s="959" t="s">
        <v>305</v>
      </c>
      <c r="I22" s="379" t="str">
        <f>加算等適用状況!A16</f>
        <v>6月</v>
      </c>
      <c r="J22" s="379" t="str">
        <f>加算等適用状況!G16</f>
        <v/>
      </c>
      <c r="K22" s="379" t="str">
        <f>加算等適用状況!H16</f>
        <v/>
      </c>
      <c r="L22" s="379" t="str">
        <f>加算等適用状況!I16</f>
        <v/>
      </c>
      <c r="M22" s="379" t="str">
        <f>加算等適用状況!J16</f>
        <v/>
      </c>
      <c r="N22" s="386"/>
      <c r="O22" s="379" t="s">
        <v>296</v>
      </c>
      <c r="P22" s="379" t="s">
        <v>297</v>
      </c>
      <c r="Q22" s="379" t="s">
        <v>138</v>
      </c>
      <c r="R22" s="386"/>
      <c r="S22" s="379" t="s">
        <v>296</v>
      </c>
      <c r="T22" s="379" t="s">
        <v>297</v>
      </c>
      <c r="U22" s="379" t="s">
        <v>138</v>
      </c>
      <c r="V22" s="386"/>
      <c r="W22" s="379" t="s">
        <v>296</v>
      </c>
      <c r="X22" s="379" t="s">
        <v>297</v>
      </c>
      <c r="Y22" s="379" t="s">
        <v>138</v>
      </c>
      <c r="Z22" s="379" t="s">
        <v>296</v>
      </c>
      <c r="AA22" s="379" t="s">
        <v>297</v>
      </c>
      <c r="AB22" s="379" t="s">
        <v>138</v>
      </c>
    </row>
    <row r="23" spans="1:28">
      <c r="A23" s="956"/>
      <c r="B23" s="961" t="s">
        <v>313</v>
      </c>
      <c r="C23" s="962"/>
      <c r="D23" s="359" t="s">
        <v>314</v>
      </c>
      <c r="E23" s="961" t="s">
        <v>313</v>
      </c>
      <c r="F23" s="962"/>
      <c r="G23" s="359" t="s">
        <v>314</v>
      </c>
      <c r="H23" s="960"/>
      <c r="I23" s="380"/>
      <c r="J23" s="380"/>
      <c r="K23" s="380"/>
      <c r="L23" s="380"/>
      <c r="M23" s="380"/>
      <c r="N23" s="386"/>
      <c r="O23" s="380"/>
      <c r="P23" s="380"/>
      <c r="Q23" s="380"/>
      <c r="R23" s="386"/>
      <c r="S23" s="380"/>
      <c r="T23" s="380"/>
      <c r="U23" s="380"/>
      <c r="V23" s="386"/>
      <c r="W23" s="380"/>
      <c r="X23" s="380"/>
      <c r="Y23" s="380"/>
      <c r="Z23" s="380"/>
      <c r="AA23" s="380"/>
      <c r="AB23" s="380"/>
    </row>
    <row r="24" spans="1:28" ht="19.5">
      <c r="A24" s="957"/>
      <c r="B24" s="363" t="s">
        <v>70</v>
      </c>
      <c r="C24" s="364" t="s">
        <v>315</v>
      </c>
      <c r="D24" s="393">
        <f>ROUND(SUM(D25:D31),0)</f>
        <v>0</v>
      </c>
      <c r="E24" s="363" t="s">
        <v>70</v>
      </c>
      <c r="F24" s="364" t="s">
        <v>315</v>
      </c>
      <c r="G24" s="393">
        <f>ROUND(SUM(G25:G31),0)</f>
        <v>0</v>
      </c>
      <c r="H24" s="392">
        <f>SUM(D24,G24)</f>
        <v>0</v>
      </c>
      <c r="I24" s="380"/>
      <c r="J24" s="380"/>
      <c r="K24" s="380"/>
      <c r="L24" s="380"/>
      <c r="M24" s="380"/>
      <c r="N24" s="386"/>
      <c r="O24" s="382">
        <f>ROUND(SUM(O25:O31),0)</f>
        <v>0</v>
      </c>
      <c r="P24" s="382">
        <f>ROUND(SUM(P25:P31),0)</f>
        <v>0</v>
      </c>
      <c r="Q24" s="391">
        <f>SUM(O24,P24)</f>
        <v>0</v>
      </c>
      <c r="R24" s="386"/>
      <c r="S24" s="382">
        <f>ROUND(SUM(S25:S31),0)</f>
        <v>0</v>
      </c>
      <c r="T24" s="382">
        <f>ROUND(SUM(T25:T31),0)</f>
        <v>0</v>
      </c>
      <c r="U24" s="391">
        <f>SUM(S24,T24)</f>
        <v>0</v>
      </c>
      <c r="V24" s="386"/>
      <c r="W24" s="382">
        <f>ROUND(SUM(W25:W31),0)</f>
        <v>0</v>
      </c>
      <c r="X24" s="382">
        <f>ROUND(SUM(X25:X31),0)</f>
        <v>0</v>
      </c>
      <c r="Y24" s="391">
        <f>SUM(W24,X24)</f>
        <v>0</v>
      </c>
      <c r="Z24" s="382">
        <f>ROUND(SUM(Z25:Z31),0)</f>
        <v>0</v>
      </c>
      <c r="AA24" s="382">
        <f>ROUND(SUM(AA25:AA31),0)</f>
        <v>0</v>
      </c>
      <c r="AB24" s="391">
        <f>SUM(Z24,AA24)</f>
        <v>0</v>
      </c>
    </row>
    <row r="25" spans="1:28">
      <c r="A25" s="360" t="s">
        <v>306</v>
      </c>
      <c r="B25" s="370"/>
      <c r="C25" s="372">
        <f>様式１!E15</f>
        <v>0</v>
      </c>
      <c r="D25" s="373">
        <f>ROUNDDOWN(C25/3,1)</f>
        <v>0</v>
      </c>
      <c r="E25" s="370"/>
      <c r="F25" s="372">
        <f>様式１!M15</f>
        <v>0</v>
      </c>
      <c r="G25" s="373">
        <f>ROUNDDOWN(F25/3,1)</f>
        <v>0</v>
      </c>
      <c r="H25" s="376"/>
      <c r="I25" s="380"/>
      <c r="J25" s="380"/>
      <c r="K25" s="380"/>
      <c r="L25" s="380"/>
      <c r="M25" s="380"/>
      <c r="N25" s="386"/>
      <c r="O25" s="381"/>
      <c r="P25" s="381"/>
      <c r="Q25" s="381"/>
      <c r="R25" s="386"/>
      <c r="S25" s="382">
        <f>D25</f>
        <v>0</v>
      </c>
      <c r="T25" s="382">
        <f>G25</f>
        <v>0</v>
      </c>
      <c r="U25" s="381"/>
      <c r="V25" s="386"/>
      <c r="W25" s="382">
        <f>D25</f>
        <v>0</v>
      </c>
      <c r="X25" s="382">
        <f>G25</f>
        <v>0</v>
      </c>
      <c r="Y25" s="381"/>
      <c r="Z25" s="382">
        <f>D25</f>
        <v>0</v>
      </c>
      <c r="AA25" s="382">
        <f>G25</f>
        <v>0</v>
      </c>
      <c r="AB25" s="381"/>
    </row>
    <row r="26" spans="1:28">
      <c r="A26" s="361" t="s">
        <v>307</v>
      </c>
      <c r="B26" s="371"/>
      <c r="C26" s="367">
        <f>様式１!F15</f>
        <v>0</v>
      </c>
      <c r="D26" s="374">
        <f>ROUNDDOWN(C26/5,1)</f>
        <v>0</v>
      </c>
      <c r="E26" s="371"/>
      <c r="F26" s="367">
        <f>様式１!N15</f>
        <v>0</v>
      </c>
      <c r="G26" s="374">
        <f>ROUNDDOWN(F26/5,1)</f>
        <v>0</v>
      </c>
      <c r="H26" s="377"/>
      <c r="I26" s="380"/>
      <c r="J26" s="380"/>
      <c r="K26" s="380"/>
      <c r="L26" s="380"/>
      <c r="M26" s="380"/>
      <c r="N26" s="386"/>
      <c r="O26" s="381"/>
      <c r="P26" s="381"/>
      <c r="Q26" s="381"/>
      <c r="R26" s="386"/>
      <c r="S26" s="382">
        <f>D26</f>
        <v>0</v>
      </c>
      <c r="T26" s="382">
        <f>G26</f>
        <v>0</v>
      </c>
      <c r="U26" s="381"/>
      <c r="V26" s="386"/>
      <c r="W26" s="963">
        <f>IF(L22="○",ROUNDDOWN(C26/5,1)+ROUNDDOWN(C27/6,1),ROUNDDOWN(SUM(C26:C27)/6,1))</f>
        <v>0</v>
      </c>
      <c r="X26" s="963">
        <f>IF(L22="○",ROUNDDOWN(F26/5,1)+ROUNDDOWN(F27/6,1),ROUNDDOWN(SUM(F26:F27)/6,1))</f>
        <v>0</v>
      </c>
      <c r="Y26" s="381"/>
      <c r="Z26" s="963">
        <f>ROUNDDOWN(SUM(C26:C27)/6,1)</f>
        <v>0</v>
      </c>
      <c r="AA26" s="963">
        <f>ROUNDDOWN(SUM(F26:F27)/6,1)</f>
        <v>0</v>
      </c>
      <c r="AB26" s="381"/>
    </row>
    <row r="27" spans="1:28">
      <c r="A27" s="361" t="s">
        <v>308</v>
      </c>
      <c r="B27" s="371"/>
      <c r="C27" s="367">
        <f>様式１!G15</f>
        <v>0</v>
      </c>
      <c r="D27" s="374">
        <f>ROUNDDOWN(C27/6,1)</f>
        <v>0</v>
      </c>
      <c r="E27" s="371"/>
      <c r="F27" s="367">
        <f>様式１!O15</f>
        <v>0</v>
      </c>
      <c r="G27" s="374">
        <f>ROUNDDOWN(F27/6,1)</f>
        <v>0</v>
      </c>
      <c r="H27" s="377"/>
      <c r="I27" s="380"/>
      <c r="J27" s="380"/>
      <c r="K27" s="380"/>
      <c r="L27" s="380"/>
      <c r="M27" s="380"/>
      <c r="N27" s="386"/>
      <c r="O27" s="381"/>
      <c r="P27" s="381"/>
      <c r="Q27" s="381"/>
      <c r="R27" s="386"/>
      <c r="S27" s="382">
        <f>D27</f>
        <v>0</v>
      </c>
      <c r="T27" s="382">
        <f>G27</f>
        <v>0</v>
      </c>
      <c r="U27" s="381"/>
      <c r="V27" s="386"/>
      <c r="W27" s="964"/>
      <c r="X27" s="964"/>
      <c r="Y27" s="381"/>
      <c r="Z27" s="964"/>
      <c r="AA27" s="964"/>
      <c r="AB27" s="381"/>
    </row>
    <row r="28" spans="1:28">
      <c r="A28" s="361" t="s">
        <v>309</v>
      </c>
      <c r="B28" s="365">
        <f>様式１!H13</f>
        <v>0</v>
      </c>
      <c r="C28" s="366"/>
      <c r="D28" s="374">
        <f>IF($M22="○",ROUNDDOWN(B28/6,1),IF($K22="○",ROUNDDOWN(B28/15,1),ROUNDDOWN(B28/20,1)))</f>
        <v>0</v>
      </c>
      <c r="E28" s="365">
        <f>様式１!P13</f>
        <v>0</v>
      </c>
      <c r="F28" s="366"/>
      <c r="G28" s="374">
        <f>IF($M22="○",ROUNDDOWN(E28/6,1),IF($K22="○",ROUNDDOWN(E28/15,1),ROUNDDOWN(E28/20,1)))</f>
        <v>0</v>
      </c>
      <c r="H28" s="377"/>
      <c r="I28" s="380"/>
      <c r="J28" s="380"/>
      <c r="K28" s="380"/>
      <c r="L28" s="380"/>
      <c r="M28" s="380"/>
      <c r="N28" s="386"/>
      <c r="O28" s="382">
        <f>D28</f>
        <v>0</v>
      </c>
      <c r="P28" s="382">
        <f>G28</f>
        <v>0</v>
      </c>
      <c r="Q28" s="381"/>
      <c r="R28" s="386"/>
      <c r="S28" s="382">
        <f>IF($M22="○",ROUNDDOWN(B28/6,1),ROUNDDOWN(B28/15,1))</f>
        <v>0</v>
      </c>
      <c r="T28" s="382">
        <f>IF($M22="○",ROUNDDOWN(E28/6,1),ROUNDDOWN(E28/15,1))</f>
        <v>0</v>
      </c>
      <c r="U28" s="381"/>
      <c r="V28" s="386"/>
      <c r="W28" s="382">
        <f>D28</f>
        <v>0</v>
      </c>
      <c r="X28" s="382">
        <f>G28</f>
        <v>0</v>
      </c>
      <c r="Y28" s="381"/>
      <c r="Z28" s="382">
        <f>ROUNDDOWN(B28/20,1)</f>
        <v>0</v>
      </c>
      <c r="AA28" s="382">
        <f>ROUNDDOWN(E28/20,1)</f>
        <v>0</v>
      </c>
      <c r="AB28" s="381"/>
    </row>
    <row r="29" spans="1:28">
      <c r="A29" s="361" t="s">
        <v>310</v>
      </c>
      <c r="B29" s="365">
        <f>様式１!I13</f>
        <v>0</v>
      </c>
      <c r="C29" s="367">
        <f>様式１!I14</f>
        <v>0</v>
      </c>
      <c r="D29" s="374">
        <f>IF($K22="○",ROUNDDOWN((B29+C29)/15,1),ROUNDDOWN(B29/20,1)+ROUNDDOWN(C29/15,1))</f>
        <v>0</v>
      </c>
      <c r="E29" s="365">
        <f>様式１!Q13</f>
        <v>0</v>
      </c>
      <c r="F29" s="367">
        <f>様式１!Q14</f>
        <v>0</v>
      </c>
      <c r="G29" s="374">
        <f>IF($K22="○",ROUNDDOWN((E29+F29)/15,1),ROUNDDOWN(E29/20,1)+ROUNDDOWN(F29/15,1))</f>
        <v>0</v>
      </c>
      <c r="H29" s="377"/>
      <c r="I29" s="380"/>
      <c r="J29" s="380"/>
      <c r="K29" s="380"/>
      <c r="L29" s="380"/>
      <c r="M29" s="380"/>
      <c r="N29" s="386"/>
      <c r="O29" s="382">
        <f>IF($K22="○",ROUNDDOWN(B29/15,1),ROUNDDOWN(B29/20,1))</f>
        <v>0</v>
      </c>
      <c r="P29" s="382">
        <f>IF($K22="○",ROUNDDOWN(E29/15,1),ROUNDDOWN(E29/20,1))</f>
        <v>0</v>
      </c>
      <c r="Q29" s="381"/>
      <c r="R29" s="386"/>
      <c r="S29" s="382">
        <f>ROUNDDOWN((B29+C29)/15,1)</f>
        <v>0</v>
      </c>
      <c r="T29" s="382">
        <f>ROUNDDOWN((E29+F29)/15,1)</f>
        <v>0</v>
      </c>
      <c r="U29" s="381"/>
      <c r="V29" s="386"/>
      <c r="W29" s="382">
        <f>IF(K22="○",ROUNDDOWN(SUM(B29:C29)/15,1),ROUNDDOWN(SUM(B29:C29)/20,1))</f>
        <v>0</v>
      </c>
      <c r="X29" s="382">
        <f>IF(K22="○",ROUNDDOWN(SUM(E29:F29)/15,1),ROUNDDOWN(SUM(E29:F29)/20,1))</f>
        <v>0</v>
      </c>
      <c r="Y29" s="381"/>
      <c r="Z29" s="382">
        <f>ROUNDDOWN(SUM(B29:C29)/20,1)</f>
        <v>0</v>
      </c>
      <c r="AA29" s="382">
        <f>ROUNDDOWN(SUM(E29:F29)/20,1)</f>
        <v>0</v>
      </c>
      <c r="AB29" s="381"/>
    </row>
    <row r="30" spans="1:28">
      <c r="A30" s="361" t="s">
        <v>311</v>
      </c>
      <c r="B30" s="365">
        <f>様式１!J13</f>
        <v>0</v>
      </c>
      <c r="C30" s="367">
        <f>様式１!J14</f>
        <v>0</v>
      </c>
      <c r="D30" s="965">
        <f>IF($J22="○",ROUNDDOWN(SUM(B30,B31,C31)/25,1)+ROUNDDOWN(C30/20,1),ROUNDDOWN(SUM(B30,B31)/30,1)+ROUNDDOWN(C30/20,1)+ROUNDDOWN(C31/25,1))</f>
        <v>0</v>
      </c>
      <c r="E30" s="365">
        <f>様式１!R13</f>
        <v>0</v>
      </c>
      <c r="F30" s="367">
        <f>様式１!R14</f>
        <v>0</v>
      </c>
      <c r="G30" s="965">
        <f>IF($J22="○",ROUNDDOWN(SUM(E30,E31,F31)/25,1)+ROUNDDOWN(F30/20,1),ROUNDDOWN(SUM(E30,E31)/30,1)+ROUNDDOWN(F30/20,1)+ROUNDDOWN(F31/25,1))</f>
        <v>0</v>
      </c>
      <c r="H30" s="377"/>
      <c r="I30" s="380"/>
      <c r="J30" s="380"/>
      <c r="K30" s="380"/>
      <c r="L30" s="380"/>
      <c r="M30" s="380"/>
      <c r="N30" s="386"/>
      <c r="O30" s="963">
        <f>IF($J22="○",ROUNDDOWN(SUM(B30,B31)/25,1),ROUNDDOWN(SUM(B30,B31)/30,1))</f>
        <v>0</v>
      </c>
      <c r="P30" s="963">
        <f>IF($J22="○",ROUNDDOWN(SUM(E30,E31)/25,1),ROUNDDOWN(SUM(E30,E31)/30,1))</f>
        <v>0</v>
      </c>
      <c r="Q30" s="381"/>
      <c r="R30" s="386"/>
      <c r="S30" s="963">
        <f>ROUNDDOWN(SUM(B30,B31,C31)/25,1)+ROUNDDOWN(C30/20,1)</f>
        <v>0</v>
      </c>
      <c r="T30" s="963">
        <f>ROUNDDOWN(SUM(E30,E31,F31)/25,1)+ROUNDDOWN(F30/20,1)</f>
        <v>0</v>
      </c>
      <c r="U30" s="381"/>
      <c r="V30" s="386"/>
      <c r="W30" s="963">
        <f>IF(J22="○",ROUNDDOWN(SUM(B30:C31)/25,1),ROUNDDOWN(SUM(B30:C31)/30,1))</f>
        <v>0</v>
      </c>
      <c r="X30" s="963">
        <f>IF(J22="○",ROUNDDOWN(SUM(E30:F31)/25,1),ROUNDDOWN(SUM(E30:F31)/30,1))</f>
        <v>0</v>
      </c>
      <c r="Y30" s="381"/>
      <c r="Z30" s="963">
        <f>ROUNDDOWN(SUM(B30:C31)/30,1)</f>
        <v>0</v>
      </c>
      <c r="AA30" s="963">
        <f>ROUNDDOWN(SUM(E30:F31)/30,1)</f>
        <v>0</v>
      </c>
      <c r="AB30" s="381"/>
    </row>
    <row r="31" spans="1:28" ht="19.5" thickBot="1">
      <c r="A31" s="362" t="s">
        <v>312</v>
      </c>
      <c r="B31" s="368">
        <f>様式１!K13</f>
        <v>0</v>
      </c>
      <c r="C31" s="369">
        <f>様式１!K14</f>
        <v>0</v>
      </c>
      <c r="D31" s="966"/>
      <c r="E31" s="368">
        <f>様式１!S13</f>
        <v>0</v>
      </c>
      <c r="F31" s="369">
        <f>様式１!S14</f>
        <v>0</v>
      </c>
      <c r="G31" s="966"/>
      <c r="H31" s="378"/>
      <c r="I31" s="380"/>
      <c r="J31" s="380"/>
      <c r="K31" s="380"/>
      <c r="L31" s="380"/>
      <c r="M31" s="380"/>
      <c r="N31" s="386"/>
      <c r="O31" s="964"/>
      <c r="P31" s="964"/>
      <c r="Q31" s="381"/>
      <c r="R31" s="386"/>
      <c r="S31" s="964"/>
      <c r="T31" s="964"/>
      <c r="U31" s="381"/>
      <c r="V31" s="386"/>
      <c r="W31" s="964"/>
      <c r="X31" s="964"/>
      <c r="Y31" s="381"/>
      <c r="Z31" s="964"/>
      <c r="AA31" s="964"/>
      <c r="AB31" s="381"/>
    </row>
    <row r="32" spans="1:28">
      <c r="A32" s="955" t="str">
        <f>I32</f>
        <v>7月</v>
      </c>
      <c r="B32" s="958" t="s">
        <v>303</v>
      </c>
      <c r="C32" s="958"/>
      <c r="D32" s="958"/>
      <c r="E32" s="958" t="s">
        <v>304</v>
      </c>
      <c r="F32" s="958"/>
      <c r="G32" s="958"/>
      <c r="H32" s="959" t="s">
        <v>305</v>
      </c>
      <c r="I32" s="379" t="str">
        <f>加算等適用状況!A17</f>
        <v>7月</v>
      </c>
      <c r="J32" s="379" t="str">
        <f>加算等適用状況!G17</f>
        <v/>
      </c>
      <c r="K32" s="379" t="str">
        <f>加算等適用状況!H17</f>
        <v/>
      </c>
      <c r="L32" s="379" t="str">
        <f>加算等適用状況!I17</f>
        <v/>
      </c>
      <c r="M32" s="379" t="str">
        <f>加算等適用状況!J17</f>
        <v/>
      </c>
      <c r="N32" s="386"/>
      <c r="O32" s="379" t="s">
        <v>296</v>
      </c>
      <c r="P32" s="379" t="s">
        <v>297</v>
      </c>
      <c r="Q32" s="379" t="s">
        <v>138</v>
      </c>
      <c r="R32" s="386"/>
      <c r="S32" s="379" t="s">
        <v>296</v>
      </c>
      <c r="T32" s="379" t="s">
        <v>297</v>
      </c>
      <c r="U32" s="379" t="s">
        <v>138</v>
      </c>
      <c r="V32" s="386"/>
      <c r="W32" s="379" t="s">
        <v>296</v>
      </c>
      <c r="X32" s="379" t="s">
        <v>297</v>
      </c>
      <c r="Y32" s="379" t="s">
        <v>138</v>
      </c>
      <c r="Z32" s="379" t="s">
        <v>296</v>
      </c>
      <c r="AA32" s="379" t="s">
        <v>297</v>
      </c>
      <c r="AB32" s="379" t="s">
        <v>138</v>
      </c>
    </row>
    <row r="33" spans="1:28">
      <c r="A33" s="956"/>
      <c r="B33" s="961" t="s">
        <v>313</v>
      </c>
      <c r="C33" s="962"/>
      <c r="D33" s="359" t="s">
        <v>314</v>
      </c>
      <c r="E33" s="961" t="s">
        <v>313</v>
      </c>
      <c r="F33" s="962"/>
      <c r="G33" s="359" t="s">
        <v>314</v>
      </c>
      <c r="H33" s="960"/>
      <c r="I33" s="380"/>
      <c r="J33" s="380"/>
      <c r="K33" s="380"/>
      <c r="L33" s="380"/>
      <c r="M33" s="380"/>
      <c r="N33" s="386"/>
      <c r="O33" s="380"/>
      <c r="P33" s="380"/>
      <c r="Q33" s="380"/>
      <c r="R33" s="386"/>
      <c r="S33" s="380"/>
      <c r="T33" s="380"/>
      <c r="U33" s="380"/>
      <c r="V33" s="386"/>
      <c r="W33" s="380"/>
      <c r="X33" s="380"/>
      <c r="Y33" s="380"/>
      <c r="Z33" s="380"/>
      <c r="AA33" s="380"/>
      <c r="AB33" s="380"/>
    </row>
    <row r="34" spans="1:28" ht="19.5">
      <c r="A34" s="957"/>
      <c r="B34" s="363" t="s">
        <v>70</v>
      </c>
      <c r="C34" s="364" t="s">
        <v>315</v>
      </c>
      <c r="D34" s="393">
        <f>ROUND(SUM(D35:D41),0)</f>
        <v>0</v>
      </c>
      <c r="E34" s="363" t="s">
        <v>70</v>
      </c>
      <c r="F34" s="364" t="s">
        <v>315</v>
      </c>
      <c r="G34" s="393">
        <f>ROUND(SUM(G35:G41),0)</f>
        <v>0</v>
      </c>
      <c r="H34" s="392">
        <f>SUM(D34,G34)</f>
        <v>0</v>
      </c>
      <c r="I34" s="380"/>
      <c r="J34" s="380"/>
      <c r="K34" s="380"/>
      <c r="L34" s="380"/>
      <c r="M34" s="380"/>
      <c r="N34" s="386"/>
      <c r="O34" s="382">
        <f>ROUND(SUM(O35:O41),0)</f>
        <v>0</v>
      </c>
      <c r="P34" s="382">
        <f>ROUND(SUM(P35:P41),0)</f>
        <v>0</v>
      </c>
      <c r="Q34" s="391">
        <f>SUM(O34,P34)</f>
        <v>0</v>
      </c>
      <c r="R34" s="386"/>
      <c r="S34" s="382">
        <f>ROUND(SUM(S35:S41),0)</f>
        <v>0</v>
      </c>
      <c r="T34" s="382">
        <f>ROUND(SUM(T35:T41),0)</f>
        <v>0</v>
      </c>
      <c r="U34" s="391">
        <f>SUM(S34,T34)</f>
        <v>0</v>
      </c>
      <c r="V34" s="386"/>
      <c r="W34" s="382">
        <f>ROUND(SUM(W35:W41),0)</f>
        <v>0</v>
      </c>
      <c r="X34" s="382">
        <f>ROUND(SUM(X35:X41),0)</f>
        <v>0</v>
      </c>
      <c r="Y34" s="391">
        <f>SUM(W34,X34)</f>
        <v>0</v>
      </c>
      <c r="Z34" s="382">
        <f>ROUND(SUM(Z35:Z41),0)</f>
        <v>0</v>
      </c>
      <c r="AA34" s="382">
        <f>ROUND(SUM(AA35:AA41),0)</f>
        <v>0</v>
      </c>
      <c r="AB34" s="391">
        <f>SUM(Z34,AA34)</f>
        <v>0</v>
      </c>
    </row>
    <row r="35" spans="1:28">
      <c r="A35" s="360" t="s">
        <v>306</v>
      </c>
      <c r="B35" s="370"/>
      <c r="C35" s="372">
        <f>様式１!E18</f>
        <v>0</v>
      </c>
      <c r="D35" s="373">
        <f>ROUNDDOWN(C35/3,1)</f>
        <v>0</v>
      </c>
      <c r="E35" s="370"/>
      <c r="F35" s="372">
        <f>様式１!M18</f>
        <v>0</v>
      </c>
      <c r="G35" s="373">
        <f>ROUNDDOWN(F35/3,1)</f>
        <v>0</v>
      </c>
      <c r="H35" s="376"/>
      <c r="I35" s="380"/>
      <c r="J35" s="380"/>
      <c r="K35" s="380"/>
      <c r="L35" s="380"/>
      <c r="M35" s="380"/>
      <c r="N35" s="386"/>
      <c r="O35" s="381"/>
      <c r="P35" s="381"/>
      <c r="Q35" s="381"/>
      <c r="R35" s="386"/>
      <c r="S35" s="382">
        <f>D35</f>
        <v>0</v>
      </c>
      <c r="T35" s="382">
        <f>G35</f>
        <v>0</v>
      </c>
      <c r="U35" s="381"/>
      <c r="V35" s="386"/>
      <c r="W35" s="382">
        <f>D35</f>
        <v>0</v>
      </c>
      <c r="X35" s="382">
        <f>G35</f>
        <v>0</v>
      </c>
      <c r="Y35" s="381"/>
      <c r="Z35" s="382">
        <f>D35</f>
        <v>0</v>
      </c>
      <c r="AA35" s="382">
        <f>G35</f>
        <v>0</v>
      </c>
      <c r="AB35" s="381"/>
    </row>
    <row r="36" spans="1:28">
      <c r="A36" s="361" t="s">
        <v>307</v>
      </c>
      <c r="B36" s="371"/>
      <c r="C36" s="367">
        <f>様式１!F18</f>
        <v>0</v>
      </c>
      <c r="D36" s="374">
        <f>ROUNDDOWN(C36/5,1)</f>
        <v>0</v>
      </c>
      <c r="E36" s="371"/>
      <c r="F36" s="367">
        <f>様式１!N18</f>
        <v>0</v>
      </c>
      <c r="G36" s="374">
        <f>ROUNDDOWN(F36/5,1)</f>
        <v>0</v>
      </c>
      <c r="H36" s="377"/>
      <c r="I36" s="380"/>
      <c r="J36" s="380"/>
      <c r="K36" s="380"/>
      <c r="L36" s="380"/>
      <c r="M36" s="380"/>
      <c r="N36" s="386"/>
      <c r="O36" s="381"/>
      <c r="P36" s="381"/>
      <c r="Q36" s="381"/>
      <c r="R36" s="386"/>
      <c r="S36" s="382">
        <f>D36</f>
        <v>0</v>
      </c>
      <c r="T36" s="382">
        <f>G36</f>
        <v>0</v>
      </c>
      <c r="U36" s="381"/>
      <c r="V36" s="386"/>
      <c r="W36" s="963">
        <f>IF(L32="○",ROUNDDOWN(C36/5,1)+ROUNDDOWN(C37/6,1),ROUNDDOWN(SUM(C36:C37)/6,1))</f>
        <v>0</v>
      </c>
      <c r="X36" s="963">
        <f>IF(L32="○",ROUNDDOWN(F36/5,1)+ROUNDDOWN(F37/6,1),ROUNDDOWN(SUM(F36:F37)/6,1))</f>
        <v>0</v>
      </c>
      <c r="Y36" s="381"/>
      <c r="Z36" s="963">
        <f>ROUNDDOWN(SUM(C36:C37)/6,1)</f>
        <v>0</v>
      </c>
      <c r="AA36" s="963">
        <f>ROUNDDOWN(SUM(F36:F37)/6,1)</f>
        <v>0</v>
      </c>
      <c r="AB36" s="381"/>
    </row>
    <row r="37" spans="1:28">
      <c r="A37" s="361" t="s">
        <v>308</v>
      </c>
      <c r="B37" s="371"/>
      <c r="C37" s="367">
        <f>様式１!G18</f>
        <v>0</v>
      </c>
      <c r="D37" s="374">
        <f>ROUNDDOWN(C37/6,1)</f>
        <v>0</v>
      </c>
      <c r="E37" s="371"/>
      <c r="F37" s="367">
        <f>様式１!O18</f>
        <v>0</v>
      </c>
      <c r="G37" s="374">
        <f>ROUNDDOWN(F37/6,1)</f>
        <v>0</v>
      </c>
      <c r="H37" s="377"/>
      <c r="I37" s="380"/>
      <c r="J37" s="380"/>
      <c r="K37" s="380"/>
      <c r="L37" s="380"/>
      <c r="M37" s="380"/>
      <c r="N37" s="386"/>
      <c r="O37" s="381"/>
      <c r="P37" s="381"/>
      <c r="Q37" s="381"/>
      <c r="R37" s="386"/>
      <c r="S37" s="382">
        <f>D37</f>
        <v>0</v>
      </c>
      <c r="T37" s="382">
        <f>G37</f>
        <v>0</v>
      </c>
      <c r="U37" s="381"/>
      <c r="V37" s="386"/>
      <c r="W37" s="964"/>
      <c r="X37" s="964"/>
      <c r="Y37" s="381"/>
      <c r="Z37" s="964"/>
      <c r="AA37" s="964"/>
      <c r="AB37" s="381"/>
    </row>
    <row r="38" spans="1:28">
      <c r="A38" s="361" t="s">
        <v>309</v>
      </c>
      <c r="B38" s="365">
        <f>様式１!H16</f>
        <v>0</v>
      </c>
      <c r="C38" s="366"/>
      <c r="D38" s="374">
        <f>IF($M32="○",ROUNDDOWN(B38/6,1),IF($K32="○",ROUNDDOWN(B38/15,1),ROUNDDOWN(B38/20,1)))</f>
        <v>0</v>
      </c>
      <c r="E38" s="365">
        <f>様式１!P16</f>
        <v>0</v>
      </c>
      <c r="F38" s="366"/>
      <c r="G38" s="374">
        <f>IF($M32="○",ROUNDDOWN(E38/6,1),IF($K32="○",ROUNDDOWN(E38/15,1),ROUNDDOWN(E38/20,1)))</f>
        <v>0</v>
      </c>
      <c r="H38" s="377"/>
      <c r="I38" s="380"/>
      <c r="J38" s="380"/>
      <c r="K38" s="380"/>
      <c r="L38" s="380"/>
      <c r="M38" s="380"/>
      <c r="N38" s="386"/>
      <c r="O38" s="382">
        <f>D38</f>
        <v>0</v>
      </c>
      <c r="P38" s="382">
        <f>G38</f>
        <v>0</v>
      </c>
      <c r="Q38" s="381"/>
      <c r="R38" s="386"/>
      <c r="S38" s="382">
        <f>IF($M32="○",ROUNDDOWN(B38/6,1),ROUNDDOWN(B38/15,1))</f>
        <v>0</v>
      </c>
      <c r="T38" s="382">
        <f>IF($M32="○",ROUNDDOWN(E38/6,1),ROUNDDOWN(E38/15,1))</f>
        <v>0</v>
      </c>
      <c r="U38" s="381"/>
      <c r="V38" s="386"/>
      <c r="W38" s="382">
        <f>D38</f>
        <v>0</v>
      </c>
      <c r="X38" s="382">
        <f>G38</f>
        <v>0</v>
      </c>
      <c r="Y38" s="381"/>
      <c r="Z38" s="382">
        <f>ROUNDDOWN(B38/20,1)</f>
        <v>0</v>
      </c>
      <c r="AA38" s="382">
        <f>ROUNDDOWN(E38/20,1)</f>
        <v>0</v>
      </c>
      <c r="AB38" s="381"/>
    </row>
    <row r="39" spans="1:28">
      <c r="A39" s="361" t="s">
        <v>310</v>
      </c>
      <c r="B39" s="365">
        <f>様式１!I16</f>
        <v>0</v>
      </c>
      <c r="C39" s="367">
        <f>様式１!I17</f>
        <v>0</v>
      </c>
      <c r="D39" s="374">
        <f>IF($K32="○",ROUNDDOWN((B39+C39)/15,1),ROUNDDOWN(B39/20,1)+ROUNDDOWN(C39/15,1))</f>
        <v>0</v>
      </c>
      <c r="E39" s="365">
        <f>様式１!Q16</f>
        <v>0</v>
      </c>
      <c r="F39" s="367">
        <f>様式１!Q17</f>
        <v>0</v>
      </c>
      <c r="G39" s="374">
        <f>IF($K32="○",ROUNDDOWN((E39+F39)/15,1),ROUNDDOWN(E39/20,1)+ROUNDDOWN(F39/15,1))</f>
        <v>0</v>
      </c>
      <c r="H39" s="377"/>
      <c r="I39" s="380"/>
      <c r="J39" s="380"/>
      <c r="K39" s="380"/>
      <c r="L39" s="380"/>
      <c r="M39" s="380"/>
      <c r="N39" s="386"/>
      <c r="O39" s="382">
        <f>IF($K32="○",ROUNDDOWN(B39/15,1),ROUNDDOWN(B39/20,1))</f>
        <v>0</v>
      </c>
      <c r="P39" s="382">
        <f>IF($K32="○",ROUNDDOWN(E39/15,1),ROUNDDOWN(E39/20,1))</f>
        <v>0</v>
      </c>
      <c r="Q39" s="381"/>
      <c r="R39" s="386"/>
      <c r="S39" s="382">
        <f>ROUNDDOWN((B39+C39)/15,1)</f>
        <v>0</v>
      </c>
      <c r="T39" s="382">
        <f>ROUNDDOWN((E39+F39)/15,1)</f>
        <v>0</v>
      </c>
      <c r="U39" s="381"/>
      <c r="V39" s="386"/>
      <c r="W39" s="382">
        <f>IF(K32="○",ROUNDDOWN(SUM(B39:C39)/15,1),ROUNDDOWN(SUM(B39:C39)/20,1))</f>
        <v>0</v>
      </c>
      <c r="X39" s="382">
        <f>IF(K32="○",ROUNDDOWN(SUM(E39:F39)/15,1),ROUNDDOWN(SUM(E39:F39)/20,1))</f>
        <v>0</v>
      </c>
      <c r="Y39" s="381"/>
      <c r="Z39" s="382">
        <f>ROUNDDOWN(SUM(B39:C39)/20,1)</f>
        <v>0</v>
      </c>
      <c r="AA39" s="382">
        <f>ROUNDDOWN(SUM(E39:F39)/20,1)</f>
        <v>0</v>
      </c>
      <c r="AB39" s="381"/>
    </row>
    <row r="40" spans="1:28">
      <c r="A40" s="361" t="s">
        <v>311</v>
      </c>
      <c r="B40" s="365">
        <f>様式１!J16</f>
        <v>0</v>
      </c>
      <c r="C40" s="367">
        <f>様式１!J17</f>
        <v>0</v>
      </c>
      <c r="D40" s="965">
        <f>IF($J32="○",ROUNDDOWN(SUM(B40,B41,C41)/25,1)+ROUNDDOWN(C40/20,1),ROUNDDOWN(SUM(B40,B41)/30,1)+ROUNDDOWN(C40/20,1)+ROUNDDOWN(C41/25,1))</f>
        <v>0</v>
      </c>
      <c r="E40" s="365">
        <f>様式１!R16</f>
        <v>0</v>
      </c>
      <c r="F40" s="367">
        <f>様式１!R17</f>
        <v>0</v>
      </c>
      <c r="G40" s="965">
        <f>IF($J32="○",ROUNDDOWN(SUM(E40,E41,F41)/25,1)+ROUNDDOWN(F40/20,1),ROUNDDOWN(SUM(E40,E41)/30,1)+ROUNDDOWN(F40/20,1)+ROUNDDOWN(F41/25,1))</f>
        <v>0</v>
      </c>
      <c r="H40" s="377"/>
      <c r="I40" s="380"/>
      <c r="J40" s="380"/>
      <c r="K40" s="380"/>
      <c r="L40" s="380"/>
      <c r="M40" s="380"/>
      <c r="N40" s="386"/>
      <c r="O40" s="963">
        <f>IF($J32="○",ROUNDDOWN(SUM(B40,B41)/25,1),ROUNDDOWN(SUM(B40,B41)/30,1))</f>
        <v>0</v>
      </c>
      <c r="P40" s="963">
        <f>IF($J32="○",ROUNDDOWN(SUM(E40,E41)/25,1),ROUNDDOWN(SUM(E40,E41)/30,1))</f>
        <v>0</v>
      </c>
      <c r="Q40" s="381"/>
      <c r="R40" s="386"/>
      <c r="S40" s="963">
        <f>ROUNDDOWN(SUM(B40,B41,C41)/25,1)+ROUNDDOWN(C40/20,1)</f>
        <v>0</v>
      </c>
      <c r="T40" s="963">
        <f>ROUNDDOWN(SUM(E40,E41,F41)/25,1)+ROUNDDOWN(F40/20,1)</f>
        <v>0</v>
      </c>
      <c r="U40" s="381"/>
      <c r="V40" s="386"/>
      <c r="W40" s="963">
        <f>IF(J32="○",ROUNDDOWN(SUM(B40:C41)/25,1),ROUNDDOWN(SUM(B40:C41)/30,1))</f>
        <v>0</v>
      </c>
      <c r="X40" s="963">
        <f>IF(J32="○",ROUNDDOWN(SUM(E40:F41)/25,1),ROUNDDOWN(SUM(E40:F41)/30,1))</f>
        <v>0</v>
      </c>
      <c r="Y40" s="381"/>
      <c r="Z40" s="963">
        <f>ROUNDDOWN(SUM(B40:C41)/30,1)</f>
        <v>0</v>
      </c>
      <c r="AA40" s="963">
        <f>ROUNDDOWN(SUM(E40:F41)/30,1)</f>
        <v>0</v>
      </c>
      <c r="AB40" s="381"/>
    </row>
    <row r="41" spans="1:28" ht="19.5" thickBot="1">
      <c r="A41" s="362" t="s">
        <v>312</v>
      </c>
      <c r="B41" s="368">
        <f>様式１!K16</f>
        <v>0</v>
      </c>
      <c r="C41" s="369">
        <f>様式１!K17</f>
        <v>0</v>
      </c>
      <c r="D41" s="966"/>
      <c r="E41" s="368">
        <f>様式１!S16</f>
        <v>0</v>
      </c>
      <c r="F41" s="369">
        <f>様式１!S17</f>
        <v>0</v>
      </c>
      <c r="G41" s="966"/>
      <c r="H41" s="378"/>
      <c r="I41" s="380"/>
      <c r="J41" s="380"/>
      <c r="K41" s="380"/>
      <c r="L41" s="380"/>
      <c r="M41" s="380"/>
      <c r="N41" s="386"/>
      <c r="O41" s="964"/>
      <c r="P41" s="964"/>
      <c r="Q41" s="381"/>
      <c r="R41" s="386"/>
      <c r="S41" s="964"/>
      <c r="T41" s="964"/>
      <c r="U41" s="381"/>
      <c r="V41" s="386"/>
      <c r="W41" s="964"/>
      <c r="X41" s="964"/>
      <c r="Y41" s="381"/>
      <c r="Z41" s="964"/>
      <c r="AA41" s="964"/>
      <c r="AB41" s="381"/>
    </row>
    <row r="42" spans="1:28">
      <c r="A42" s="955" t="str">
        <f>I42</f>
        <v>8月</v>
      </c>
      <c r="B42" s="958" t="s">
        <v>303</v>
      </c>
      <c r="C42" s="958"/>
      <c r="D42" s="958"/>
      <c r="E42" s="958" t="s">
        <v>304</v>
      </c>
      <c r="F42" s="958"/>
      <c r="G42" s="958"/>
      <c r="H42" s="959" t="s">
        <v>305</v>
      </c>
      <c r="I42" s="379" t="str">
        <f>加算等適用状況!A18</f>
        <v>8月</v>
      </c>
      <c r="J42" s="379" t="str">
        <f>加算等適用状況!G18</f>
        <v/>
      </c>
      <c r="K42" s="379" t="str">
        <f>加算等適用状況!H18</f>
        <v/>
      </c>
      <c r="L42" s="379" t="str">
        <f>加算等適用状況!I18</f>
        <v/>
      </c>
      <c r="M42" s="379" t="str">
        <f>加算等適用状況!J18</f>
        <v/>
      </c>
      <c r="N42" s="386"/>
      <c r="O42" s="379" t="s">
        <v>296</v>
      </c>
      <c r="P42" s="379" t="s">
        <v>297</v>
      </c>
      <c r="Q42" s="379" t="s">
        <v>138</v>
      </c>
      <c r="R42" s="386"/>
      <c r="S42" s="379" t="s">
        <v>296</v>
      </c>
      <c r="T42" s="379" t="s">
        <v>297</v>
      </c>
      <c r="U42" s="379" t="s">
        <v>138</v>
      </c>
      <c r="V42" s="386"/>
      <c r="W42" s="379" t="s">
        <v>296</v>
      </c>
      <c r="X42" s="379" t="s">
        <v>297</v>
      </c>
      <c r="Y42" s="379" t="s">
        <v>138</v>
      </c>
      <c r="Z42" s="379" t="s">
        <v>296</v>
      </c>
      <c r="AA42" s="379" t="s">
        <v>297</v>
      </c>
      <c r="AB42" s="379" t="s">
        <v>138</v>
      </c>
    </row>
    <row r="43" spans="1:28">
      <c r="A43" s="956"/>
      <c r="B43" s="961" t="s">
        <v>313</v>
      </c>
      <c r="C43" s="962"/>
      <c r="D43" s="359" t="s">
        <v>314</v>
      </c>
      <c r="E43" s="961" t="s">
        <v>313</v>
      </c>
      <c r="F43" s="962"/>
      <c r="G43" s="359" t="s">
        <v>314</v>
      </c>
      <c r="H43" s="960"/>
      <c r="I43" s="380"/>
      <c r="J43" s="380"/>
      <c r="K43" s="380"/>
      <c r="L43" s="380"/>
      <c r="M43" s="380"/>
      <c r="N43" s="386"/>
      <c r="O43" s="380"/>
      <c r="P43" s="380"/>
      <c r="Q43" s="380"/>
      <c r="R43" s="386"/>
      <c r="S43" s="380"/>
      <c r="T43" s="380"/>
      <c r="U43" s="380"/>
      <c r="V43" s="386"/>
      <c r="W43" s="380"/>
      <c r="X43" s="380"/>
      <c r="Y43" s="380"/>
      <c r="Z43" s="380"/>
      <c r="AA43" s="380"/>
      <c r="AB43" s="380"/>
    </row>
    <row r="44" spans="1:28" ht="19.5">
      <c r="A44" s="957"/>
      <c r="B44" s="363" t="s">
        <v>70</v>
      </c>
      <c r="C44" s="364" t="s">
        <v>315</v>
      </c>
      <c r="D44" s="393">
        <f>ROUND(SUM(D45:D51),0)</f>
        <v>0</v>
      </c>
      <c r="E44" s="363" t="s">
        <v>70</v>
      </c>
      <c r="F44" s="364" t="s">
        <v>315</v>
      </c>
      <c r="G44" s="393">
        <f>ROUND(SUM(G45:G51),0)</f>
        <v>0</v>
      </c>
      <c r="H44" s="392">
        <f>SUM(D44,G44)</f>
        <v>0</v>
      </c>
      <c r="I44" s="380"/>
      <c r="J44" s="380"/>
      <c r="K44" s="380"/>
      <c r="L44" s="380"/>
      <c r="M44" s="380"/>
      <c r="N44" s="386"/>
      <c r="O44" s="382">
        <f>ROUND(SUM(O45:O51),0)</f>
        <v>0</v>
      </c>
      <c r="P44" s="382">
        <f>ROUND(SUM(P45:P51),0)</f>
        <v>0</v>
      </c>
      <c r="Q44" s="391">
        <f>SUM(O44,P44)</f>
        <v>0</v>
      </c>
      <c r="R44" s="386"/>
      <c r="S44" s="382">
        <f>ROUND(SUM(S45:S51),0)</f>
        <v>0</v>
      </c>
      <c r="T44" s="382">
        <f>ROUND(SUM(T45:T51),0)</f>
        <v>0</v>
      </c>
      <c r="U44" s="391">
        <f>SUM(S44,T44)</f>
        <v>0</v>
      </c>
      <c r="V44" s="386"/>
      <c r="W44" s="382">
        <f>ROUND(SUM(W45:W51),0)</f>
        <v>0</v>
      </c>
      <c r="X44" s="382">
        <f>ROUND(SUM(X45:X51),0)</f>
        <v>0</v>
      </c>
      <c r="Y44" s="391">
        <f>SUM(W44,X44)</f>
        <v>0</v>
      </c>
      <c r="Z44" s="382">
        <f>ROUND(SUM(Z45:Z51),0)</f>
        <v>0</v>
      </c>
      <c r="AA44" s="382">
        <f>ROUND(SUM(AA45:AA51),0)</f>
        <v>0</v>
      </c>
      <c r="AB44" s="391">
        <f>SUM(Z44,AA44)</f>
        <v>0</v>
      </c>
    </row>
    <row r="45" spans="1:28">
      <c r="A45" s="360" t="s">
        <v>306</v>
      </c>
      <c r="B45" s="370"/>
      <c r="C45" s="372">
        <f>様式１!E21</f>
        <v>0</v>
      </c>
      <c r="D45" s="373">
        <f>ROUNDDOWN(C45/3,1)</f>
        <v>0</v>
      </c>
      <c r="E45" s="370"/>
      <c r="F45" s="372">
        <f>様式１!M21</f>
        <v>0</v>
      </c>
      <c r="G45" s="373">
        <f>ROUNDDOWN(F45/3,1)</f>
        <v>0</v>
      </c>
      <c r="H45" s="376"/>
      <c r="I45" s="380"/>
      <c r="J45" s="380"/>
      <c r="K45" s="380"/>
      <c r="L45" s="380"/>
      <c r="M45" s="380"/>
      <c r="N45" s="386"/>
      <c r="O45" s="381"/>
      <c r="P45" s="381"/>
      <c r="Q45" s="381"/>
      <c r="R45" s="386"/>
      <c r="S45" s="382">
        <f>D45</f>
        <v>0</v>
      </c>
      <c r="T45" s="382">
        <f>G45</f>
        <v>0</v>
      </c>
      <c r="U45" s="381"/>
      <c r="V45" s="386"/>
      <c r="W45" s="382">
        <f>D45</f>
        <v>0</v>
      </c>
      <c r="X45" s="382">
        <f>G45</f>
        <v>0</v>
      </c>
      <c r="Y45" s="381"/>
      <c r="Z45" s="382">
        <f>D45</f>
        <v>0</v>
      </c>
      <c r="AA45" s="382">
        <f>G45</f>
        <v>0</v>
      </c>
      <c r="AB45" s="381"/>
    </row>
    <row r="46" spans="1:28">
      <c r="A46" s="361" t="s">
        <v>307</v>
      </c>
      <c r="B46" s="371"/>
      <c r="C46" s="367">
        <f>様式１!F21</f>
        <v>0</v>
      </c>
      <c r="D46" s="374">
        <f>ROUNDDOWN(C46/5,1)</f>
        <v>0</v>
      </c>
      <c r="E46" s="371"/>
      <c r="F46" s="367">
        <f>様式１!N21</f>
        <v>0</v>
      </c>
      <c r="G46" s="374">
        <f>ROUNDDOWN(F46/5,1)</f>
        <v>0</v>
      </c>
      <c r="H46" s="377"/>
      <c r="I46" s="380"/>
      <c r="J46" s="380"/>
      <c r="K46" s="380"/>
      <c r="L46" s="380"/>
      <c r="M46" s="380"/>
      <c r="N46" s="386"/>
      <c r="O46" s="381"/>
      <c r="P46" s="381"/>
      <c r="Q46" s="381"/>
      <c r="R46" s="386"/>
      <c r="S46" s="382">
        <f>D46</f>
        <v>0</v>
      </c>
      <c r="T46" s="382">
        <f>G46</f>
        <v>0</v>
      </c>
      <c r="U46" s="381"/>
      <c r="V46" s="386"/>
      <c r="W46" s="963">
        <f>IF(L42="○",ROUNDDOWN(C46/5,1)+ROUNDDOWN(C47/6,1),ROUNDDOWN(SUM(C46:C47)/6,1))</f>
        <v>0</v>
      </c>
      <c r="X46" s="963">
        <f>IF(L42="○",ROUNDDOWN(F46/5,1)+ROUNDDOWN(F47/6,1),ROUNDDOWN(SUM(F46:F47)/6,1))</f>
        <v>0</v>
      </c>
      <c r="Y46" s="381"/>
      <c r="Z46" s="963">
        <f>ROUNDDOWN(SUM(C46:C47)/6,1)</f>
        <v>0</v>
      </c>
      <c r="AA46" s="963">
        <f>ROUNDDOWN(SUM(F46:F47)/6,1)</f>
        <v>0</v>
      </c>
      <c r="AB46" s="381"/>
    </row>
    <row r="47" spans="1:28">
      <c r="A47" s="361" t="s">
        <v>308</v>
      </c>
      <c r="B47" s="371"/>
      <c r="C47" s="367">
        <f>様式１!G21</f>
        <v>0</v>
      </c>
      <c r="D47" s="374">
        <f>ROUNDDOWN(C47/6,1)</f>
        <v>0</v>
      </c>
      <c r="E47" s="371"/>
      <c r="F47" s="367">
        <f>様式１!O21</f>
        <v>0</v>
      </c>
      <c r="G47" s="374">
        <f>ROUNDDOWN(F47/6,1)</f>
        <v>0</v>
      </c>
      <c r="H47" s="377"/>
      <c r="I47" s="380"/>
      <c r="J47" s="380"/>
      <c r="K47" s="380"/>
      <c r="L47" s="380"/>
      <c r="M47" s="380"/>
      <c r="N47" s="386"/>
      <c r="O47" s="381"/>
      <c r="P47" s="381"/>
      <c r="Q47" s="381"/>
      <c r="R47" s="386"/>
      <c r="S47" s="382">
        <f>D47</f>
        <v>0</v>
      </c>
      <c r="T47" s="382">
        <f>G47</f>
        <v>0</v>
      </c>
      <c r="U47" s="381"/>
      <c r="V47" s="386"/>
      <c r="W47" s="964"/>
      <c r="X47" s="964"/>
      <c r="Y47" s="381"/>
      <c r="Z47" s="964"/>
      <c r="AA47" s="964"/>
      <c r="AB47" s="381"/>
    </row>
    <row r="48" spans="1:28">
      <c r="A48" s="361" t="s">
        <v>309</v>
      </c>
      <c r="B48" s="365">
        <f>様式１!H19</f>
        <v>0</v>
      </c>
      <c r="C48" s="366"/>
      <c r="D48" s="374">
        <f>IF($M42="○",ROUNDDOWN(B48/6,1),IF($K42="○",ROUNDDOWN(B48/15,1),ROUNDDOWN(B48/20,1)))</f>
        <v>0</v>
      </c>
      <c r="E48" s="365">
        <f>様式１!P19</f>
        <v>0</v>
      </c>
      <c r="F48" s="366"/>
      <c r="G48" s="374">
        <f>IF($M42="○",ROUNDDOWN(E48/6,1),IF($K42="○",ROUNDDOWN(E48/15,1),ROUNDDOWN(E48/20,1)))</f>
        <v>0</v>
      </c>
      <c r="H48" s="377"/>
      <c r="I48" s="380"/>
      <c r="J48" s="380"/>
      <c r="K48" s="380"/>
      <c r="L48" s="380"/>
      <c r="M48" s="380"/>
      <c r="N48" s="386"/>
      <c r="O48" s="382">
        <f>D48</f>
        <v>0</v>
      </c>
      <c r="P48" s="382">
        <f>G48</f>
        <v>0</v>
      </c>
      <c r="Q48" s="381"/>
      <c r="R48" s="386"/>
      <c r="S48" s="382">
        <f>IF($M42="○",ROUNDDOWN(B48/6,1),ROUNDDOWN(B48/15,1))</f>
        <v>0</v>
      </c>
      <c r="T48" s="382">
        <f>IF($M42="○",ROUNDDOWN(E48/6,1),ROUNDDOWN(E48/15,1))</f>
        <v>0</v>
      </c>
      <c r="U48" s="381"/>
      <c r="V48" s="386"/>
      <c r="W48" s="382">
        <f>D48</f>
        <v>0</v>
      </c>
      <c r="X48" s="382">
        <f>G48</f>
        <v>0</v>
      </c>
      <c r="Y48" s="381"/>
      <c r="Z48" s="382">
        <f>ROUNDDOWN(B48/20,1)</f>
        <v>0</v>
      </c>
      <c r="AA48" s="382">
        <f>ROUNDDOWN(E48/20,1)</f>
        <v>0</v>
      </c>
      <c r="AB48" s="381"/>
    </row>
    <row r="49" spans="1:28">
      <c r="A49" s="361" t="s">
        <v>310</v>
      </c>
      <c r="B49" s="365">
        <f>様式１!I19</f>
        <v>0</v>
      </c>
      <c r="C49" s="367">
        <f>様式１!I20</f>
        <v>0</v>
      </c>
      <c r="D49" s="374">
        <f>IF($K42="○",ROUNDDOWN((B49+C49)/15,1),ROUNDDOWN(B49/20,1)+ROUNDDOWN(C49/15,1))</f>
        <v>0</v>
      </c>
      <c r="E49" s="365">
        <f>様式１!Q19</f>
        <v>0</v>
      </c>
      <c r="F49" s="367">
        <f>様式１!Q20</f>
        <v>0</v>
      </c>
      <c r="G49" s="374">
        <f>IF($K42="○",ROUNDDOWN((E49+F49)/15,1),ROUNDDOWN(E49/20,1)+ROUNDDOWN(F49/15,1))</f>
        <v>0</v>
      </c>
      <c r="H49" s="377"/>
      <c r="I49" s="380"/>
      <c r="J49" s="380"/>
      <c r="K49" s="380"/>
      <c r="L49" s="380"/>
      <c r="M49" s="380"/>
      <c r="N49" s="386"/>
      <c r="O49" s="382">
        <f>IF($K42="○",ROUNDDOWN(B49/15,1),ROUNDDOWN(B49/20,1))</f>
        <v>0</v>
      </c>
      <c r="P49" s="382">
        <f>IF($K42="○",ROUNDDOWN(E49/15,1),ROUNDDOWN(E49/20,1))</f>
        <v>0</v>
      </c>
      <c r="Q49" s="381"/>
      <c r="R49" s="386"/>
      <c r="S49" s="382">
        <f>ROUNDDOWN((B49+C49)/15,1)</f>
        <v>0</v>
      </c>
      <c r="T49" s="382">
        <f>ROUNDDOWN((E49+F49)/15,1)</f>
        <v>0</v>
      </c>
      <c r="U49" s="381"/>
      <c r="V49" s="386"/>
      <c r="W49" s="382">
        <f>IF(K42="○",ROUNDDOWN(SUM(B49:C49)/15,1),ROUNDDOWN(SUM(B49:C49)/20,1))</f>
        <v>0</v>
      </c>
      <c r="X49" s="382">
        <f>IF(K42="○",ROUNDDOWN(SUM(E49:F49)/15,1),ROUNDDOWN(SUM(E49:F49)/20,1))</f>
        <v>0</v>
      </c>
      <c r="Y49" s="381"/>
      <c r="Z49" s="382">
        <f>ROUNDDOWN(SUM(B49:C49)/20,1)</f>
        <v>0</v>
      </c>
      <c r="AA49" s="382">
        <f>ROUNDDOWN(SUM(E49:F49)/20,1)</f>
        <v>0</v>
      </c>
      <c r="AB49" s="381"/>
    </row>
    <row r="50" spans="1:28">
      <c r="A50" s="361" t="s">
        <v>311</v>
      </c>
      <c r="B50" s="365">
        <f>様式１!J19</f>
        <v>0</v>
      </c>
      <c r="C50" s="367">
        <f>様式１!J20</f>
        <v>0</v>
      </c>
      <c r="D50" s="965">
        <f>IF($J42="○",ROUNDDOWN(SUM(B50,B51,C51)/25,1)+ROUNDDOWN(C50/20,1),ROUNDDOWN(SUM(B50,B51)/30,1)+ROUNDDOWN(C50/20,1)+ROUNDDOWN(C51/25,1))</f>
        <v>0</v>
      </c>
      <c r="E50" s="365">
        <f>様式１!R19</f>
        <v>0</v>
      </c>
      <c r="F50" s="367">
        <f>様式１!R20</f>
        <v>0</v>
      </c>
      <c r="G50" s="965">
        <f>IF($J42="○",ROUNDDOWN(SUM(E50,E51,F51)/25,1)+ROUNDDOWN(F50/20,1),ROUNDDOWN(SUM(E50,E51)/30,1)+ROUNDDOWN(F50/20,1)+ROUNDDOWN(F51/25,1))</f>
        <v>0</v>
      </c>
      <c r="H50" s="377"/>
      <c r="I50" s="380"/>
      <c r="J50" s="380"/>
      <c r="K50" s="380"/>
      <c r="L50" s="380"/>
      <c r="M50" s="380"/>
      <c r="N50" s="386"/>
      <c r="O50" s="963">
        <f>IF($J42="○",ROUNDDOWN(SUM(B50,B51)/25,1),ROUNDDOWN(SUM(B50,B51)/30,1))</f>
        <v>0</v>
      </c>
      <c r="P50" s="963">
        <f>IF($J42="○",ROUNDDOWN(SUM(E50,E51)/25,1),ROUNDDOWN(SUM(E50,E51)/30,1))</f>
        <v>0</v>
      </c>
      <c r="Q50" s="381"/>
      <c r="R50" s="386"/>
      <c r="S50" s="963">
        <f>ROUNDDOWN(SUM(B50,B51,C51)/25,1)+ROUNDDOWN(C50/20,1)</f>
        <v>0</v>
      </c>
      <c r="T50" s="963">
        <f>ROUNDDOWN(SUM(E50,E51,F51)/25,1)+ROUNDDOWN(F50/20,1)</f>
        <v>0</v>
      </c>
      <c r="U50" s="381"/>
      <c r="V50" s="386"/>
      <c r="W50" s="963">
        <f>IF(J42="○",ROUNDDOWN(SUM(B50:C51)/25,1),ROUNDDOWN(SUM(B50:C51)/30,1))</f>
        <v>0</v>
      </c>
      <c r="X50" s="963">
        <f>IF(J42="○",ROUNDDOWN(SUM(E50:F51)/25,1),ROUNDDOWN(SUM(E50:F51)/30,1))</f>
        <v>0</v>
      </c>
      <c r="Y50" s="381"/>
      <c r="Z50" s="963">
        <f>ROUNDDOWN(SUM(B50:C51)/30,1)</f>
        <v>0</v>
      </c>
      <c r="AA50" s="963">
        <f>ROUNDDOWN(SUM(E50:F51)/30,1)</f>
        <v>0</v>
      </c>
      <c r="AB50" s="381"/>
    </row>
    <row r="51" spans="1:28" ht="19.5" thickBot="1">
      <c r="A51" s="362" t="s">
        <v>312</v>
      </c>
      <c r="B51" s="368">
        <f>様式１!K19</f>
        <v>0</v>
      </c>
      <c r="C51" s="369">
        <f>様式１!K20</f>
        <v>0</v>
      </c>
      <c r="D51" s="966"/>
      <c r="E51" s="368">
        <f>様式１!S19</f>
        <v>0</v>
      </c>
      <c r="F51" s="369">
        <f>様式１!S20</f>
        <v>0</v>
      </c>
      <c r="G51" s="966"/>
      <c r="H51" s="378"/>
      <c r="I51" s="380"/>
      <c r="J51" s="380"/>
      <c r="K51" s="380"/>
      <c r="L51" s="380"/>
      <c r="M51" s="380"/>
      <c r="N51" s="386"/>
      <c r="O51" s="964"/>
      <c r="P51" s="964"/>
      <c r="Q51" s="381"/>
      <c r="R51" s="386"/>
      <c r="S51" s="964"/>
      <c r="T51" s="964"/>
      <c r="U51" s="381"/>
      <c r="V51" s="386"/>
      <c r="W51" s="964"/>
      <c r="X51" s="964"/>
      <c r="Y51" s="381"/>
      <c r="Z51" s="964"/>
      <c r="AA51" s="964"/>
      <c r="AB51" s="381"/>
    </row>
    <row r="52" spans="1:28">
      <c r="A52" s="955" t="str">
        <f>I52</f>
        <v>9月</v>
      </c>
      <c r="B52" s="958" t="s">
        <v>303</v>
      </c>
      <c r="C52" s="958"/>
      <c r="D52" s="958"/>
      <c r="E52" s="958" t="s">
        <v>304</v>
      </c>
      <c r="F52" s="958"/>
      <c r="G52" s="958"/>
      <c r="H52" s="959" t="s">
        <v>305</v>
      </c>
      <c r="I52" s="379" t="str">
        <f>加算等適用状況!A19</f>
        <v>9月</v>
      </c>
      <c r="J52" s="379" t="str">
        <f>加算等適用状況!G19</f>
        <v/>
      </c>
      <c r="K52" s="379" t="str">
        <f>加算等適用状況!H19</f>
        <v/>
      </c>
      <c r="L52" s="379" t="str">
        <f>加算等適用状況!I19</f>
        <v/>
      </c>
      <c r="M52" s="379" t="str">
        <f>加算等適用状況!J19</f>
        <v/>
      </c>
      <c r="N52" s="386"/>
      <c r="O52" s="379" t="s">
        <v>296</v>
      </c>
      <c r="P52" s="379" t="s">
        <v>297</v>
      </c>
      <c r="Q52" s="379" t="s">
        <v>138</v>
      </c>
      <c r="R52" s="386"/>
      <c r="S52" s="379" t="s">
        <v>296</v>
      </c>
      <c r="T52" s="379" t="s">
        <v>297</v>
      </c>
      <c r="U52" s="379" t="s">
        <v>138</v>
      </c>
      <c r="V52" s="386"/>
      <c r="W52" s="379" t="s">
        <v>296</v>
      </c>
      <c r="X52" s="379" t="s">
        <v>297</v>
      </c>
      <c r="Y52" s="379" t="s">
        <v>138</v>
      </c>
      <c r="Z52" s="379" t="s">
        <v>296</v>
      </c>
      <c r="AA52" s="379" t="s">
        <v>297</v>
      </c>
      <c r="AB52" s="379" t="s">
        <v>138</v>
      </c>
    </row>
    <row r="53" spans="1:28">
      <c r="A53" s="956"/>
      <c r="B53" s="961" t="s">
        <v>313</v>
      </c>
      <c r="C53" s="962"/>
      <c r="D53" s="359" t="s">
        <v>314</v>
      </c>
      <c r="E53" s="961" t="s">
        <v>313</v>
      </c>
      <c r="F53" s="962"/>
      <c r="G53" s="359" t="s">
        <v>314</v>
      </c>
      <c r="H53" s="960"/>
      <c r="I53" s="380"/>
      <c r="J53" s="380"/>
      <c r="K53" s="380"/>
      <c r="L53" s="380"/>
      <c r="M53" s="380"/>
      <c r="N53" s="386"/>
      <c r="O53" s="380"/>
      <c r="P53" s="380"/>
      <c r="Q53" s="380"/>
      <c r="R53" s="386"/>
      <c r="S53" s="380"/>
      <c r="T53" s="380"/>
      <c r="U53" s="380"/>
      <c r="V53" s="386"/>
      <c r="W53" s="380"/>
      <c r="X53" s="380"/>
      <c r="Y53" s="380"/>
      <c r="Z53" s="380"/>
      <c r="AA53" s="380"/>
      <c r="AB53" s="380"/>
    </row>
    <row r="54" spans="1:28" ht="19.5">
      <c r="A54" s="957"/>
      <c r="B54" s="363" t="s">
        <v>70</v>
      </c>
      <c r="C54" s="364" t="s">
        <v>315</v>
      </c>
      <c r="D54" s="393">
        <f>ROUND(SUM(D55:D61),0)</f>
        <v>0</v>
      </c>
      <c r="E54" s="363" t="s">
        <v>70</v>
      </c>
      <c r="F54" s="364" t="s">
        <v>315</v>
      </c>
      <c r="G54" s="393">
        <f>ROUND(SUM(G55:G61),0)</f>
        <v>0</v>
      </c>
      <c r="H54" s="392">
        <f>SUM(D54,G54)</f>
        <v>0</v>
      </c>
      <c r="I54" s="380"/>
      <c r="J54" s="380"/>
      <c r="K54" s="380"/>
      <c r="L54" s="380"/>
      <c r="M54" s="380"/>
      <c r="N54" s="386"/>
      <c r="O54" s="382">
        <f>ROUND(SUM(O55:O61),0)</f>
        <v>0</v>
      </c>
      <c r="P54" s="382">
        <f>ROUND(SUM(P55:P61),0)</f>
        <v>0</v>
      </c>
      <c r="Q54" s="391">
        <f>SUM(O54,P54)</f>
        <v>0</v>
      </c>
      <c r="R54" s="386"/>
      <c r="S54" s="382">
        <f>ROUND(SUM(S55:S61),0)</f>
        <v>0</v>
      </c>
      <c r="T54" s="382">
        <f>ROUND(SUM(T55:T61),0)</f>
        <v>0</v>
      </c>
      <c r="U54" s="391">
        <f>SUM(S54,T54)</f>
        <v>0</v>
      </c>
      <c r="V54" s="386"/>
      <c r="W54" s="382">
        <f>ROUND(SUM(W55:W61),0)</f>
        <v>0</v>
      </c>
      <c r="X54" s="382">
        <f>ROUND(SUM(X55:X61),0)</f>
        <v>0</v>
      </c>
      <c r="Y54" s="391">
        <f>SUM(W54,X54)</f>
        <v>0</v>
      </c>
      <c r="Z54" s="382">
        <f>ROUND(SUM(Z55:Z61),0)</f>
        <v>0</v>
      </c>
      <c r="AA54" s="382">
        <f>ROUND(SUM(AA55:AA61),0)</f>
        <v>0</v>
      </c>
      <c r="AB54" s="391">
        <f>SUM(Z54,AA54)</f>
        <v>0</v>
      </c>
    </row>
    <row r="55" spans="1:28">
      <c r="A55" s="360" t="s">
        <v>306</v>
      </c>
      <c r="B55" s="370"/>
      <c r="C55" s="372">
        <f>様式１!E24</f>
        <v>0</v>
      </c>
      <c r="D55" s="373">
        <f>ROUNDDOWN(C55/3,1)</f>
        <v>0</v>
      </c>
      <c r="E55" s="370"/>
      <c r="F55" s="372">
        <f>様式１!M24</f>
        <v>0</v>
      </c>
      <c r="G55" s="373">
        <f>ROUNDDOWN(F55/3,1)</f>
        <v>0</v>
      </c>
      <c r="H55" s="376"/>
      <c r="I55" s="380"/>
      <c r="J55" s="380"/>
      <c r="K55" s="380"/>
      <c r="L55" s="380"/>
      <c r="M55" s="380"/>
      <c r="N55" s="386"/>
      <c r="O55" s="381"/>
      <c r="P55" s="381"/>
      <c r="Q55" s="381"/>
      <c r="R55" s="386"/>
      <c r="S55" s="382">
        <f>D55</f>
        <v>0</v>
      </c>
      <c r="T55" s="382">
        <f>G55</f>
        <v>0</v>
      </c>
      <c r="U55" s="381"/>
      <c r="V55" s="386"/>
      <c r="W55" s="382">
        <f>D55</f>
        <v>0</v>
      </c>
      <c r="X55" s="382">
        <f>G55</f>
        <v>0</v>
      </c>
      <c r="Y55" s="381"/>
      <c r="Z55" s="382">
        <f>D55</f>
        <v>0</v>
      </c>
      <c r="AA55" s="382">
        <f>G55</f>
        <v>0</v>
      </c>
      <c r="AB55" s="381"/>
    </row>
    <row r="56" spans="1:28">
      <c r="A56" s="361" t="s">
        <v>307</v>
      </c>
      <c r="B56" s="371"/>
      <c r="C56" s="367">
        <f>様式１!F24</f>
        <v>0</v>
      </c>
      <c r="D56" s="374">
        <f>ROUNDDOWN(C56/5,1)</f>
        <v>0</v>
      </c>
      <c r="E56" s="371"/>
      <c r="F56" s="367">
        <f>様式１!N24</f>
        <v>0</v>
      </c>
      <c r="G56" s="374">
        <f>ROUNDDOWN(F56/5,1)</f>
        <v>0</v>
      </c>
      <c r="H56" s="377"/>
      <c r="I56" s="380"/>
      <c r="J56" s="380"/>
      <c r="K56" s="380"/>
      <c r="L56" s="380"/>
      <c r="M56" s="380"/>
      <c r="N56" s="386"/>
      <c r="O56" s="381"/>
      <c r="P56" s="381"/>
      <c r="Q56" s="381"/>
      <c r="R56" s="386"/>
      <c r="S56" s="382">
        <f>D56</f>
        <v>0</v>
      </c>
      <c r="T56" s="382">
        <f>G56</f>
        <v>0</v>
      </c>
      <c r="U56" s="381"/>
      <c r="V56" s="386"/>
      <c r="W56" s="963">
        <f>IF(L52="○",ROUNDDOWN(C56/5,1)+ROUNDDOWN(C57/6,1),ROUNDDOWN(SUM(C56:C57)/6,1))</f>
        <v>0</v>
      </c>
      <c r="X56" s="963">
        <f>IF(L52="○",ROUNDDOWN(F56/5,1)+ROUNDDOWN(F57/6,1),ROUNDDOWN(SUM(F56:F57)/6,1))</f>
        <v>0</v>
      </c>
      <c r="Y56" s="381"/>
      <c r="Z56" s="963">
        <f>ROUNDDOWN(SUM(C56:C57)/6,1)</f>
        <v>0</v>
      </c>
      <c r="AA56" s="963">
        <f>ROUNDDOWN(SUM(F56:F57)/6,1)</f>
        <v>0</v>
      </c>
      <c r="AB56" s="381"/>
    </row>
    <row r="57" spans="1:28">
      <c r="A57" s="361" t="s">
        <v>308</v>
      </c>
      <c r="B57" s="371"/>
      <c r="C57" s="367">
        <f>様式１!G24</f>
        <v>0</v>
      </c>
      <c r="D57" s="374">
        <f>ROUNDDOWN(C57/6,1)</f>
        <v>0</v>
      </c>
      <c r="E57" s="371"/>
      <c r="F57" s="367">
        <f>様式１!O24</f>
        <v>0</v>
      </c>
      <c r="G57" s="374">
        <f>ROUNDDOWN(F57/6,1)</f>
        <v>0</v>
      </c>
      <c r="H57" s="377"/>
      <c r="I57" s="380"/>
      <c r="J57" s="380"/>
      <c r="K57" s="380"/>
      <c r="L57" s="380"/>
      <c r="M57" s="380"/>
      <c r="N57" s="386"/>
      <c r="O57" s="381"/>
      <c r="P57" s="381"/>
      <c r="Q57" s="381"/>
      <c r="R57" s="386"/>
      <c r="S57" s="382">
        <f>D57</f>
        <v>0</v>
      </c>
      <c r="T57" s="382">
        <f>G57</f>
        <v>0</v>
      </c>
      <c r="U57" s="381"/>
      <c r="V57" s="386"/>
      <c r="W57" s="964"/>
      <c r="X57" s="964"/>
      <c r="Y57" s="381"/>
      <c r="Z57" s="964"/>
      <c r="AA57" s="964"/>
      <c r="AB57" s="381"/>
    </row>
    <row r="58" spans="1:28">
      <c r="A58" s="361" t="s">
        <v>309</v>
      </c>
      <c r="B58" s="365">
        <f>様式１!H22</f>
        <v>0</v>
      </c>
      <c r="C58" s="366"/>
      <c r="D58" s="374">
        <f>IF($M52="○",ROUNDDOWN(B58/6,1),IF($K52="○",ROUNDDOWN(B58/15,1),ROUNDDOWN(B58/20,1)))</f>
        <v>0</v>
      </c>
      <c r="E58" s="365">
        <f>様式１!P22</f>
        <v>0</v>
      </c>
      <c r="F58" s="366"/>
      <c r="G58" s="374">
        <f>IF($M52="○",ROUNDDOWN(E58/6,1),IF($K52="○",ROUNDDOWN(E58/15,1),ROUNDDOWN(E58/20,1)))</f>
        <v>0</v>
      </c>
      <c r="H58" s="377"/>
      <c r="I58" s="380"/>
      <c r="J58" s="380"/>
      <c r="K58" s="380"/>
      <c r="L58" s="380"/>
      <c r="M58" s="380"/>
      <c r="N58" s="386"/>
      <c r="O58" s="382">
        <f>D58</f>
        <v>0</v>
      </c>
      <c r="P58" s="382">
        <f>G58</f>
        <v>0</v>
      </c>
      <c r="Q58" s="381"/>
      <c r="R58" s="386"/>
      <c r="S58" s="382">
        <f>IF($M52="○",ROUNDDOWN(B58/6,1),ROUNDDOWN(B58/15,1))</f>
        <v>0</v>
      </c>
      <c r="T58" s="382">
        <f>IF($M52="○",ROUNDDOWN(E58/6,1),ROUNDDOWN(E58/15,1))</f>
        <v>0</v>
      </c>
      <c r="U58" s="381"/>
      <c r="V58" s="386"/>
      <c r="W58" s="382">
        <f>D58</f>
        <v>0</v>
      </c>
      <c r="X58" s="382">
        <f>G58</f>
        <v>0</v>
      </c>
      <c r="Y58" s="381"/>
      <c r="Z58" s="382">
        <f>ROUNDDOWN(B58/20,1)</f>
        <v>0</v>
      </c>
      <c r="AA58" s="382">
        <f>ROUNDDOWN(E58/20,1)</f>
        <v>0</v>
      </c>
      <c r="AB58" s="381"/>
    </row>
    <row r="59" spans="1:28">
      <c r="A59" s="361" t="s">
        <v>310</v>
      </c>
      <c r="B59" s="365">
        <f>様式１!I22</f>
        <v>0</v>
      </c>
      <c r="C59" s="367">
        <f>様式１!I23</f>
        <v>0</v>
      </c>
      <c r="D59" s="374">
        <f>IF($K52="○",ROUNDDOWN((B59+C59)/15,1),ROUNDDOWN(B59/20,1)+ROUNDDOWN(C59/15,1))</f>
        <v>0</v>
      </c>
      <c r="E59" s="365">
        <f>様式１!Q22</f>
        <v>0</v>
      </c>
      <c r="F59" s="367">
        <f>様式１!Q23</f>
        <v>0</v>
      </c>
      <c r="G59" s="374">
        <f>IF($K52="○",ROUNDDOWN((E59+F59)/15,1),ROUNDDOWN(E59/20,1)+ROUNDDOWN(F59/15,1))</f>
        <v>0</v>
      </c>
      <c r="H59" s="377"/>
      <c r="I59" s="380"/>
      <c r="J59" s="380"/>
      <c r="K59" s="380"/>
      <c r="L59" s="380"/>
      <c r="M59" s="380"/>
      <c r="N59" s="386"/>
      <c r="O59" s="382">
        <f>IF($K52="○",ROUNDDOWN(B59/15,1),ROUNDDOWN(B59/20,1))</f>
        <v>0</v>
      </c>
      <c r="P59" s="382">
        <f>IF($K52="○",ROUNDDOWN(E59/15,1),ROUNDDOWN(E59/20,1))</f>
        <v>0</v>
      </c>
      <c r="Q59" s="381"/>
      <c r="R59" s="386"/>
      <c r="S59" s="382">
        <f>ROUNDDOWN((B59+C59)/15,1)</f>
        <v>0</v>
      </c>
      <c r="T59" s="382">
        <f>ROUNDDOWN((E59+F59)/15,1)</f>
        <v>0</v>
      </c>
      <c r="U59" s="381"/>
      <c r="V59" s="386"/>
      <c r="W59" s="382">
        <f>IF(K52="○",ROUNDDOWN(SUM(B59:C59)/15,1),ROUNDDOWN(SUM(B59:C59)/20,1))</f>
        <v>0</v>
      </c>
      <c r="X59" s="382">
        <f>IF(K52="○",ROUNDDOWN(SUM(E59:F59)/15,1),ROUNDDOWN(SUM(E59:F59)/20,1))</f>
        <v>0</v>
      </c>
      <c r="Y59" s="381"/>
      <c r="Z59" s="382">
        <f>ROUNDDOWN(SUM(B59:C59)/20,1)</f>
        <v>0</v>
      </c>
      <c r="AA59" s="382">
        <f>ROUNDDOWN(SUM(E59:F59)/20,1)</f>
        <v>0</v>
      </c>
      <c r="AB59" s="381"/>
    </row>
    <row r="60" spans="1:28">
      <c r="A60" s="361" t="s">
        <v>311</v>
      </c>
      <c r="B60" s="365">
        <f>様式１!J22</f>
        <v>0</v>
      </c>
      <c r="C60" s="367">
        <f>様式１!J23</f>
        <v>0</v>
      </c>
      <c r="D60" s="965">
        <f>IF($J52="○",ROUNDDOWN(SUM(B60,B61,C61)/25,1)+ROUNDDOWN(C60/20,1),ROUNDDOWN(SUM(B60,B61)/30,1)+ROUNDDOWN(C60/20,1)+ROUNDDOWN(C61/25,1))</f>
        <v>0</v>
      </c>
      <c r="E60" s="365">
        <f>様式１!R22</f>
        <v>0</v>
      </c>
      <c r="F60" s="367">
        <f>様式１!R23</f>
        <v>0</v>
      </c>
      <c r="G60" s="965">
        <f>IF($J52="○",ROUNDDOWN(SUM(E60,E61,F61)/25,1)+ROUNDDOWN(F60/20,1),ROUNDDOWN(SUM(E60,E61)/30,1)+ROUNDDOWN(F60/20,1)+ROUNDDOWN(F61/25,1))</f>
        <v>0</v>
      </c>
      <c r="H60" s="377"/>
      <c r="I60" s="380"/>
      <c r="J60" s="380"/>
      <c r="K60" s="380"/>
      <c r="L60" s="380"/>
      <c r="M60" s="380"/>
      <c r="N60" s="386"/>
      <c r="O60" s="382">
        <f>IF($J52="○",ROUNDDOWN(B60/25,1),ROUNDDOWN(B60/30,1))</f>
        <v>0</v>
      </c>
      <c r="P60" s="382">
        <f>IF($J52="○",ROUNDDOWN(E60/25,1),ROUNDDOWN(E60/30,1))</f>
        <v>0</v>
      </c>
      <c r="Q60" s="381"/>
      <c r="R60" s="386"/>
      <c r="S60" s="382">
        <f>ROUNDDOWN(B60/25,1)+ROUNDDOWN(C60/20,1)</f>
        <v>0</v>
      </c>
      <c r="T60" s="382">
        <f>ROUNDDOWN(E60/25,1)+ROUNDDOWN(F60/20,1)</f>
        <v>0</v>
      </c>
      <c r="U60" s="381"/>
      <c r="V60" s="386"/>
      <c r="W60" s="963">
        <f>IF(J52="○",ROUNDDOWN(SUM(B60:C61)/25,1),ROUNDDOWN(SUM(B60:C61)/30,1))</f>
        <v>0</v>
      </c>
      <c r="X60" s="963">
        <f>IF(J52="○",ROUNDDOWN(SUM(E60:F61)/25,1),ROUNDDOWN(SUM(E60:F61)/30,1))</f>
        <v>0</v>
      </c>
      <c r="Y60" s="381"/>
      <c r="Z60" s="963">
        <f>ROUNDDOWN(SUM(B60:C61)/30,1)</f>
        <v>0</v>
      </c>
      <c r="AA60" s="963">
        <f>ROUNDDOWN(SUM(E60:F61)/30,1)</f>
        <v>0</v>
      </c>
      <c r="AB60" s="381"/>
    </row>
    <row r="61" spans="1:28" ht="19.5" thickBot="1">
      <c r="A61" s="362" t="s">
        <v>312</v>
      </c>
      <c r="B61" s="368">
        <f>様式１!K22</f>
        <v>0</v>
      </c>
      <c r="C61" s="369">
        <f>様式１!K23</f>
        <v>0</v>
      </c>
      <c r="D61" s="966"/>
      <c r="E61" s="368">
        <f>様式１!S22</f>
        <v>0</v>
      </c>
      <c r="F61" s="369">
        <f>様式１!S23</f>
        <v>0</v>
      </c>
      <c r="G61" s="966"/>
      <c r="H61" s="378"/>
      <c r="I61" s="380"/>
      <c r="J61" s="380"/>
      <c r="K61" s="380"/>
      <c r="L61" s="380"/>
      <c r="M61" s="380"/>
      <c r="N61" s="386"/>
      <c r="O61" s="382">
        <f>IF($J52="○",ROUNDDOWN(B61/25,1),ROUNDDOWN(B61/30,1))</f>
        <v>0</v>
      </c>
      <c r="P61" s="382">
        <f>IF($J52="○",ROUNDDOWN(E61/25,1),ROUNDDOWN(E61/30,1))</f>
        <v>0</v>
      </c>
      <c r="Q61" s="381"/>
      <c r="R61" s="386"/>
      <c r="S61" s="382">
        <f>ROUNDDOWN((B61+C61)/25,1)</f>
        <v>0</v>
      </c>
      <c r="T61" s="382">
        <f>ROUNDDOWN((E61+F61)/25,1)</f>
        <v>0</v>
      </c>
      <c r="U61" s="381"/>
      <c r="V61" s="386"/>
      <c r="W61" s="964"/>
      <c r="X61" s="964"/>
      <c r="Y61" s="381"/>
      <c r="Z61" s="964"/>
      <c r="AA61" s="964"/>
      <c r="AB61" s="381"/>
    </row>
    <row r="62" spans="1:28">
      <c r="A62" s="955" t="str">
        <f>I62</f>
        <v>10月</v>
      </c>
      <c r="B62" s="958" t="s">
        <v>303</v>
      </c>
      <c r="C62" s="958"/>
      <c r="D62" s="958"/>
      <c r="E62" s="958" t="s">
        <v>304</v>
      </c>
      <c r="F62" s="958"/>
      <c r="G62" s="958"/>
      <c r="H62" s="959" t="s">
        <v>305</v>
      </c>
      <c r="I62" s="379" t="str">
        <f>加算等適用状況!A20</f>
        <v>10月</v>
      </c>
      <c r="J62" s="379" t="str">
        <f>加算等適用状況!G20</f>
        <v/>
      </c>
      <c r="K62" s="379" t="str">
        <f>加算等適用状況!H20</f>
        <v/>
      </c>
      <c r="L62" s="379" t="str">
        <f>加算等適用状況!I20</f>
        <v/>
      </c>
      <c r="M62" s="379" t="str">
        <f>加算等適用状況!J20</f>
        <v/>
      </c>
      <c r="N62" s="386"/>
      <c r="O62" s="379" t="s">
        <v>296</v>
      </c>
      <c r="P62" s="379" t="s">
        <v>297</v>
      </c>
      <c r="Q62" s="379" t="s">
        <v>138</v>
      </c>
      <c r="R62" s="386"/>
      <c r="S62" s="379" t="s">
        <v>296</v>
      </c>
      <c r="T62" s="379" t="s">
        <v>297</v>
      </c>
      <c r="U62" s="379" t="s">
        <v>138</v>
      </c>
      <c r="V62" s="386"/>
      <c r="W62" s="379" t="s">
        <v>296</v>
      </c>
      <c r="X62" s="379" t="s">
        <v>297</v>
      </c>
      <c r="Y62" s="379" t="s">
        <v>138</v>
      </c>
      <c r="Z62" s="379" t="s">
        <v>296</v>
      </c>
      <c r="AA62" s="379" t="s">
        <v>297</v>
      </c>
      <c r="AB62" s="379" t="s">
        <v>138</v>
      </c>
    </row>
    <row r="63" spans="1:28">
      <c r="A63" s="956"/>
      <c r="B63" s="961" t="s">
        <v>313</v>
      </c>
      <c r="C63" s="962"/>
      <c r="D63" s="359" t="s">
        <v>314</v>
      </c>
      <c r="E63" s="961" t="s">
        <v>313</v>
      </c>
      <c r="F63" s="962"/>
      <c r="G63" s="359" t="s">
        <v>314</v>
      </c>
      <c r="H63" s="960"/>
      <c r="I63" s="380"/>
      <c r="J63" s="380"/>
      <c r="K63" s="380"/>
      <c r="L63" s="380"/>
      <c r="M63" s="380"/>
      <c r="N63" s="386"/>
      <c r="O63" s="380"/>
      <c r="P63" s="380"/>
      <c r="Q63" s="380"/>
      <c r="R63" s="386"/>
      <c r="S63" s="380"/>
      <c r="T63" s="380"/>
      <c r="U63" s="380"/>
      <c r="V63" s="386"/>
      <c r="W63" s="380"/>
      <c r="X63" s="380"/>
      <c r="Y63" s="380"/>
      <c r="Z63" s="380"/>
      <c r="AA63" s="380"/>
      <c r="AB63" s="380"/>
    </row>
    <row r="64" spans="1:28" ht="19.5">
      <c r="A64" s="957"/>
      <c r="B64" s="363" t="s">
        <v>70</v>
      </c>
      <c r="C64" s="364" t="s">
        <v>315</v>
      </c>
      <c r="D64" s="393">
        <f>ROUND(SUM(D65:D71),0)</f>
        <v>0</v>
      </c>
      <c r="E64" s="363" t="s">
        <v>70</v>
      </c>
      <c r="F64" s="364" t="s">
        <v>315</v>
      </c>
      <c r="G64" s="393">
        <f>ROUND(SUM(G65:G71),0)</f>
        <v>0</v>
      </c>
      <c r="H64" s="392">
        <f>SUM(D64,G64)</f>
        <v>0</v>
      </c>
      <c r="I64" s="380"/>
      <c r="J64" s="380"/>
      <c r="K64" s="380"/>
      <c r="L64" s="380"/>
      <c r="M64" s="380"/>
      <c r="N64" s="386"/>
      <c r="O64" s="382">
        <f>ROUND(SUM(O65:O71),0)</f>
        <v>0</v>
      </c>
      <c r="P64" s="382">
        <f>ROUND(SUM(P65:P71),0)</f>
        <v>0</v>
      </c>
      <c r="Q64" s="391">
        <f>SUM(O64,P64)</f>
        <v>0</v>
      </c>
      <c r="R64" s="386"/>
      <c r="S64" s="382">
        <f>ROUND(SUM(S65:S71),0)</f>
        <v>0</v>
      </c>
      <c r="T64" s="382">
        <f>ROUND(SUM(T65:T71),0)</f>
        <v>0</v>
      </c>
      <c r="U64" s="391">
        <f>SUM(S64,T64)</f>
        <v>0</v>
      </c>
      <c r="V64" s="386"/>
      <c r="W64" s="382">
        <f>ROUND(SUM(W65:W71),0)</f>
        <v>0</v>
      </c>
      <c r="X64" s="382">
        <f>ROUND(SUM(X65:X71),0)</f>
        <v>0</v>
      </c>
      <c r="Y64" s="391">
        <f>SUM(W64,X64)</f>
        <v>0</v>
      </c>
      <c r="Z64" s="382">
        <f>ROUND(SUM(Z65:Z71),0)</f>
        <v>0</v>
      </c>
      <c r="AA64" s="382">
        <f>ROUND(SUM(AA65:AA71),0)</f>
        <v>0</v>
      </c>
      <c r="AB64" s="391">
        <f>SUM(Z64,AA64)</f>
        <v>0</v>
      </c>
    </row>
    <row r="65" spans="1:28">
      <c r="A65" s="360" t="s">
        <v>306</v>
      </c>
      <c r="B65" s="370"/>
      <c r="C65" s="372">
        <f>様式１!E27</f>
        <v>0</v>
      </c>
      <c r="D65" s="373">
        <f>ROUNDDOWN(C65/3,1)</f>
        <v>0</v>
      </c>
      <c r="E65" s="370"/>
      <c r="F65" s="372">
        <f>様式１!M27</f>
        <v>0</v>
      </c>
      <c r="G65" s="373">
        <f>ROUNDDOWN(F65/3,1)</f>
        <v>0</v>
      </c>
      <c r="H65" s="376"/>
      <c r="I65" s="380"/>
      <c r="J65" s="380"/>
      <c r="K65" s="380"/>
      <c r="L65" s="380"/>
      <c r="M65" s="380"/>
      <c r="N65" s="386"/>
      <c r="O65" s="381"/>
      <c r="P65" s="381"/>
      <c r="Q65" s="381"/>
      <c r="R65" s="386"/>
      <c r="S65" s="382">
        <f>D65</f>
        <v>0</v>
      </c>
      <c r="T65" s="382">
        <f>G65</f>
        <v>0</v>
      </c>
      <c r="U65" s="381"/>
      <c r="V65" s="386"/>
      <c r="W65" s="382">
        <f>D65</f>
        <v>0</v>
      </c>
      <c r="X65" s="382">
        <f>G65</f>
        <v>0</v>
      </c>
      <c r="Y65" s="381"/>
      <c r="Z65" s="382">
        <f>D65</f>
        <v>0</v>
      </c>
      <c r="AA65" s="382">
        <f>G65</f>
        <v>0</v>
      </c>
      <c r="AB65" s="381"/>
    </row>
    <row r="66" spans="1:28">
      <c r="A66" s="361" t="s">
        <v>307</v>
      </c>
      <c r="B66" s="371"/>
      <c r="C66" s="367">
        <f>様式１!F27</f>
        <v>0</v>
      </c>
      <c r="D66" s="374">
        <f>ROUNDDOWN(C66/5,1)</f>
        <v>0</v>
      </c>
      <c r="E66" s="371"/>
      <c r="F66" s="367">
        <f>様式１!N27</f>
        <v>0</v>
      </c>
      <c r="G66" s="374">
        <f>ROUNDDOWN(F66/5,1)</f>
        <v>0</v>
      </c>
      <c r="H66" s="377"/>
      <c r="I66" s="380"/>
      <c r="J66" s="380"/>
      <c r="K66" s="380"/>
      <c r="L66" s="380"/>
      <c r="M66" s="380"/>
      <c r="N66" s="386"/>
      <c r="O66" s="381"/>
      <c r="P66" s="381"/>
      <c r="Q66" s="381"/>
      <c r="R66" s="386"/>
      <c r="S66" s="382">
        <f>D66</f>
        <v>0</v>
      </c>
      <c r="T66" s="382">
        <f>G66</f>
        <v>0</v>
      </c>
      <c r="U66" s="381"/>
      <c r="V66" s="386"/>
      <c r="W66" s="963">
        <f>IF(L62="○",ROUNDDOWN(C66/5,1)+ROUNDDOWN(C67/6,1),ROUNDDOWN(SUM(C66:C67)/6,1))</f>
        <v>0</v>
      </c>
      <c r="X66" s="963">
        <f>IF(L62="○",ROUNDDOWN(F66/5,1)+ROUNDDOWN(F67/6,1),ROUNDDOWN(SUM(F66:F67)/6,1))</f>
        <v>0</v>
      </c>
      <c r="Y66" s="381"/>
      <c r="Z66" s="963">
        <f>ROUNDDOWN(SUM(C66:C67)/6,1)</f>
        <v>0</v>
      </c>
      <c r="AA66" s="963">
        <f>ROUNDDOWN(SUM(F66:F67)/6,1)</f>
        <v>0</v>
      </c>
      <c r="AB66" s="381"/>
    </row>
    <row r="67" spans="1:28">
      <c r="A67" s="361" t="s">
        <v>308</v>
      </c>
      <c r="B67" s="371"/>
      <c r="C67" s="367">
        <f>様式１!G27</f>
        <v>0</v>
      </c>
      <c r="D67" s="374">
        <f>ROUNDDOWN(C67/6,1)</f>
        <v>0</v>
      </c>
      <c r="E67" s="371"/>
      <c r="F67" s="367">
        <f>様式１!O27</f>
        <v>0</v>
      </c>
      <c r="G67" s="374">
        <f>ROUNDDOWN(F67/6,1)</f>
        <v>0</v>
      </c>
      <c r="H67" s="377"/>
      <c r="I67" s="380"/>
      <c r="J67" s="380"/>
      <c r="K67" s="380"/>
      <c r="L67" s="380"/>
      <c r="M67" s="380"/>
      <c r="N67" s="386"/>
      <c r="O67" s="381"/>
      <c r="P67" s="381"/>
      <c r="Q67" s="381"/>
      <c r="R67" s="386"/>
      <c r="S67" s="382">
        <f>D67</f>
        <v>0</v>
      </c>
      <c r="T67" s="382">
        <f>G67</f>
        <v>0</v>
      </c>
      <c r="U67" s="381"/>
      <c r="V67" s="386"/>
      <c r="W67" s="964"/>
      <c r="X67" s="964"/>
      <c r="Y67" s="381"/>
      <c r="Z67" s="964"/>
      <c r="AA67" s="964"/>
      <c r="AB67" s="381"/>
    </row>
    <row r="68" spans="1:28">
      <c r="A68" s="361" t="s">
        <v>309</v>
      </c>
      <c r="B68" s="365">
        <f>様式１!H25</f>
        <v>0</v>
      </c>
      <c r="C68" s="366"/>
      <c r="D68" s="374">
        <f>IF($M62="○",ROUNDDOWN(B68/6,1),IF($K62="○",ROUNDDOWN(B68/15,1),ROUNDDOWN(B68/20,1)))</f>
        <v>0</v>
      </c>
      <c r="E68" s="365">
        <f>様式１!P25</f>
        <v>0</v>
      </c>
      <c r="F68" s="366"/>
      <c r="G68" s="374">
        <f>IF($M62="○",ROUNDDOWN(E68/6,1),IF($K62="○",ROUNDDOWN(E68/15,1),ROUNDDOWN(E68/20,1)))</f>
        <v>0</v>
      </c>
      <c r="H68" s="377"/>
      <c r="I68" s="380"/>
      <c r="J68" s="380"/>
      <c r="K68" s="380"/>
      <c r="L68" s="380"/>
      <c r="M68" s="380"/>
      <c r="N68" s="386"/>
      <c r="O68" s="382">
        <f>D68</f>
        <v>0</v>
      </c>
      <c r="P68" s="382">
        <f>G68</f>
        <v>0</v>
      </c>
      <c r="Q68" s="381"/>
      <c r="R68" s="386"/>
      <c r="S68" s="382">
        <f>IF($M62="○",ROUNDDOWN(B68/6,1),ROUNDDOWN(B68/15,1))</f>
        <v>0</v>
      </c>
      <c r="T68" s="382">
        <f>IF($M62="○",ROUNDDOWN(E68/6,1),ROUNDDOWN(E68/15,1))</f>
        <v>0</v>
      </c>
      <c r="U68" s="381"/>
      <c r="V68" s="386"/>
      <c r="W68" s="382">
        <f>D68</f>
        <v>0</v>
      </c>
      <c r="X68" s="382">
        <f>G68</f>
        <v>0</v>
      </c>
      <c r="Y68" s="381"/>
      <c r="Z68" s="382">
        <f>ROUNDDOWN(B68/20,1)</f>
        <v>0</v>
      </c>
      <c r="AA68" s="382">
        <f>ROUNDDOWN(E68/20,1)</f>
        <v>0</v>
      </c>
      <c r="AB68" s="381"/>
    </row>
    <row r="69" spans="1:28">
      <c r="A69" s="361" t="s">
        <v>310</v>
      </c>
      <c r="B69" s="365">
        <f>様式１!I25</f>
        <v>0</v>
      </c>
      <c r="C69" s="367">
        <f>様式１!I26</f>
        <v>0</v>
      </c>
      <c r="D69" s="374">
        <f>IF($K62="○",ROUNDDOWN((B69+C69)/15,1),ROUNDDOWN(B69/20,1)+ROUNDDOWN(C69/15,1))</f>
        <v>0</v>
      </c>
      <c r="E69" s="365">
        <f>様式１!Q25</f>
        <v>0</v>
      </c>
      <c r="F69" s="367">
        <f>様式１!Q26</f>
        <v>0</v>
      </c>
      <c r="G69" s="374">
        <f>IF($K62="○",ROUNDDOWN((E69+F69)/15,1),ROUNDDOWN(E69/20,1)+ROUNDDOWN(F69/15,1))</f>
        <v>0</v>
      </c>
      <c r="H69" s="377"/>
      <c r="I69" s="380"/>
      <c r="J69" s="380"/>
      <c r="K69" s="380"/>
      <c r="L69" s="380"/>
      <c r="M69" s="380"/>
      <c r="N69" s="386"/>
      <c r="O69" s="382">
        <f>IF($K62="○",ROUNDDOWN(B69/15,1),ROUNDDOWN(B69/20,1))</f>
        <v>0</v>
      </c>
      <c r="P69" s="382">
        <f>IF($K62="○",ROUNDDOWN(E69/15,1),ROUNDDOWN(E69/20,1))</f>
        <v>0</v>
      </c>
      <c r="Q69" s="381"/>
      <c r="R69" s="386"/>
      <c r="S69" s="382">
        <f>ROUNDDOWN((B69+C69)/15,1)</f>
        <v>0</v>
      </c>
      <c r="T69" s="382">
        <f>ROUNDDOWN((E69+F69)/15,1)</f>
        <v>0</v>
      </c>
      <c r="U69" s="381"/>
      <c r="V69" s="386"/>
      <c r="W69" s="382">
        <f>IF(K62="○",ROUNDDOWN(SUM(B69:C69)/15,1),ROUNDDOWN(SUM(B69:C69)/20,1))</f>
        <v>0</v>
      </c>
      <c r="X69" s="382">
        <f>IF(K62="○",ROUNDDOWN(SUM(E69:F69)/15,1),ROUNDDOWN(SUM(E69:F69)/20,1))</f>
        <v>0</v>
      </c>
      <c r="Y69" s="381"/>
      <c r="Z69" s="382">
        <f>ROUNDDOWN(SUM(B69:C69)/20,1)</f>
        <v>0</v>
      </c>
      <c r="AA69" s="382">
        <f>ROUNDDOWN(SUM(E69:F69)/20,1)</f>
        <v>0</v>
      </c>
      <c r="AB69" s="381"/>
    </row>
    <row r="70" spans="1:28">
      <c r="A70" s="361" t="s">
        <v>311</v>
      </c>
      <c r="B70" s="365">
        <f>様式１!J25</f>
        <v>0</v>
      </c>
      <c r="C70" s="367">
        <f>様式１!J26</f>
        <v>0</v>
      </c>
      <c r="D70" s="965">
        <f>IF($J62="○",ROUNDDOWN(SUM(B70,B71,C71)/25,1)+ROUNDDOWN(C70/20,1),ROUNDDOWN(SUM(B70,B71)/30,1)+ROUNDDOWN(C70/20,1)+ROUNDDOWN(C71/25,1))</f>
        <v>0</v>
      </c>
      <c r="E70" s="365">
        <f>様式１!R25</f>
        <v>0</v>
      </c>
      <c r="F70" s="367">
        <f>様式１!R26</f>
        <v>0</v>
      </c>
      <c r="G70" s="965">
        <f>IF($J62="○",ROUNDDOWN(SUM(E70,E71,F71)/25,1)+ROUNDDOWN(F70/20,1),ROUNDDOWN(SUM(E70,E71)/30,1)+ROUNDDOWN(F70/20,1)+ROUNDDOWN(F71/25,1))</f>
        <v>0</v>
      </c>
      <c r="H70" s="377"/>
      <c r="I70" s="380"/>
      <c r="J70" s="380"/>
      <c r="K70" s="380"/>
      <c r="L70" s="380"/>
      <c r="M70" s="380"/>
      <c r="N70" s="386"/>
      <c r="O70" s="963">
        <f>IF($J62="○",ROUNDDOWN(SUM(B70,B71)/25,1),ROUNDDOWN(SUM(B70,B71)/30,1))</f>
        <v>0</v>
      </c>
      <c r="P70" s="963">
        <f>IF($J62="○",ROUNDDOWN(SUM(E70,E71)/25,1),ROUNDDOWN(SUM(E70,E71)/30,1))</f>
        <v>0</v>
      </c>
      <c r="Q70" s="381"/>
      <c r="R70" s="386"/>
      <c r="S70" s="963">
        <f>ROUNDDOWN(SUM(B70,B71,C71)/25,1)+ROUNDDOWN(C70/20,1)</f>
        <v>0</v>
      </c>
      <c r="T70" s="963">
        <f>ROUNDDOWN(SUM(E70,E71,F71)/25,1)+ROUNDDOWN(F70/20,1)</f>
        <v>0</v>
      </c>
      <c r="U70" s="381"/>
      <c r="V70" s="386"/>
      <c r="W70" s="963">
        <f>IF(J62="○",ROUNDDOWN(SUM(B70:C71)/25,1),ROUNDDOWN(SUM(B70:C71)/30,1))</f>
        <v>0</v>
      </c>
      <c r="X70" s="963">
        <f>IF(J62="○",ROUNDDOWN(SUM(E70:F71)/25,1),ROUNDDOWN(SUM(E70:F71)/30,1))</f>
        <v>0</v>
      </c>
      <c r="Y70" s="381"/>
      <c r="Z70" s="963">
        <f>ROUNDDOWN(SUM(B70:C71)/30,1)</f>
        <v>0</v>
      </c>
      <c r="AA70" s="963">
        <f>ROUNDDOWN(SUM(E70:F71)/30,1)</f>
        <v>0</v>
      </c>
      <c r="AB70" s="381"/>
    </row>
    <row r="71" spans="1:28" ht="19.5" thickBot="1">
      <c r="A71" s="362" t="s">
        <v>312</v>
      </c>
      <c r="B71" s="368">
        <f>様式１!K25</f>
        <v>0</v>
      </c>
      <c r="C71" s="369">
        <f>様式１!K26</f>
        <v>0</v>
      </c>
      <c r="D71" s="966"/>
      <c r="E71" s="368">
        <f>様式１!S25</f>
        <v>0</v>
      </c>
      <c r="F71" s="369">
        <f>様式１!S26</f>
        <v>0</v>
      </c>
      <c r="G71" s="966"/>
      <c r="H71" s="378"/>
      <c r="I71" s="380"/>
      <c r="J71" s="380"/>
      <c r="K71" s="380"/>
      <c r="L71" s="380"/>
      <c r="M71" s="380"/>
      <c r="N71" s="386"/>
      <c r="O71" s="964"/>
      <c r="P71" s="964"/>
      <c r="Q71" s="381"/>
      <c r="R71" s="386"/>
      <c r="S71" s="964"/>
      <c r="T71" s="964"/>
      <c r="U71" s="381"/>
      <c r="V71" s="386"/>
      <c r="W71" s="964"/>
      <c r="X71" s="964"/>
      <c r="Y71" s="381"/>
      <c r="Z71" s="964"/>
      <c r="AA71" s="964"/>
      <c r="AB71" s="381"/>
    </row>
    <row r="72" spans="1:28">
      <c r="A72" s="955" t="str">
        <f>I72</f>
        <v>11月</v>
      </c>
      <c r="B72" s="958" t="s">
        <v>303</v>
      </c>
      <c r="C72" s="958"/>
      <c r="D72" s="958"/>
      <c r="E72" s="958" t="s">
        <v>304</v>
      </c>
      <c r="F72" s="958"/>
      <c r="G72" s="958"/>
      <c r="H72" s="959" t="s">
        <v>305</v>
      </c>
      <c r="I72" s="379" t="str">
        <f>加算等適用状況!A21</f>
        <v>11月</v>
      </c>
      <c r="J72" s="379" t="str">
        <f>加算等適用状況!G21</f>
        <v/>
      </c>
      <c r="K72" s="379" t="str">
        <f>加算等適用状況!H21</f>
        <v/>
      </c>
      <c r="L72" s="379" t="str">
        <f>加算等適用状況!I21</f>
        <v/>
      </c>
      <c r="M72" s="379" t="str">
        <f>加算等適用状況!J21</f>
        <v/>
      </c>
      <c r="N72" s="386"/>
      <c r="O72" s="379" t="s">
        <v>296</v>
      </c>
      <c r="P72" s="379" t="s">
        <v>297</v>
      </c>
      <c r="Q72" s="379" t="s">
        <v>138</v>
      </c>
      <c r="R72" s="386"/>
      <c r="S72" s="379" t="s">
        <v>296</v>
      </c>
      <c r="T72" s="379" t="s">
        <v>297</v>
      </c>
      <c r="U72" s="379" t="s">
        <v>138</v>
      </c>
      <c r="V72" s="386"/>
      <c r="W72" s="379" t="s">
        <v>296</v>
      </c>
      <c r="X72" s="379" t="s">
        <v>297</v>
      </c>
      <c r="Y72" s="379" t="s">
        <v>138</v>
      </c>
      <c r="Z72" s="379" t="s">
        <v>296</v>
      </c>
      <c r="AA72" s="379" t="s">
        <v>297</v>
      </c>
      <c r="AB72" s="379" t="s">
        <v>138</v>
      </c>
    </row>
    <row r="73" spans="1:28">
      <c r="A73" s="956"/>
      <c r="B73" s="961" t="s">
        <v>313</v>
      </c>
      <c r="C73" s="962"/>
      <c r="D73" s="359" t="s">
        <v>314</v>
      </c>
      <c r="E73" s="961" t="s">
        <v>313</v>
      </c>
      <c r="F73" s="962"/>
      <c r="G73" s="359" t="s">
        <v>314</v>
      </c>
      <c r="H73" s="960"/>
      <c r="I73" s="380"/>
      <c r="J73" s="380"/>
      <c r="K73" s="380"/>
      <c r="L73" s="380"/>
      <c r="M73" s="380"/>
      <c r="N73" s="386"/>
      <c r="O73" s="380"/>
      <c r="P73" s="380"/>
      <c r="Q73" s="380"/>
      <c r="R73" s="386"/>
      <c r="S73" s="380"/>
      <c r="T73" s="380"/>
      <c r="U73" s="380"/>
      <c r="V73" s="386"/>
      <c r="W73" s="380"/>
      <c r="X73" s="380"/>
      <c r="Y73" s="380"/>
      <c r="Z73" s="380"/>
      <c r="AA73" s="380"/>
      <c r="AB73" s="380"/>
    </row>
    <row r="74" spans="1:28" ht="19.5">
      <c r="A74" s="957"/>
      <c r="B74" s="363" t="s">
        <v>70</v>
      </c>
      <c r="C74" s="364" t="s">
        <v>315</v>
      </c>
      <c r="D74" s="393">
        <f>ROUND(SUM(D75:D81),0)</f>
        <v>0</v>
      </c>
      <c r="E74" s="363" t="s">
        <v>70</v>
      </c>
      <c r="F74" s="364" t="s">
        <v>315</v>
      </c>
      <c r="G74" s="393">
        <f>ROUND(SUM(G75:G81),0)</f>
        <v>0</v>
      </c>
      <c r="H74" s="392">
        <f>SUM(D74,G74)</f>
        <v>0</v>
      </c>
      <c r="I74" s="380"/>
      <c r="J74" s="380"/>
      <c r="K74" s="380"/>
      <c r="L74" s="380"/>
      <c r="M74" s="380"/>
      <c r="N74" s="386"/>
      <c r="O74" s="382">
        <f>ROUND(SUM(O75:O81),0)</f>
        <v>0</v>
      </c>
      <c r="P74" s="382">
        <f>ROUND(SUM(P75:P81),0)</f>
        <v>0</v>
      </c>
      <c r="Q74" s="391">
        <f>SUM(O74,P74)</f>
        <v>0</v>
      </c>
      <c r="R74" s="386"/>
      <c r="S74" s="382">
        <f>ROUND(SUM(S75:S81),0)</f>
        <v>0</v>
      </c>
      <c r="T74" s="382">
        <f>ROUND(SUM(T75:T81),0)</f>
        <v>0</v>
      </c>
      <c r="U74" s="391">
        <f>SUM(S74,T74)</f>
        <v>0</v>
      </c>
      <c r="V74" s="386"/>
      <c r="W74" s="382">
        <f>ROUND(SUM(W75:W81),0)</f>
        <v>0</v>
      </c>
      <c r="X74" s="382">
        <f>ROUND(SUM(X75:X81),0)</f>
        <v>0</v>
      </c>
      <c r="Y74" s="391">
        <f>SUM(W74,X74)</f>
        <v>0</v>
      </c>
      <c r="Z74" s="382">
        <f>ROUND(SUM(Z75:Z81),0)</f>
        <v>0</v>
      </c>
      <c r="AA74" s="382">
        <f>ROUND(SUM(AA75:AA81),0)</f>
        <v>0</v>
      </c>
      <c r="AB74" s="391">
        <f>SUM(Z74,AA74)</f>
        <v>0</v>
      </c>
    </row>
    <row r="75" spans="1:28">
      <c r="A75" s="360" t="s">
        <v>306</v>
      </c>
      <c r="B75" s="370"/>
      <c r="C75" s="372">
        <f>様式１!E30</f>
        <v>0</v>
      </c>
      <c r="D75" s="373">
        <f>ROUNDDOWN(C75/3,1)</f>
        <v>0</v>
      </c>
      <c r="E75" s="370"/>
      <c r="F75" s="372">
        <f>様式１!M30</f>
        <v>0</v>
      </c>
      <c r="G75" s="373">
        <f>ROUNDDOWN(F75/3,1)</f>
        <v>0</v>
      </c>
      <c r="H75" s="376"/>
      <c r="I75" s="380"/>
      <c r="J75" s="380"/>
      <c r="K75" s="380"/>
      <c r="L75" s="380"/>
      <c r="M75" s="380"/>
      <c r="N75" s="386"/>
      <c r="O75" s="381"/>
      <c r="P75" s="381"/>
      <c r="Q75" s="381"/>
      <c r="R75" s="386"/>
      <c r="S75" s="382">
        <f>D75</f>
        <v>0</v>
      </c>
      <c r="T75" s="382">
        <f>G75</f>
        <v>0</v>
      </c>
      <c r="U75" s="381"/>
      <c r="V75" s="386"/>
      <c r="W75" s="382">
        <f>D75</f>
        <v>0</v>
      </c>
      <c r="X75" s="382">
        <f>G75</f>
        <v>0</v>
      </c>
      <c r="Y75" s="381"/>
      <c r="Z75" s="382">
        <f>D75</f>
        <v>0</v>
      </c>
      <c r="AA75" s="382">
        <f>G75</f>
        <v>0</v>
      </c>
      <c r="AB75" s="381"/>
    </row>
    <row r="76" spans="1:28">
      <c r="A76" s="361" t="s">
        <v>307</v>
      </c>
      <c r="B76" s="371"/>
      <c r="C76" s="367">
        <f>様式１!F30</f>
        <v>0</v>
      </c>
      <c r="D76" s="374">
        <f>ROUNDDOWN(C76/5,1)</f>
        <v>0</v>
      </c>
      <c r="E76" s="371"/>
      <c r="F76" s="367">
        <f>様式１!N30</f>
        <v>0</v>
      </c>
      <c r="G76" s="374">
        <f>ROUNDDOWN(F76/5,1)</f>
        <v>0</v>
      </c>
      <c r="H76" s="377"/>
      <c r="I76" s="380"/>
      <c r="J76" s="380"/>
      <c r="K76" s="380"/>
      <c r="L76" s="380"/>
      <c r="M76" s="380"/>
      <c r="N76" s="386"/>
      <c r="O76" s="381"/>
      <c r="P76" s="381"/>
      <c r="Q76" s="381"/>
      <c r="R76" s="386"/>
      <c r="S76" s="382">
        <f>D76</f>
        <v>0</v>
      </c>
      <c r="T76" s="382">
        <f>G76</f>
        <v>0</v>
      </c>
      <c r="U76" s="381"/>
      <c r="V76" s="386"/>
      <c r="W76" s="963">
        <f>IF(L72="○",ROUNDDOWN(C76/5,1)+ROUNDDOWN(C77/6,1),ROUNDDOWN(SUM(C76:C77)/6,1))</f>
        <v>0</v>
      </c>
      <c r="X76" s="963">
        <f>IF(L72="○",ROUNDDOWN(F76/5,1)+ROUNDDOWN(F77/6,1),ROUNDDOWN(SUM(F76:F77)/6,1))</f>
        <v>0</v>
      </c>
      <c r="Y76" s="381"/>
      <c r="Z76" s="963">
        <f>ROUNDDOWN(SUM(C76:C77)/6,1)</f>
        <v>0</v>
      </c>
      <c r="AA76" s="963">
        <f>ROUNDDOWN(SUM(F76:F77)/6,1)</f>
        <v>0</v>
      </c>
      <c r="AB76" s="381"/>
    </row>
    <row r="77" spans="1:28">
      <c r="A77" s="361" t="s">
        <v>308</v>
      </c>
      <c r="B77" s="371"/>
      <c r="C77" s="367">
        <f>様式１!G30</f>
        <v>0</v>
      </c>
      <c r="D77" s="374">
        <f>ROUNDDOWN(C77/6,1)</f>
        <v>0</v>
      </c>
      <c r="E77" s="371"/>
      <c r="F77" s="367">
        <f>様式１!O30</f>
        <v>0</v>
      </c>
      <c r="G77" s="374">
        <f>ROUNDDOWN(F77/6,1)</f>
        <v>0</v>
      </c>
      <c r="H77" s="377"/>
      <c r="I77" s="380"/>
      <c r="J77" s="380"/>
      <c r="K77" s="380"/>
      <c r="L77" s="380"/>
      <c r="M77" s="380"/>
      <c r="N77" s="386"/>
      <c r="O77" s="381"/>
      <c r="P77" s="381"/>
      <c r="Q77" s="381"/>
      <c r="R77" s="386"/>
      <c r="S77" s="382">
        <f>D77</f>
        <v>0</v>
      </c>
      <c r="T77" s="382">
        <f>G77</f>
        <v>0</v>
      </c>
      <c r="U77" s="381"/>
      <c r="V77" s="386"/>
      <c r="W77" s="964"/>
      <c r="X77" s="964"/>
      <c r="Y77" s="381"/>
      <c r="Z77" s="964"/>
      <c r="AA77" s="964"/>
      <c r="AB77" s="381"/>
    </row>
    <row r="78" spans="1:28">
      <c r="A78" s="361" t="s">
        <v>309</v>
      </c>
      <c r="B78" s="365">
        <f>様式１!H28</f>
        <v>0</v>
      </c>
      <c r="C78" s="366"/>
      <c r="D78" s="374">
        <f>IF($M72="○",ROUNDDOWN(B78/6,1),IF($K72="○",ROUNDDOWN(B78/15,1),ROUNDDOWN(B78/20,1)))</f>
        <v>0</v>
      </c>
      <c r="E78" s="365">
        <f>様式１!P28</f>
        <v>0</v>
      </c>
      <c r="F78" s="366"/>
      <c r="G78" s="374">
        <f>IF($M72="○",ROUNDDOWN(E78/6,1),IF($K72="○",ROUNDDOWN(E78/15,1),ROUNDDOWN(E78/20,1)))</f>
        <v>0</v>
      </c>
      <c r="H78" s="377"/>
      <c r="I78" s="380"/>
      <c r="J78" s="380"/>
      <c r="K78" s="380"/>
      <c r="L78" s="380"/>
      <c r="M78" s="380"/>
      <c r="N78" s="386"/>
      <c r="O78" s="382">
        <f>D78</f>
        <v>0</v>
      </c>
      <c r="P78" s="382">
        <f>G78</f>
        <v>0</v>
      </c>
      <c r="Q78" s="381"/>
      <c r="R78" s="386"/>
      <c r="S78" s="382">
        <f>IF($M72="○",ROUNDDOWN(B78/6,1),ROUNDDOWN(B78/15,1))</f>
        <v>0</v>
      </c>
      <c r="T78" s="382">
        <f>IF($M72="○",ROUNDDOWN(E78/6,1),ROUNDDOWN(E78/15,1))</f>
        <v>0</v>
      </c>
      <c r="U78" s="381"/>
      <c r="V78" s="386"/>
      <c r="W78" s="382">
        <f>D78</f>
        <v>0</v>
      </c>
      <c r="X78" s="382">
        <f>G78</f>
        <v>0</v>
      </c>
      <c r="Y78" s="381"/>
      <c r="Z78" s="382">
        <f>ROUNDDOWN(B78/20,1)</f>
        <v>0</v>
      </c>
      <c r="AA78" s="382">
        <f>ROUNDDOWN(E78/20,1)</f>
        <v>0</v>
      </c>
      <c r="AB78" s="381"/>
    </row>
    <row r="79" spans="1:28">
      <c r="A79" s="361" t="s">
        <v>310</v>
      </c>
      <c r="B79" s="365">
        <f>様式１!I28</f>
        <v>0</v>
      </c>
      <c r="C79" s="367">
        <f>様式１!I29</f>
        <v>0</v>
      </c>
      <c r="D79" s="374">
        <f>IF($K72="○",ROUNDDOWN((B79+C79)/15,1),ROUNDDOWN(B79/20,1)+ROUNDDOWN(C79/15,1))</f>
        <v>0</v>
      </c>
      <c r="E79" s="365">
        <f>様式１!Q28</f>
        <v>0</v>
      </c>
      <c r="F79" s="367">
        <f>様式１!Q29</f>
        <v>0</v>
      </c>
      <c r="G79" s="374">
        <f>IF($K72="○",ROUNDDOWN((E79+F79)/15,1),ROUNDDOWN(E79/20,1)+ROUNDDOWN(F79/15,1))</f>
        <v>0</v>
      </c>
      <c r="H79" s="377"/>
      <c r="I79" s="380"/>
      <c r="J79" s="380"/>
      <c r="K79" s="380"/>
      <c r="L79" s="380"/>
      <c r="M79" s="380"/>
      <c r="N79" s="386"/>
      <c r="O79" s="382">
        <f>IF($K72="○",ROUNDDOWN(B79/15,1),ROUNDDOWN(B79/20,1))</f>
        <v>0</v>
      </c>
      <c r="P79" s="382">
        <f>IF($K72="○",ROUNDDOWN(E79/15,1),ROUNDDOWN(E79/20,1))</f>
        <v>0</v>
      </c>
      <c r="Q79" s="381"/>
      <c r="R79" s="386"/>
      <c r="S79" s="382">
        <f>ROUNDDOWN((B79+C79)/15,1)</f>
        <v>0</v>
      </c>
      <c r="T79" s="382">
        <f>ROUNDDOWN((E79+F79)/15,1)</f>
        <v>0</v>
      </c>
      <c r="U79" s="381"/>
      <c r="V79" s="386"/>
      <c r="W79" s="382">
        <f>IF(K72="○",ROUNDDOWN(SUM(B79:C79)/15,1),ROUNDDOWN(SUM(B79:C79)/20,1))</f>
        <v>0</v>
      </c>
      <c r="X79" s="382">
        <f>IF(K72="○",ROUNDDOWN(SUM(E79:F79)/15,1),ROUNDDOWN(SUM(E79:F79)/20,1))</f>
        <v>0</v>
      </c>
      <c r="Y79" s="381"/>
      <c r="Z79" s="382">
        <f>ROUNDDOWN(SUM(B79:C79)/20,1)</f>
        <v>0</v>
      </c>
      <c r="AA79" s="382">
        <f>ROUNDDOWN(SUM(E79:F79)/20,1)</f>
        <v>0</v>
      </c>
      <c r="AB79" s="381"/>
    </row>
    <row r="80" spans="1:28">
      <c r="A80" s="361" t="s">
        <v>311</v>
      </c>
      <c r="B80" s="365">
        <f>様式１!J28</f>
        <v>0</v>
      </c>
      <c r="C80" s="367">
        <f>様式１!J29</f>
        <v>0</v>
      </c>
      <c r="D80" s="965">
        <f>IF($J72="○",ROUNDDOWN(SUM(B80,B81,C81)/25,1)+ROUNDDOWN(C80/20,1),ROUNDDOWN(SUM(B80,B81)/30,1)+ROUNDDOWN(C80/20,1)+ROUNDDOWN(C81/25,1))</f>
        <v>0</v>
      </c>
      <c r="E80" s="365">
        <f>様式１!R28</f>
        <v>0</v>
      </c>
      <c r="F80" s="367">
        <f>様式１!R29</f>
        <v>0</v>
      </c>
      <c r="G80" s="965">
        <f>IF($J72="○",ROUNDDOWN(SUM(E80,E81,F81)/25,1)+ROUNDDOWN(F80/20,1),ROUNDDOWN(SUM(E80,E81)/30,1)+ROUNDDOWN(F80/20,1)+ROUNDDOWN(F81/25,1))</f>
        <v>0</v>
      </c>
      <c r="H80" s="377"/>
      <c r="I80" s="380"/>
      <c r="J80" s="380"/>
      <c r="K80" s="380"/>
      <c r="L80" s="380"/>
      <c r="M80" s="380"/>
      <c r="N80" s="386"/>
      <c r="O80" s="963">
        <f>IF($J72="○",ROUNDDOWN(SUM(B80,B81)/25,1),ROUNDDOWN(SUM(B80,B81)/30,1))</f>
        <v>0</v>
      </c>
      <c r="P80" s="963">
        <f>IF($J72="○",ROUNDDOWN(SUM(E80,E81)/25,1),ROUNDDOWN(SUM(E80,E81)/30,1))</f>
        <v>0</v>
      </c>
      <c r="Q80" s="381"/>
      <c r="R80" s="386"/>
      <c r="S80" s="963">
        <f>ROUNDDOWN(SUM(B80,B81,C81)/25,1)+ROUNDDOWN(C80/20,1)</f>
        <v>0</v>
      </c>
      <c r="T80" s="963">
        <f>ROUNDDOWN(SUM(E80,E81,F81)/25,1)+ROUNDDOWN(F80/20,1)</f>
        <v>0</v>
      </c>
      <c r="U80" s="381"/>
      <c r="V80" s="386"/>
      <c r="W80" s="963">
        <f>IF(J72="○",ROUNDDOWN(SUM(B80:C81)/25,1),ROUNDDOWN(SUM(B80:C81)/30,1))</f>
        <v>0</v>
      </c>
      <c r="X80" s="963">
        <f>IF(J72="○",ROUNDDOWN(SUM(E80:F81)/25,1),ROUNDDOWN(SUM(E80:F81)/30,1))</f>
        <v>0</v>
      </c>
      <c r="Y80" s="381"/>
      <c r="Z80" s="963">
        <f>ROUNDDOWN(SUM(B80:C81)/30,1)</f>
        <v>0</v>
      </c>
      <c r="AA80" s="963">
        <f>ROUNDDOWN(SUM(E80:F81)/30,1)</f>
        <v>0</v>
      </c>
      <c r="AB80" s="381"/>
    </row>
    <row r="81" spans="1:28" ht="19.5" thickBot="1">
      <c r="A81" s="362" t="s">
        <v>312</v>
      </c>
      <c r="B81" s="368">
        <f>様式１!K28</f>
        <v>0</v>
      </c>
      <c r="C81" s="369">
        <f>様式１!K29</f>
        <v>0</v>
      </c>
      <c r="D81" s="966"/>
      <c r="E81" s="368">
        <f>様式１!S28</f>
        <v>0</v>
      </c>
      <c r="F81" s="369">
        <f>様式１!S29</f>
        <v>0</v>
      </c>
      <c r="G81" s="966"/>
      <c r="H81" s="378"/>
      <c r="I81" s="380"/>
      <c r="J81" s="380"/>
      <c r="K81" s="380"/>
      <c r="L81" s="380"/>
      <c r="M81" s="380"/>
      <c r="N81" s="386"/>
      <c r="O81" s="964"/>
      <c r="P81" s="964"/>
      <c r="Q81" s="381"/>
      <c r="R81" s="386"/>
      <c r="S81" s="964"/>
      <c r="T81" s="964"/>
      <c r="U81" s="381"/>
      <c r="V81" s="386"/>
      <c r="W81" s="964"/>
      <c r="X81" s="964"/>
      <c r="Y81" s="381"/>
      <c r="Z81" s="964"/>
      <c r="AA81" s="964"/>
      <c r="AB81" s="381"/>
    </row>
    <row r="82" spans="1:28">
      <c r="A82" s="955" t="str">
        <f>I82</f>
        <v>12月</v>
      </c>
      <c r="B82" s="958" t="s">
        <v>303</v>
      </c>
      <c r="C82" s="958"/>
      <c r="D82" s="958"/>
      <c r="E82" s="958" t="s">
        <v>304</v>
      </c>
      <c r="F82" s="958"/>
      <c r="G82" s="958"/>
      <c r="H82" s="959" t="s">
        <v>305</v>
      </c>
      <c r="I82" s="379" t="str">
        <f>加算等適用状況!A22</f>
        <v>12月</v>
      </c>
      <c r="J82" s="379" t="str">
        <f>加算等適用状況!G22</f>
        <v/>
      </c>
      <c r="K82" s="379" t="str">
        <f>加算等適用状況!H22</f>
        <v/>
      </c>
      <c r="L82" s="379" t="str">
        <f>加算等適用状況!I22</f>
        <v/>
      </c>
      <c r="M82" s="379" t="str">
        <f>加算等適用状況!J22</f>
        <v/>
      </c>
      <c r="N82" s="386"/>
      <c r="O82" s="379" t="s">
        <v>296</v>
      </c>
      <c r="P82" s="379" t="s">
        <v>297</v>
      </c>
      <c r="Q82" s="379" t="s">
        <v>138</v>
      </c>
      <c r="R82" s="386"/>
      <c r="S82" s="379" t="s">
        <v>296</v>
      </c>
      <c r="T82" s="379" t="s">
        <v>297</v>
      </c>
      <c r="U82" s="379" t="s">
        <v>138</v>
      </c>
      <c r="V82" s="386"/>
      <c r="W82" s="379" t="s">
        <v>296</v>
      </c>
      <c r="X82" s="379" t="s">
        <v>297</v>
      </c>
      <c r="Y82" s="379" t="s">
        <v>138</v>
      </c>
      <c r="Z82" s="379" t="s">
        <v>296</v>
      </c>
      <c r="AA82" s="379" t="s">
        <v>297</v>
      </c>
      <c r="AB82" s="379" t="s">
        <v>138</v>
      </c>
    </row>
    <row r="83" spans="1:28">
      <c r="A83" s="956"/>
      <c r="B83" s="961" t="s">
        <v>313</v>
      </c>
      <c r="C83" s="962"/>
      <c r="D83" s="359" t="s">
        <v>314</v>
      </c>
      <c r="E83" s="961" t="s">
        <v>313</v>
      </c>
      <c r="F83" s="962"/>
      <c r="G83" s="359" t="s">
        <v>314</v>
      </c>
      <c r="H83" s="960"/>
      <c r="I83" s="380"/>
      <c r="J83" s="380"/>
      <c r="K83" s="380"/>
      <c r="L83" s="380"/>
      <c r="M83" s="380"/>
      <c r="N83" s="386"/>
      <c r="O83" s="380"/>
      <c r="P83" s="380"/>
      <c r="Q83" s="380"/>
      <c r="R83" s="386"/>
      <c r="S83" s="380"/>
      <c r="T83" s="380"/>
      <c r="U83" s="380"/>
      <c r="V83" s="386"/>
      <c r="W83" s="380"/>
      <c r="X83" s="380"/>
      <c r="Y83" s="380"/>
      <c r="Z83" s="380"/>
      <c r="AA83" s="380"/>
      <c r="AB83" s="380"/>
    </row>
    <row r="84" spans="1:28" ht="19.5">
      <c r="A84" s="957"/>
      <c r="B84" s="363" t="s">
        <v>70</v>
      </c>
      <c r="C84" s="364" t="s">
        <v>315</v>
      </c>
      <c r="D84" s="393">
        <f>ROUND(SUM(D85:D91),0)</f>
        <v>0</v>
      </c>
      <c r="E84" s="363" t="s">
        <v>70</v>
      </c>
      <c r="F84" s="364" t="s">
        <v>315</v>
      </c>
      <c r="G84" s="393">
        <f>ROUND(SUM(G85:G91),0)</f>
        <v>0</v>
      </c>
      <c r="H84" s="392">
        <f>SUM(D84,G84)</f>
        <v>0</v>
      </c>
      <c r="I84" s="380"/>
      <c r="J84" s="380"/>
      <c r="K84" s="380"/>
      <c r="L84" s="380"/>
      <c r="M84" s="380"/>
      <c r="N84" s="386"/>
      <c r="O84" s="382">
        <f>ROUND(SUM(O85:O91),0)</f>
        <v>0</v>
      </c>
      <c r="P84" s="382">
        <f>ROUND(SUM(P85:P91),0)</f>
        <v>0</v>
      </c>
      <c r="Q84" s="391">
        <f>SUM(O84,P84)</f>
        <v>0</v>
      </c>
      <c r="R84" s="386"/>
      <c r="S84" s="382">
        <f>ROUND(SUM(S85:S91),0)</f>
        <v>0</v>
      </c>
      <c r="T84" s="382">
        <f>ROUND(SUM(T85:T91),0)</f>
        <v>0</v>
      </c>
      <c r="U84" s="391">
        <f>SUM(S84,T84)</f>
        <v>0</v>
      </c>
      <c r="V84" s="386"/>
      <c r="W84" s="382">
        <f>ROUND(SUM(W85:W91),0)</f>
        <v>0</v>
      </c>
      <c r="X84" s="382">
        <f>ROUND(SUM(X85:X91),0)</f>
        <v>0</v>
      </c>
      <c r="Y84" s="391">
        <f>SUM(W84,X84)</f>
        <v>0</v>
      </c>
      <c r="Z84" s="382">
        <f>ROUND(SUM(Z85:Z91),0)</f>
        <v>0</v>
      </c>
      <c r="AA84" s="382">
        <f>ROUND(SUM(AA85:AA91),0)</f>
        <v>0</v>
      </c>
      <c r="AB84" s="391">
        <f>SUM(Z84,AA84)</f>
        <v>0</v>
      </c>
    </row>
    <row r="85" spans="1:28">
      <c r="A85" s="360" t="s">
        <v>306</v>
      </c>
      <c r="B85" s="370"/>
      <c r="C85" s="372">
        <f>様式１!E33</f>
        <v>0</v>
      </c>
      <c r="D85" s="373">
        <f>ROUNDDOWN(C85/3,1)</f>
        <v>0</v>
      </c>
      <c r="E85" s="370"/>
      <c r="F85" s="372">
        <f>様式１!M33</f>
        <v>0</v>
      </c>
      <c r="G85" s="373">
        <f>ROUNDDOWN(F85/3,1)</f>
        <v>0</v>
      </c>
      <c r="H85" s="376"/>
      <c r="I85" s="380"/>
      <c r="J85" s="380"/>
      <c r="K85" s="380"/>
      <c r="L85" s="380"/>
      <c r="M85" s="380"/>
      <c r="N85" s="386"/>
      <c r="O85" s="381"/>
      <c r="P85" s="381"/>
      <c r="Q85" s="381"/>
      <c r="R85" s="386"/>
      <c r="S85" s="382">
        <f>D85</f>
        <v>0</v>
      </c>
      <c r="T85" s="382">
        <f>G85</f>
        <v>0</v>
      </c>
      <c r="U85" s="381"/>
      <c r="V85" s="386"/>
      <c r="W85" s="382">
        <f>D85</f>
        <v>0</v>
      </c>
      <c r="X85" s="382">
        <f>G85</f>
        <v>0</v>
      </c>
      <c r="Y85" s="381"/>
      <c r="Z85" s="382">
        <f>D85</f>
        <v>0</v>
      </c>
      <c r="AA85" s="382">
        <f>G85</f>
        <v>0</v>
      </c>
      <c r="AB85" s="381"/>
    </row>
    <row r="86" spans="1:28">
      <c r="A86" s="361" t="s">
        <v>307</v>
      </c>
      <c r="B86" s="371"/>
      <c r="C86" s="367">
        <f>様式１!F33</f>
        <v>0</v>
      </c>
      <c r="D86" s="374">
        <f>ROUNDDOWN(C86/5,1)</f>
        <v>0</v>
      </c>
      <c r="E86" s="371"/>
      <c r="F86" s="367">
        <f>様式１!N33</f>
        <v>0</v>
      </c>
      <c r="G86" s="374">
        <f>ROUNDDOWN(F86/5,1)</f>
        <v>0</v>
      </c>
      <c r="H86" s="377"/>
      <c r="I86" s="380"/>
      <c r="J86" s="380"/>
      <c r="K86" s="380"/>
      <c r="L86" s="380"/>
      <c r="M86" s="380"/>
      <c r="N86" s="386"/>
      <c r="O86" s="381"/>
      <c r="P86" s="381"/>
      <c r="Q86" s="381"/>
      <c r="R86" s="386"/>
      <c r="S86" s="382">
        <f>D86</f>
        <v>0</v>
      </c>
      <c r="T86" s="382">
        <f>G86</f>
        <v>0</v>
      </c>
      <c r="U86" s="381"/>
      <c r="V86" s="386"/>
      <c r="W86" s="963">
        <f>IF(L82="○",ROUNDDOWN(C86/5,1)+ROUNDDOWN(C87/6,1),ROUNDDOWN(SUM(C86:C87)/6,1))</f>
        <v>0</v>
      </c>
      <c r="X86" s="963">
        <f>IF(L82="○",ROUNDDOWN(F86/5,1)+ROUNDDOWN(F87/6,1),ROUNDDOWN(SUM(F86:F87)/6,1))</f>
        <v>0</v>
      </c>
      <c r="Y86" s="381"/>
      <c r="Z86" s="963">
        <f>ROUNDDOWN(SUM(C86:C87)/6,1)</f>
        <v>0</v>
      </c>
      <c r="AA86" s="963">
        <f>ROUNDDOWN(SUM(F86:F87)/6,1)</f>
        <v>0</v>
      </c>
      <c r="AB86" s="381"/>
    </row>
    <row r="87" spans="1:28">
      <c r="A87" s="361" t="s">
        <v>308</v>
      </c>
      <c r="B87" s="371"/>
      <c r="C87" s="367">
        <f>様式１!G33</f>
        <v>0</v>
      </c>
      <c r="D87" s="374">
        <f>ROUNDDOWN(C87/6,1)</f>
        <v>0</v>
      </c>
      <c r="E87" s="371"/>
      <c r="F87" s="367">
        <f>様式１!O33</f>
        <v>0</v>
      </c>
      <c r="G87" s="374">
        <f>ROUNDDOWN(F87/6,1)</f>
        <v>0</v>
      </c>
      <c r="H87" s="377"/>
      <c r="I87" s="380"/>
      <c r="J87" s="380"/>
      <c r="K87" s="380"/>
      <c r="L87" s="380"/>
      <c r="M87" s="380"/>
      <c r="N87" s="386"/>
      <c r="O87" s="381"/>
      <c r="P87" s="381"/>
      <c r="Q87" s="381"/>
      <c r="R87" s="386"/>
      <c r="S87" s="382">
        <f>D87</f>
        <v>0</v>
      </c>
      <c r="T87" s="382">
        <f>G87</f>
        <v>0</v>
      </c>
      <c r="U87" s="381"/>
      <c r="V87" s="386"/>
      <c r="W87" s="964"/>
      <c r="X87" s="964"/>
      <c r="Y87" s="381"/>
      <c r="Z87" s="964"/>
      <c r="AA87" s="964"/>
      <c r="AB87" s="381"/>
    </row>
    <row r="88" spans="1:28">
      <c r="A88" s="361" t="s">
        <v>309</v>
      </c>
      <c r="B88" s="365">
        <f>様式１!H31</f>
        <v>0</v>
      </c>
      <c r="C88" s="366"/>
      <c r="D88" s="374">
        <f>IF($M82="○",ROUNDDOWN(B88/6,1),IF($K82="○",ROUNDDOWN(B88/15,1),ROUNDDOWN(B88/20,1)))</f>
        <v>0</v>
      </c>
      <c r="E88" s="365">
        <f>様式１!P31</f>
        <v>0</v>
      </c>
      <c r="F88" s="366"/>
      <c r="G88" s="374">
        <f>IF($M82="○",ROUNDDOWN(E88/6,1),IF($K82="○",ROUNDDOWN(E88/15,1),ROUNDDOWN(E88/20,1)))</f>
        <v>0</v>
      </c>
      <c r="H88" s="377"/>
      <c r="I88" s="380"/>
      <c r="J88" s="380"/>
      <c r="K88" s="380"/>
      <c r="L88" s="380"/>
      <c r="M88" s="380"/>
      <c r="N88" s="386"/>
      <c r="O88" s="382">
        <f>D88</f>
        <v>0</v>
      </c>
      <c r="P88" s="382">
        <f>G88</f>
        <v>0</v>
      </c>
      <c r="Q88" s="381"/>
      <c r="R88" s="386"/>
      <c r="S88" s="382">
        <f>IF($M82="○",ROUNDDOWN(B88/6,1),ROUNDDOWN(B88/15,1))</f>
        <v>0</v>
      </c>
      <c r="T88" s="382">
        <f>IF($M82="○",ROUNDDOWN(E88/6,1),ROUNDDOWN(E88/15,1))</f>
        <v>0</v>
      </c>
      <c r="U88" s="381"/>
      <c r="V88" s="386"/>
      <c r="W88" s="382">
        <f>D88</f>
        <v>0</v>
      </c>
      <c r="X88" s="382">
        <f>G88</f>
        <v>0</v>
      </c>
      <c r="Y88" s="381"/>
      <c r="Z88" s="382">
        <f>ROUNDDOWN(B88/20,1)</f>
        <v>0</v>
      </c>
      <c r="AA88" s="382">
        <f>ROUNDDOWN(E88/20,1)</f>
        <v>0</v>
      </c>
      <c r="AB88" s="381"/>
    </row>
    <row r="89" spans="1:28">
      <c r="A89" s="361" t="s">
        <v>310</v>
      </c>
      <c r="B89" s="365">
        <f>様式１!I31</f>
        <v>0</v>
      </c>
      <c r="C89" s="367">
        <f>様式１!I32</f>
        <v>0</v>
      </c>
      <c r="D89" s="374">
        <f>IF($K82="○",ROUNDDOWN((B89+C89)/15,1),ROUNDDOWN(B89/20,1)+ROUNDDOWN(C89/15,1))</f>
        <v>0</v>
      </c>
      <c r="E89" s="365">
        <f>様式１!Q31</f>
        <v>0</v>
      </c>
      <c r="F89" s="367">
        <f>様式１!Q32</f>
        <v>0</v>
      </c>
      <c r="G89" s="374">
        <f>IF($K82="○",ROUNDDOWN((E89+F89)/15,1),ROUNDDOWN(E89/20,1)+ROUNDDOWN(F89/15,1))</f>
        <v>0</v>
      </c>
      <c r="H89" s="377"/>
      <c r="I89" s="380"/>
      <c r="J89" s="380"/>
      <c r="K89" s="380"/>
      <c r="L89" s="380"/>
      <c r="M89" s="380"/>
      <c r="N89" s="386"/>
      <c r="O89" s="382">
        <f>IF($K82="○",ROUNDDOWN(B89/15,1),ROUNDDOWN(B89/20,1))</f>
        <v>0</v>
      </c>
      <c r="P89" s="382">
        <f>IF($K82="○",ROUNDDOWN(E89/15,1),ROUNDDOWN(E89/20,1))</f>
        <v>0</v>
      </c>
      <c r="Q89" s="381"/>
      <c r="R89" s="386"/>
      <c r="S89" s="382">
        <f>ROUNDDOWN((B89+C89)/15,1)</f>
        <v>0</v>
      </c>
      <c r="T89" s="382">
        <f>ROUNDDOWN((E89+F89)/15,1)</f>
        <v>0</v>
      </c>
      <c r="U89" s="381"/>
      <c r="V89" s="386"/>
      <c r="W89" s="382">
        <f>IF(K82="○",ROUNDDOWN(SUM(B89:C89)/15,1),ROUNDDOWN(SUM(B89:C89)/20,1))</f>
        <v>0</v>
      </c>
      <c r="X89" s="382">
        <f>IF(K82="○",ROUNDDOWN(SUM(E89:F89)/15,1),ROUNDDOWN(SUM(E89:F89)/20,1))</f>
        <v>0</v>
      </c>
      <c r="Y89" s="381"/>
      <c r="Z89" s="382">
        <f>ROUNDDOWN(SUM(B89:C89)/20,1)</f>
        <v>0</v>
      </c>
      <c r="AA89" s="382">
        <f>ROUNDDOWN(SUM(E89:F89)/20,1)</f>
        <v>0</v>
      </c>
      <c r="AB89" s="381"/>
    </row>
    <row r="90" spans="1:28">
      <c r="A90" s="361" t="s">
        <v>311</v>
      </c>
      <c r="B90" s="365">
        <f>様式１!J31</f>
        <v>0</v>
      </c>
      <c r="C90" s="367">
        <f>様式１!J32</f>
        <v>0</v>
      </c>
      <c r="D90" s="965">
        <f>IF($J82="○",ROUNDDOWN(SUM(B90,B91,C91)/25,1)+ROUNDDOWN(C90/20,1),ROUNDDOWN(SUM(B90,B91)/30,1)+ROUNDDOWN(C90/20,1)+ROUNDDOWN(C91/25,1))</f>
        <v>0</v>
      </c>
      <c r="E90" s="365">
        <f>様式１!R31</f>
        <v>0</v>
      </c>
      <c r="F90" s="367">
        <f>様式１!R32</f>
        <v>0</v>
      </c>
      <c r="G90" s="965">
        <f>IF($J82="○",ROUNDDOWN(SUM(E90,E91,F91)/25,1)+ROUNDDOWN(F90/20,1),ROUNDDOWN(SUM(E90,E91)/30,1)+ROUNDDOWN(F90/20,1)+ROUNDDOWN(F91/25,1))</f>
        <v>0</v>
      </c>
      <c r="H90" s="377"/>
      <c r="I90" s="380"/>
      <c r="J90" s="380"/>
      <c r="K90" s="380"/>
      <c r="L90" s="380"/>
      <c r="M90" s="380"/>
      <c r="N90" s="386"/>
      <c r="O90" s="963">
        <f>IF($J82="○",ROUNDDOWN(SUM(B90,B91)/25,1),ROUNDDOWN(SUM(B90,B91)/30,1))</f>
        <v>0</v>
      </c>
      <c r="P90" s="963">
        <f>IF($J82="○",ROUNDDOWN(SUM(E90,E91)/25,1),ROUNDDOWN(SUM(E90,E91)/30,1))</f>
        <v>0</v>
      </c>
      <c r="Q90" s="381"/>
      <c r="R90" s="386"/>
      <c r="S90" s="963">
        <f>ROUNDDOWN(SUM(B90,B91,C91)/25,1)+ROUNDDOWN(C90/20,1)</f>
        <v>0</v>
      </c>
      <c r="T90" s="963">
        <f>ROUNDDOWN(SUM(E90,E91,F91)/25,1)+ROUNDDOWN(F90/20,1)</f>
        <v>0</v>
      </c>
      <c r="U90" s="381"/>
      <c r="V90" s="386"/>
      <c r="W90" s="963">
        <f>IF(J82="○",ROUNDDOWN(SUM(B90:C91)/25,1),ROUNDDOWN(SUM(B90:C91)/30,1))</f>
        <v>0</v>
      </c>
      <c r="X90" s="963">
        <f>IF(J82="○",ROUNDDOWN(SUM(E90:F91)/25,1),ROUNDDOWN(SUM(E90:F91)/30,1))</f>
        <v>0</v>
      </c>
      <c r="Y90" s="381"/>
      <c r="Z90" s="963">
        <f>ROUNDDOWN(SUM(B90:C91)/30,1)</f>
        <v>0</v>
      </c>
      <c r="AA90" s="963">
        <f>ROUNDDOWN(SUM(E90:F91)/30,1)</f>
        <v>0</v>
      </c>
      <c r="AB90" s="381"/>
    </row>
    <row r="91" spans="1:28" ht="19.5" thickBot="1">
      <c r="A91" s="362" t="s">
        <v>312</v>
      </c>
      <c r="B91" s="368">
        <f>様式１!K31</f>
        <v>0</v>
      </c>
      <c r="C91" s="369">
        <f>様式１!K32</f>
        <v>0</v>
      </c>
      <c r="D91" s="966"/>
      <c r="E91" s="368">
        <f>様式１!S31</f>
        <v>0</v>
      </c>
      <c r="F91" s="369">
        <f>様式１!S32</f>
        <v>0</v>
      </c>
      <c r="G91" s="966"/>
      <c r="H91" s="378"/>
      <c r="I91" s="380"/>
      <c r="J91" s="380"/>
      <c r="K91" s="380"/>
      <c r="L91" s="380"/>
      <c r="M91" s="380"/>
      <c r="N91" s="386"/>
      <c r="O91" s="964"/>
      <c r="P91" s="964"/>
      <c r="Q91" s="381"/>
      <c r="R91" s="386"/>
      <c r="S91" s="964"/>
      <c r="T91" s="964"/>
      <c r="U91" s="381"/>
      <c r="V91" s="386"/>
      <c r="W91" s="964"/>
      <c r="X91" s="964"/>
      <c r="Y91" s="381"/>
      <c r="Z91" s="964"/>
      <c r="AA91" s="964"/>
      <c r="AB91" s="381"/>
    </row>
    <row r="92" spans="1:28">
      <c r="A92" s="955" t="str">
        <f>I92</f>
        <v>1月</v>
      </c>
      <c r="B92" s="958" t="s">
        <v>303</v>
      </c>
      <c r="C92" s="958"/>
      <c r="D92" s="958"/>
      <c r="E92" s="958" t="s">
        <v>304</v>
      </c>
      <c r="F92" s="958"/>
      <c r="G92" s="958"/>
      <c r="H92" s="959" t="s">
        <v>305</v>
      </c>
      <c r="I92" s="379" t="str">
        <f>加算等適用状況!A23</f>
        <v>1月</v>
      </c>
      <c r="J92" s="379" t="str">
        <f>加算等適用状況!G23</f>
        <v/>
      </c>
      <c r="K92" s="379" t="str">
        <f>加算等適用状況!H23</f>
        <v/>
      </c>
      <c r="L92" s="379" t="str">
        <f>加算等適用状況!I23</f>
        <v/>
      </c>
      <c r="M92" s="379" t="str">
        <f>加算等適用状況!J23</f>
        <v/>
      </c>
      <c r="N92" s="386"/>
      <c r="O92" s="379" t="s">
        <v>296</v>
      </c>
      <c r="P92" s="379" t="s">
        <v>297</v>
      </c>
      <c r="Q92" s="379" t="s">
        <v>138</v>
      </c>
      <c r="R92" s="386"/>
      <c r="S92" s="379" t="s">
        <v>296</v>
      </c>
      <c r="T92" s="379" t="s">
        <v>297</v>
      </c>
      <c r="U92" s="379" t="s">
        <v>138</v>
      </c>
      <c r="V92" s="386"/>
      <c r="W92" s="379" t="s">
        <v>296</v>
      </c>
      <c r="X92" s="379" t="s">
        <v>297</v>
      </c>
      <c r="Y92" s="379" t="s">
        <v>138</v>
      </c>
      <c r="Z92" s="379" t="s">
        <v>296</v>
      </c>
      <c r="AA92" s="379" t="s">
        <v>297</v>
      </c>
      <c r="AB92" s="379" t="s">
        <v>138</v>
      </c>
    </row>
    <row r="93" spans="1:28">
      <c r="A93" s="956"/>
      <c r="B93" s="961" t="s">
        <v>313</v>
      </c>
      <c r="C93" s="962"/>
      <c r="D93" s="359" t="s">
        <v>314</v>
      </c>
      <c r="E93" s="961" t="s">
        <v>313</v>
      </c>
      <c r="F93" s="962"/>
      <c r="G93" s="359" t="s">
        <v>314</v>
      </c>
      <c r="H93" s="960"/>
      <c r="I93" s="380"/>
      <c r="J93" s="380"/>
      <c r="K93" s="380"/>
      <c r="L93" s="380"/>
      <c r="M93" s="380"/>
      <c r="N93" s="386"/>
      <c r="O93" s="380"/>
      <c r="P93" s="380"/>
      <c r="Q93" s="380"/>
      <c r="R93" s="386"/>
      <c r="S93" s="380"/>
      <c r="T93" s="380"/>
      <c r="U93" s="380"/>
      <c r="V93" s="386"/>
      <c r="W93" s="380"/>
      <c r="X93" s="380"/>
      <c r="Y93" s="380"/>
      <c r="Z93" s="380"/>
      <c r="AA93" s="380"/>
      <c r="AB93" s="380"/>
    </row>
    <row r="94" spans="1:28" ht="19.5">
      <c r="A94" s="957"/>
      <c r="B94" s="363" t="s">
        <v>70</v>
      </c>
      <c r="C94" s="364" t="s">
        <v>315</v>
      </c>
      <c r="D94" s="393">
        <f>ROUND(SUM(D95:D101),0)</f>
        <v>0</v>
      </c>
      <c r="E94" s="363" t="s">
        <v>70</v>
      </c>
      <c r="F94" s="364" t="s">
        <v>315</v>
      </c>
      <c r="G94" s="393">
        <f>ROUND(SUM(G95:G101),0)</f>
        <v>0</v>
      </c>
      <c r="H94" s="392">
        <f>SUM(D94,G94)</f>
        <v>0</v>
      </c>
      <c r="I94" s="380"/>
      <c r="J94" s="380"/>
      <c r="K94" s="380"/>
      <c r="L94" s="380"/>
      <c r="M94" s="380"/>
      <c r="N94" s="386"/>
      <c r="O94" s="382">
        <f>ROUND(SUM(O95:O101),0)</f>
        <v>0</v>
      </c>
      <c r="P94" s="382">
        <f>ROUND(SUM(P95:P101),0)</f>
        <v>0</v>
      </c>
      <c r="Q94" s="391">
        <f>SUM(O94,P94)</f>
        <v>0</v>
      </c>
      <c r="R94" s="386"/>
      <c r="S94" s="382">
        <f>ROUND(SUM(S95:S101),0)</f>
        <v>0</v>
      </c>
      <c r="T94" s="382">
        <f>ROUND(SUM(T95:T101),0)</f>
        <v>0</v>
      </c>
      <c r="U94" s="391">
        <f>SUM(S94,T94)</f>
        <v>0</v>
      </c>
      <c r="V94" s="386"/>
      <c r="W94" s="382">
        <f>ROUND(SUM(W95:W101),0)</f>
        <v>0</v>
      </c>
      <c r="X94" s="382">
        <f>ROUND(SUM(X95:X101),0)</f>
        <v>0</v>
      </c>
      <c r="Y94" s="391">
        <f>SUM(W94,X94)</f>
        <v>0</v>
      </c>
      <c r="Z94" s="382">
        <f>ROUND(SUM(Z95:Z101),0)</f>
        <v>0</v>
      </c>
      <c r="AA94" s="382">
        <f>ROUND(SUM(AA95:AA101),0)</f>
        <v>0</v>
      </c>
      <c r="AB94" s="391">
        <f>SUM(Z94,AA94)</f>
        <v>0</v>
      </c>
    </row>
    <row r="95" spans="1:28">
      <c r="A95" s="360" t="s">
        <v>306</v>
      </c>
      <c r="B95" s="370"/>
      <c r="C95" s="372">
        <f>様式１!E36</f>
        <v>0</v>
      </c>
      <c r="D95" s="373">
        <f>ROUNDDOWN(C95/3,1)</f>
        <v>0</v>
      </c>
      <c r="E95" s="370"/>
      <c r="F95" s="372">
        <f>様式１!M36</f>
        <v>0</v>
      </c>
      <c r="G95" s="373">
        <f>ROUNDDOWN(F95/3,1)</f>
        <v>0</v>
      </c>
      <c r="H95" s="376"/>
      <c r="I95" s="380"/>
      <c r="J95" s="380"/>
      <c r="K95" s="380"/>
      <c r="L95" s="380"/>
      <c r="M95" s="380"/>
      <c r="N95" s="386"/>
      <c r="O95" s="381"/>
      <c r="P95" s="381"/>
      <c r="Q95" s="381"/>
      <c r="R95" s="386"/>
      <c r="S95" s="382">
        <f>D95</f>
        <v>0</v>
      </c>
      <c r="T95" s="382">
        <f>G95</f>
        <v>0</v>
      </c>
      <c r="U95" s="381"/>
      <c r="V95" s="386"/>
      <c r="W95" s="382">
        <f>D95</f>
        <v>0</v>
      </c>
      <c r="X95" s="382">
        <f>G95</f>
        <v>0</v>
      </c>
      <c r="Y95" s="381"/>
      <c r="Z95" s="382">
        <f>D95</f>
        <v>0</v>
      </c>
      <c r="AA95" s="382">
        <f>G95</f>
        <v>0</v>
      </c>
      <c r="AB95" s="381"/>
    </row>
    <row r="96" spans="1:28">
      <c r="A96" s="361" t="s">
        <v>307</v>
      </c>
      <c r="B96" s="371"/>
      <c r="C96" s="367">
        <f>様式１!F36</f>
        <v>0</v>
      </c>
      <c r="D96" s="374">
        <f>ROUNDDOWN(C96/5,1)</f>
        <v>0</v>
      </c>
      <c r="E96" s="371"/>
      <c r="F96" s="367">
        <f>様式１!N36</f>
        <v>0</v>
      </c>
      <c r="G96" s="374">
        <f>ROUNDDOWN(F96/5,1)</f>
        <v>0</v>
      </c>
      <c r="H96" s="377"/>
      <c r="I96" s="380"/>
      <c r="J96" s="380"/>
      <c r="K96" s="380"/>
      <c r="L96" s="380"/>
      <c r="M96" s="380"/>
      <c r="N96" s="386"/>
      <c r="O96" s="381"/>
      <c r="P96" s="381"/>
      <c r="Q96" s="381"/>
      <c r="R96" s="386"/>
      <c r="S96" s="382">
        <f>D96</f>
        <v>0</v>
      </c>
      <c r="T96" s="382">
        <f>G96</f>
        <v>0</v>
      </c>
      <c r="U96" s="381"/>
      <c r="V96" s="386"/>
      <c r="W96" s="963">
        <f>IF(L92="○",ROUNDDOWN(C96/5,1)+ROUNDDOWN(C97/6,1),ROUNDDOWN(SUM(C96:C97)/6,1))</f>
        <v>0</v>
      </c>
      <c r="X96" s="963">
        <f>IF(L92="○",ROUNDDOWN(F96/5,1)+ROUNDDOWN(F97/6,1),ROUNDDOWN(SUM(F96:F97)/6,1))</f>
        <v>0</v>
      </c>
      <c r="Y96" s="381"/>
      <c r="Z96" s="963">
        <f>ROUNDDOWN(SUM(C96:C97)/6,1)</f>
        <v>0</v>
      </c>
      <c r="AA96" s="963">
        <f>ROUNDDOWN(SUM(F96:F97)/6,1)</f>
        <v>0</v>
      </c>
      <c r="AB96" s="381"/>
    </row>
    <row r="97" spans="1:28">
      <c r="A97" s="361" t="s">
        <v>308</v>
      </c>
      <c r="B97" s="371"/>
      <c r="C97" s="367">
        <f>様式１!G36</f>
        <v>0</v>
      </c>
      <c r="D97" s="374">
        <f>ROUNDDOWN(C97/6,1)</f>
        <v>0</v>
      </c>
      <c r="E97" s="371"/>
      <c r="F97" s="367">
        <f>様式１!O36</f>
        <v>0</v>
      </c>
      <c r="G97" s="374">
        <f>ROUNDDOWN(F97/6,1)</f>
        <v>0</v>
      </c>
      <c r="H97" s="377"/>
      <c r="I97" s="380"/>
      <c r="J97" s="380"/>
      <c r="K97" s="380"/>
      <c r="L97" s="380"/>
      <c r="M97" s="380"/>
      <c r="N97" s="386"/>
      <c r="O97" s="381"/>
      <c r="P97" s="381"/>
      <c r="Q97" s="381"/>
      <c r="R97" s="386"/>
      <c r="S97" s="382">
        <f>D97</f>
        <v>0</v>
      </c>
      <c r="T97" s="382">
        <f>G97</f>
        <v>0</v>
      </c>
      <c r="U97" s="381"/>
      <c r="V97" s="386"/>
      <c r="W97" s="964"/>
      <c r="X97" s="964"/>
      <c r="Y97" s="381"/>
      <c r="Z97" s="964"/>
      <c r="AA97" s="964"/>
      <c r="AB97" s="381"/>
    </row>
    <row r="98" spans="1:28">
      <c r="A98" s="361" t="s">
        <v>309</v>
      </c>
      <c r="B98" s="365">
        <f>様式１!H34</f>
        <v>0</v>
      </c>
      <c r="C98" s="366"/>
      <c r="D98" s="374">
        <f>IF($M92="○",ROUNDDOWN(B98/6,1),IF($K92="○",ROUNDDOWN(B98/15,1),ROUNDDOWN(B98/20,1)))</f>
        <v>0</v>
      </c>
      <c r="E98" s="365">
        <f>様式１!P34</f>
        <v>0</v>
      </c>
      <c r="F98" s="366"/>
      <c r="G98" s="374">
        <f>IF($M92="○",ROUNDDOWN(E98/6,1),IF($K92="○",ROUNDDOWN(E98/15,1),ROUNDDOWN(E98/20,1)))</f>
        <v>0</v>
      </c>
      <c r="H98" s="377"/>
      <c r="I98" s="380"/>
      <c r="J98" s="380"/>
      <c r="K98" s="380"/>
      <c r="L98" s="380"/>
      <c r="M98" s="380"/>
      <c r="N98" s="386"/>
      <c r="O98" s="382">
        <f>D98</f>
        <v>0</v>
      </c>
      <c r="P98" s="382">
        <f>G98</f>
        <v>0</v>
      </c>
      <c r="Q98" s="381"/>
      <c r="R98" s="386"/>
      <c r="S98" s="382">
        <f>IF($M92="○",ROUNDDOWN(B98/6,1),ROUNDDOWN(B98/15,1))</f>
        <v>0</v>
      </c>
      <c r="T98" s="382">
        <f>IF($M92="○",ROUNDDOWN(E98/6,1),ROUNDDOWN(E98/15,1))</f>
        <v>0</v>
      </c>
      <c r="U98" s="381"/>
      <c r="V98" s="386"/>
      <c r="W98" s="382">
        <f>D98</f>
        <v>0</v>
      </c>
      <c r="X98" s="382">
        <f>G98</f>
        <v>0</v>
      </c>
      <c r="Y98" s="381"/>
      <c r="Z98" s="382">
        <f>ROUNDDOWN(B98/20,1)</f>
        <v>0</v>
      </c>
      <c r="AA98" s="382">
        <f>ROUNDDOWN(E98/20,1)</f>
        <v>0</v>
      </c>
      <c r="AB98" s="381"/>
    </row>
    <row r="99" spans="1:28">
      <c r="A99" s="361" t="s">
        <v>310</v>
      </c>
      <c r="B99" s="365">
        <f>様式１!I34</f>
        <v>0</v>
      </c>
      <c r="C99" s="367">
        <f>様式１!I35</f>
        <v>0</v>
      </c>
      <c r="D99" s="374">
        <f>IF($K92="○",ROUNDDOWN((B99+C99)/15,1),ROUNDDOWN(B99/20,1)+ROUNDDOWN(C99/15,1))</f>
        <v>0</v>
      </c>
      <c r="E99" s="365">
        <f>様式１!Q34</f>
        <v>0</v>
      </c>
      <c r="F99" s="367">
        <f>様式１!Q35</f>
        <v>0</v>
      </c>
      <c r="G99" s="374">
        <f>IF($K92="○",ROUNDDOWN((E99+F99)/15,1),ROUNDDOWN(E99/20,1)+ROUNDDOWN(F99/15,1))</f>
        <v>0</v>
      </c>
      <c r="H99" s="377"/>
      <c r="I99" s="380"/>
      <c r="J99" s="380"/>
      <c r="K99" s="380"/>
      <c r="L99" s="380"/>
      <c r="M99" s="380"/>
      <c r="N99" s="386"/>
      <c r="O99" s="382">
        <f>IF($K92="○",ROUNDDOWN(B99/15,1),ROUNDDOWN(B99/20,1))</f>
        <v>0</v>
      </c>
      <c r="P99" s="382">
        <f>IF($K92="○",ROUNDDOWN(E99/15,1),ROUNDDOWN(E99/20,1))</f>
        <v>0</v>
      </c>
      <c r="Q99" s="381"/>
      <c r="R99" s="386"/>
      <c r="S99" s="382">
        <f>ROUNDDOWN((B99+C99)/15,1)</f>
        <v>0</v>
      </c>
      <c r="T99" s="382">
        <f>ROUNDDOWN((E99+F99)/15,1)</f>
        <v>0</v>
      </c>
      <c r="U99" s="381"/>
      <c r="V99" s="386"/>
      <c r="W99" s="382">
        <f>IF(K92="○",ROUNDDOWN(SUM(B99:C99)/15,1),ROUNDDOWN(SUM(B99:C99)/20,1))</f>
        <v>0</v>
      </c>
      <c r="X99" s="382">
        <f>IF(K92="○",ROUNDDOWN(SUM(E99:F99)/15,1),ROUNDDOWN(SUM(E99:F99)/20,1))</f>
        <v>0</v>
      </c>
      <c r="Y99" s="381"/>
      <c r="Z99" s="382">
        <f>ROUNDDOWN(SUM(B99:C99)/20,1)</f>
        <v>0</v>
      </c>
      <c r="AA99" s="382">
        <f>ROUNDDOWN(SUM(E99:F99)/20,1)</f>
        <v>0</v>
      </c>
      <c r="AB99" s="381"/>
    </row>
    <row r="100" spans="1:28">
      <c r="A100" s="361" t="s">
        <v>311</v>
      </c>
      <c r="B100" s="365">
        <f>様式１!J34</f>
        <v>0</v>
      </c>
      <c r="C100" s="367">
        <f>様式１!J35</f>
        <v>0</v>
      </c>
      <c r="D100" s="965">
        <f>IF($J92="○",ROUNDDOWN(SUM(B100,B101,C101)/25,1)+ROUNDDOWN(C100/20,1),ROUNDDOWN(SUM(B100,B101)/30,1)+ROUNDDOWN(C100/20,1)+ROUNDDOWN(C101/25,1))</f>
        <v>0</v>
      </c>
      <c r="E100" s="365">
        <f>様式１!R34</f>
        <v>0</v>
      </c>
      <c r="F100" s="367">
        <f>様式１!R35</f>
        <v>0</v>
      </c>
      <c r="G100" s="965">
        <f>IF($J92="○",ROUNDDOWN(SUM(E100,E101,F101)/25,1)+ROUNDDOWN(F100/20,1),ROUNDDOWN(SUM(E100,E101)/30,1)+ROUNDDOWN(F100/20,1)+ROUNDDOWN(F101/25,1))</f>
        <v>0</v>
      </c>
      <c r="H100" s="377"/>
      <c r="I100" s="380"/>
      <c r="J100" s="380"/>
      <c r="K100" s="380"/>
      <c r="L100" s="380"/>
      <c r="M100" s="380"/>
      <c r="N100" s="386"/>
      <c r="O100" s="963">
        <f>IF($J92="○",ROUNDDOWN(SUM(B100,B101)/25,1),ROUNDDOWN(SUM(B100,B101)/30,1))</f>
        <v>0</v>
      </c>
      <c r="P100" s="963">
        <f>IF($J92="○",ROUNDDOWN(SUM(E100,E101)/25,1),ROUNDDOWN(SUM(E100,E101)/30,1))</f>
        <v>0</v>
      </c>
      <c r="Q100" s="381"/>
      <c r="R100" s="386"/>
      <c r="S100" s="963">
        <f>ROUNDDOWN(SUM(B100,B101,C101)/25,1)+ROUNDDOWN(C100/20,1)</f>
        <v>0</v>
      </c>
      <c r="T100" s="963">
        <f>ROUNDDOWN(SUM(E100,E101,F101)/25,1)+ROUNDDOWN(F100/20,1)</f>
        <v>0</v>
      </c>
      <c r="U100" s="381"/>
      <c r="V100" s="386"/>
      <c r="W100" s="963">
        <f>IF(J92="○",ROUNDDOWN(SUM(B100:C101)/25,1),ROUNDDOWN(SUM(B100:C101)/30,1))</f>
        <v>0</v>
      </c>
      <c r="X100" s="963">
        <f>IF(J92="○",ROUNDDOWN(SUM(E100:F101)/25,1),ROUNDDOWN(SUM(E100:F101)/30,1))</f>
        <v>0</v>
      </c>
      <c r="Y100" s="381"/>
      <c r="Z100" s="963">
        <f>ROUNDDOWN(SUM(B100:C101)/30,1)</f>
        <v>0</v>
      </c>
      <c r="AA100" s="963">
        <f>ROUNDDOWN(SUM(E100:F101)/30,1)</f>
        <v>0</v>
      </c>
      <c r="AB100" s="381"/>
    </row>
    <row r="101" spans="1:28" ht="19.5" thickBot="1">
      <c r="A101" s="362" t="s">
        <v>312</v>
      </c>
      <c r="B101" s="368">
        <f>様式１!K34</f>
        <v>0</v>
      </c>
      <c r="C101" s="369">
        <f>様式１!K35</f>
        <v>0</v>
      </c>
      <c r="D101" s="966"/>
      <c r="E101" s="368">
        <f>様式１!S34</f>
        <v>0</v>
      </c>
      <c r="F101" s="369">
        <f>様式１!S35</f>
        <v>0</v>
      </c>
      <c r="G101" s="966"/>
      <c r="H101" s="378"/>
      <c r="I101" s="380"/>
      <c r="J101" s="380"/>
      <c r="K101" s="380"/>
      <c r="L101" s="380"/>
      <c r="M101" s="380"/>
      <c r="N101" s="386"/>
      <c r="O101" s="964"/>
      <c r="P101" s="964"/>
      <c r="Q101" s="381"/>
      <c r="R101" s="386"/>
      <c r="S101" s="964"/>
      <c r="T101" s="964"/>
      <c r="U101" s="381"/>
      <c r="V101" s="386"/>
      <c r="W101" s="964"/>
      <c r="X101" s="964"/>
      <c r="Y101" s="381"/>
      <c r="Z101" s="964"/>
      <c r="AA101" s="964"/>
      <c r="AB101" s="381"/>
    </row>
    <row r="102" spans="1:28">
      <c r="A102" s="955" t="str">
        <f>I102</f>
        <v>2月</v>
      </c>
      <c r="B102" s="958" t="s">
        <v>303</v>
      </c>
      <c r="C102" s="958"/>
      <c r="D102" s="958"/>
      <c r="E102" s="958" t="s">
        <v>304</v>
      </c>
      <c r="F102" s="958"/>
      <c r="G102" s="958"/>
      <c r="H102" s="959" t="s">
        <v>305</v>
      </c>
      <c r="I102" s="379" t="str">
        <f>加算等適用状況!A24</f>
        <v>2月</v>
      </c>
      <c r="J102" s="379" t="str">
        <f>加算等適用状況!G24</f>
        <v/>
      </c>
      <c r="K102" s="379" t="str">
        <f>加算等適用状況!H24</f>
        <v/>
      </c>
      <c r="L102" s="379" t="str">
        <f>加算等適用状況!I24</f>
        <v/>
      </c>
      <c r="M102" s="379" t="str">
        <f>加算等適用状況!J24</f>
        <v/>
      </c>
      <c r="N102" s="386"/>
      <c r="O102" s="379" t="s">
        <v>296</v>
      </c>
      <c r="P102" s="379" t="s">
        <v>297</v>
      </c>
      <c r="Q102" s="379" t="s">
        <v>138</v>
      </c>
      <c r="R102" s="386"/>
      <c r="S102" s="379" t="s">
        <v>296</v>
      </c>
      <c r="T102" s="379" t="s">
        <v>297</v>
      </c>
      <c r="U102" s="379" t="s">
        <v>138</v>
      </c>
      <c r="V102" s="386"/>
      <c r="W102" s="379" t="s">
        <v>296</v>
      </c>
      <c r="X102" s="379" t="s">
        <v>297</v>
      </c>
      <c r="Y102" s="379" t="s">
        <v>138</v>
      </c>
      <c r="Z102" s="379" t="s">
        <v>296</v>
      </c>
      <c r="AA102" s="379" t="s">
        <v>297</v>
      </c>
      <c r="AB102" s="379" t="s">
        <v>138</v>
      </c>
    </row>
    <row r="103" spans="1:28">
      <c r="A103" s="956"/>
      <c r="B103" s="961" t="s">
        <v>313</v>
      </c>
      <c r="C103" s="962"/>
      <c r="D103" s="359" t="s">
        <v>314</v>
      </c>
      <c r="E103" s="961" t="s">
        <v>313</v>
      </c>
      <c r="F103" s="962"/>
      <c r="G103" s="359" t="s">
        <v>314</v>
      </c>
      <c r="H103" s="960"/>
      <c r="I103" s="380"/>
      <c r="J103" s="380"/>
      <c r="K103" s="380"/>
      <c r="L103" s="380"/>
      <c r="M103" s="380"/>
      <c r="N103" s="386"/>
      <c r="O103" s="380"/>
      <c r="P103" s="380"/>
      <c r="Q103" s="380"/>
      <c r="R103" s="386"/>
      <c r="S103" s="380"/>
      <c r="T103" s="380"/>
      <c r="U103" s="380"/>
      <c r="V103" s="386"/>
      <c r="W103" s="380"/>
      <c r="X103" s="380"/>
      <c r="Y103" s="380"/>
      <c r="Z103" s="380"/>
      <c r="AA103" s="380"/>
      <c r="AB103" s="380"/>
    </row>
    <row r="104" spans="1:28" ht="19.5">
      <c r="A104" s="957"/>
      <c r="B104" s="363" t="s">
        <v>70</v>
      </c>
      <c r="C104" s="364" t="s">
        <v>315</v>
      </c>
      <c r="D104" s="393">
        <f>ROUND(SUM(D105:D111),0)</f>
        <v>0</v>
      </c>
      <c r="E104" s="363" t="s">
        <v>70</v>
      </c>
      <c r="F104" s="364" t="s">
        <v>315</v>
      </c>
      <c r="G104" s="393">
        <f>ROUND(SUM(G105:G111),0)</f>
        <v>0</v>
      </c>
      <c r="H104" s="392">
        <f>SUM(D104,G104)</f>
        <v>0</v>
      </c>
      <c r="I104" s="380"/>
      <c r="J104" s="380"/>
      <c r="K104" s="380"/>
      <c r="L104" s="380"/>
      <c r="M104" s="380"/>
      <c r="N104" s="386"/>
      <c r="O104" s="382">
        <f>ROUND(SUM(O105:O111),0)</f>
        <v>0</v>
      </c>
      <c r="P104" s="382">
        <f>ROUND(SUM(P105:P111),0)</f>
        <v>0</v>
      </c>
      <c r="Q104" s="391">
        <f>SUM(O104,P104)</f>
        <v>0</v>
      </c>
      <c r="R104" s="386"/>
      <c r="S104" s="382">
        <f>ROUND(SUM(S105:S111),0)</f>
        <v>0</v>
      </c>
      <c r="T104" s="382">
        <f>ROUND(SUM(T105:T111),0)</f>
        <v>0</v>
      </c>
      <c r="U104" s="391">
        <f>SUM(S104,T104)</f>
        <v>0</v>
      </c>
      <c r="V104" s="386"/>
      <c r="W104" s="382">
        <f>ROUND(SUM(W105:W111),0)</f>
        <v>0</v>
      </c>
      <c r="X104" s="382">
        <f>ROUND(SUM(X105:X111),0)</f>
        <v>0</v>
      </c>
      <c r="Y104" s="391">
        <f>SUM(W104,X104)</f>
        <v>0</v>
      </c>
      <c r="Z104" s="382">
        <f>ROUND(SUM(Z105:Z111),0)</f>
        <v>0</v>
      </c>
      <c r="AA104" s="382">
        <f>ROUND(SUM(AA105:AA111),0)</f>
        <v>0</v>
      </c>
      <c r="AB104" s="391">
        <f>SUM(Z104,AA104)</f>
        <v>0</v>
      </c>
    </row>
    <row r="105" spans="1:28">
      <c r="A105" s="360" t="s">
        <v>306</v>
      </c>
      <c r="B105" s="370"/>
      <c r="C105" s="372">
        <f>様式１!E39</f>
        <v>0</v>
      </c>
      <c r="D105" s="373">
        <f>ROUNDDOWN(C105/3,1)</f>
        <v>0</v>
      </c>
      <c r="E105" s="370"/>
      <c r="F105" s="372">
        <f>様式１!M39</f>
        <v>0</v>
      </c>
      <c r="G105" s="373">
        <f>ROUNDDOWN(F105/3,1)</f>
        <v>0</v>
      </c>
      <c r="H105" s="376"/>
      <c r="I105" s="380"/>
      <c r="J105" s="380"/>
      <c r="K105" s="380"/>
      <c r="L105" s="380"/>
      <c r="M105" s="380"/>
      <c r="N105" s="386"/>
      <c r="O105" s="381"/>
      <c r="P105" s="381"/>
      <c r="Q105" s="381"/>
      <c r="R105" s="386"/>
      <c r="S105" s="382">
        <f>D105</f>
        <v>0</v>
      </c>
      <c r="T105" s="382">
        <f>G105</f>
        <v>0</v>
      </c>
      <c r="U105" s="381"/>
      <c r="V105" s="386"/>
      <c r="W105" s="382">
        <f>D105</f>
        <v>0</v>
      </c>
      <c r="X105" s="382">
        <f>G105</f>
        <v>0</v>
      </c>
      <c r="Y105" s="381"/>
      <c r="Z105" s="382">
        <f>D105</f>
        <v>0</v>
      </c>
      <c r="AA105" s="382">
        <f>G105</f>
        <v>0</v>
      </c>
      <c r="AB105" s="381"/>
    </row>
    <row r="106" spans="1:28">
      <c r="A106" s="361" t="s">
        <v>307</v>
      </c>
      <c r="B106" s="371"/>
      <c r="C106" s="367">
        <f>様式１!F39</f>
        <v>0</v>
      </c>
      <c r="D106" s="374">
        <f>ROUNDDOWN(C106/5,1)</f>
        <v>0</v>
      </c>
      <c r="E106" s="371"/>
      <c r="F106" s="367">
        <f>様式１!N39</f>
        <v>0</v>
      </c>
      <c r="G106" s="374">
        <f>ROUNDDOWN(F106/5,1)</f>
        <v>0</v>
      </c>
      <c r="H106" s="377"/>
      <c r="I106" s="380"/>
      <c r="J106" s="380"/>
      <c r="K106" s="380"/>
      <c r="L106" s="380"/>
      <c r="M106" s="380"/>
      <c r="N106" s="386"/>
      <c r="O106" s="381"/>
      <c r="P106" s="381"/>
      <c r="Q106" s="381"/>
      <c r="R106" s="386"/>
      <c r="S106" s="382">
        <f>D106</f>
        <v>0</v>
      </c>
      <c r="T106" s="382">
        <f>G106</f>
        <v>0</v>
      </c>
      <c r="U106" s="381"/>
      <c r="V106" s="386"/>
      <c r="W106" s="963">
        <f>IF(L102="○",ROUNDDOWN(C106/5,1)+ROUNDDOWN(C107/6,1),ROUNDDOWN(SUM(C106:C107)/6,1))</f>
        <v>0</v>
      </c>
      <c r="X106" s="963">
        <f>IF(L102="○",ROUNDDOWN(F106/5,1)+ROUNDDOWN(F107/6,1),ROUNDDOWN(SUM(F106:F107)/6,1))</f>
        <v>0</v>
      </c>
      <c r="Y106" s="381"/>
      <c r="Z106" s="963">
        <f>ROUNDDOWN(SUM(C106:C107)/6,1)</f>
        <v>0</v>
      </c>
      <c r="AA106" s="963">
        <f>ROUNDDOWN(SUM(F106:F107)/6,1)</f>
        <v>0</v>
      </c>
      <c r="AB106" s="381"/>
    </row>
    <row r="107" spans="1:28">
      <c r="A107" s="361" t="s">
        <v>308</v>
      </c>
      <c r="B107" s="371"/>
      <c r="C107" s="367">
        <f>様式１!G39</f>
        <v>0</v>
      </c>
      <c r="D107" s="374">
        <f>ROUNDDOWN(C107/6,1)</f>
        <v>0</v>
      </c>
      <c r="E107" s="371"/>
      <c r="F107" s="367">
        <f>様式１!O39</f>
        <v>0</v>
      </c>
      <c r="G107" s="374">
        <f>ROUNDDOWN(F107/6,1)</f>
        <v>0</v>
      </c>
      <c r="H107" s="377"/>
      <c r="I107" s="380"/>
      <c r="J107" s="380"/>
      <c r="K107" s="380"/>
      <c r="L107" s="380"/>
      <c r="M107" s="380"/>
      <c r="N107" s="386"/>
      <c r="O107" s="381"/>
      <c r="P107" s="381"/>
      <c r="Q107" s="381"/>
      <c r="R107" s="386"/>
      <c r="S107" s="382">
        <f>D107</f>
        <v>0</v>
      </c>
      <c r="T107" s="382">
        <f>G107</f>
        <v>0</v>
      </c>
      <c r="U107" s="381"/>
      <c r="V107" s="386"/>
      <c r="W107" s="964"/>
      <c r="X107" s="964"/>
      <c r="Y107" s="381"/>
      <c r="Z107" s="964"/>
      <c r="AA107" s="964"/>
      <c r="AB107" s="381"/>
    </row>
    <row r="108" spans="1:28">
      <c r="A108" s="361" t="s">
        <v>309</v>
      </c>
      <c r="B108" s="365">
        <f>様式１!H37</f>
        <v>0</v>
      </c>
      <c r="C108" s="366"/>
      <c r="D108" s="374">
        <f>IF($M102="○",ROUNDDOWN(B108/6,1),IF($K102="○",ROUNDDOWN(B108/15,1),ROUNDDOWN(B108/20,1)))</f>
        <v>0</v>
      </c>
      <c r="E108" s="365">
        <f>様式１!P37</f>
        <v>0</v>
      </c>
      <c r="F108" s="366"/>
      <c r="G108" s="374">
        <f>IF($M102="○",ROUNDDOWN(E108/6,1),IF($K102="○",ROUNDDOWN(E108/15,1),ROUNDDOWN(E108/20,1)))</f>
        <v>0</v>
      </c>
      <c r="H108" s="377"/>
      <c r="I108" s="380"/>
      <c r="J108" s="380"/>
      <c r="K108" s="380"/>
      <c r="L108" s="380"/>
      <c r="M108" s="380"/>
      <c r="N108" s="386"/>
      <c r="O108" s="382">
        <f>D108</f>
        <v>0</v>
      </c>
      <c r="P108" s="382">
        <f>G108</f>
        <v>0</v>
      </c>
      <c r="Q108" s="381"/>
      <c r="R108" s="386"/>
      <c r="S108" s="382">
        <f>IF($M102="○",ROUNDDOWN(B108/6,1),ROUNDDOWN(B108/15,1))</f>
        <v>0</v>
      </c>
      <c r="T108" s="382">
        <f>IF($M102="○",ROUNDDOWN(E108/6,1),ROUNDDOWN(E108/15,1))</f>
        <v>0</v>
      </c>
      <c r="U108" s="381"/>
      <c r="V108" s="386"/>
      <c r="W108" s="382">
        <f>D108</f>
        <v>0</v>
      </c>
      <c r="X108" s="382">
        <f>G108</f>
        <v>0</v>
      </c>
      <c r="Y108" s="381"/>
      <c r="Z108" s="382">
        <f>ROUNDDOWN(B108/20,1)</f>
        <v>0</v>
      </c>
      <c r="AA108" s="382">
        <f>ROUNDDOWN(E108/20,1)</f>
        <v>0</v>
      </c>
      <c r="AB108" s="381"/>
    </row>
    <row r="109" spans="1:28">
      <c r="A109" s="361" t="s">
        <v>310</v>
      </c>
      <c r="B109" s="365">
        <f>様式１!I37</f>
        <v>0</v>
      </c>
      <c r="C109" s="367">
        <f>様式１!I38</f>
        <v>0</v>
      </c>
      <c r="D109" s="374">
        <f>IF($K102="○",ROUNDDOWN((B109+C109)/15,1),ROUNDDOWN(B109/20,1)+ROUNDDOWN(C109/15,1))</f>
        <v>0</v>
      </c>
      <c r="E109" s="365">
        <f>様式１!Q37</f>
        <v>0</v>
      </c>
      <c r="F109" s="367">
        <f>様式１!Q38</f>
        <v>0</v>
      </c>
      <c r="G109" s="374">
        <f>IF($K102="○",ROUNDDOWN((E109+F109)/15,1),ROUNDDOWN(E109/20,1)+ROUNDDOWN(F109/15,1))</f>
        <v>0</v>
      </c>
      <c r="H109" s="377"/>
      <c r="I109" s="380"/>
      <c r="J109" s="380"/>
      <c r="K109" s="380"/>
      <c r="L109" s="380"/>
      <c r="M109" s="380"/>
      <c r="N109" s="386"/>
      <c r="O109" s="382">
        <f>IF($K102="○",ROUNDDOWN(B109/15,1),ROUNDDOWN(B109/20,1))</f>
        <v>0</v>
      </c>
      <c r="P109" s="382">
        <f>IF($K102="○",ROUNDDOWN(E109/15,1),ROUNDDOWN(E109/20,1))</f>
        <v>0</v>
      </c>
      <c r="Q109" s="381"/>
      <c r="R109" s="386"/>
      <c r="S109" s="382">
        <f>ROUNDDOWN((B109+C109)/15,1)</f>
        <v>0</v>
      </c>
      <c r="T109" s="382">
        <f>ROUNDDOWN((E109+F109)/15,1)</f>
        <v>0</v>
      </c>
      <c r="U109" s="381"/>
      <c r="V109" s="386"/>
      <c r="W109" s="382">
        <f>IF(K102="○",ROUNDDOWN(SUM(B109:C109)/15,1),ROUNDDOWN(SUM(B109:C109)/20,1))</f>
        <v>0</v>
      </c>
      <c r="X109" s="382">
        <f>IF(K102="○",ROUNDDOWN(SUM(E109:F109)/15,1),ROUNDDOWN(SUM(E109:F109)/20,1))</f>
        <v>0</v>
      </c>
      <c r="Y109" s="381"/>
      <c r="Z109" s="382">
        <f>ROUNDDOWN(SUM(B109:C109)/20,1)</f>
        <v>0</v>
      </c>
      <c r="AA109" s="382">
        <f>ROUNDDOWN(SUM(E109:F109)/20,1)</f>
        <v>0</v>
      </c>
      <c r="AB109" s="381"/>
    </row>
    <row r="110" spans="1:28">
      <c r="A110" s="361" t="s">
        <v>311</v>
      </c>
      <c r="B110" s="365">
        <f>様式１!J37</f>
        <v>0</v>
      </c>
      <c r="C110" s="367">
        <f>様式１!J38</f>
        <v>0</v>
      </c>
      <c r="D110" s="965">
        <f>IF($J102="○",ROUNDDOWN(SUM(B110,B111,C111)/25,1)+ROUNDDOWN(C110/20,1),ROUNDDOWN(SUM(B110,B111)/30,1)+ROUNDDOWN(C110/20,1)+ROUNDDOWN(C111/25,1))</f>
        <v>0</v>
      </c>
      <c r="E110" s="365">
        <f>様式１!R37</f>
        <v>0</v>
      </c>
      <c r="F110" s="367">
        <f>様式１!R38</f>
        <v>0</v>
      </c>
      <c r="G110" s="965">
        <f>IF($J102="○",ROUNDDOWN(SUM(E110,E111,F111)/25,1)+ROUNDDOWN(F110/20,1),ROUNDDOWN(SUM(E110,E111)/30,1)+ROUNDDOWN(F110/20,1)+ROUNDDOWN(F111/25,1))</f>
        <v>0</v>
      </c>
      <c r="H110" s="377"/>
      <c r="I110" s="380"/>
      <c r="J110" s="380"/>
      <c r="K110" s="380"/>
      <c r="L110" s="380"/>
      <c r="M110" s="380"/>
      <c r="N110" s="386"/>
      <c r="O110" s="963">
        <f>IF($J102="○",ROUNDDOWN(SUM(B110,B111)/25,1),ROUNDDOWN(SUM(B110,B111)/30,1))</f>
        <v>0</v>
      </c>
      <c r="P110" s="963">
        <f>IF($J102="○",ROUNDDOWN(SUM(E110,E111)/25,1),ROUNDDOWN(SUM(E110,E111)/30,1))</f>
        <v>0</v>
      </c>
      <c r="Q110" s="381"/>
      <c r="R110" s="386"/>
      <c r="S110" s="963">
        <f>ROUNDDOWN(SUM(B110,B111,C111)/25,1)+ROUNDDOWN(C110/20,1)</f>
        <v>0</v>
      </c>
      <c r="T110" s="963">
        <f>ROUNDDOWN(SUM(E110,E111,F111)/25,1)+ROUNDDOWN(F110/20,1)</f>
        <v>0</v>
      </c>
      <c r="U110" s="381"/>
      <c r="V110" s="386"/>
      <c r="W110" s="963">
        <f>IF(J102="○",ROUNDDOWN(SUM(B110:C111)/25,1),ROUNDDOWN(SUM(B110:C111)/30,1))</f>
        <v>0</v>
      </c>
      <c r="X110" s="963">
        <f>IF(J102="○",ROUNDDOWN(SUM(E110:F111)/25,1),ROUNDDOWN(SUM(E110:F111)/30,1))</f>
        <v>0</v>
      </c>
      <c r="Y110" s="381"/>
      <c r="Z110" s="963">
        <f>ROUNDDOWN(SUM(B110:C111)/30,1)</f>
        <v>0</v>
      </c>
      <c r="AA110" s="963">
        <f>ROUNDDOWN(SUM(E110:F111)/30,1)</f>
        <v>0</v>
      </c>
      <c r="AB110" s="381"/>
    </row>
    <row r="111" spans="1:28" ht="19.5" thickBot="1">
      <c r="A111" s="362" t="s">
        <v>312</v>
      </c>
      <c r="B111" s="368">
        <f>様式１!K37</f>
        <v>0</v>
      </c>
      <c r="C111" s="369">
        <f>様式１!K38</f>
        <v>0</v>
      </c>
      <c r="D111" s="966"/>
      <c r="E111" s="368">
        <f>様式１!S37</f>
        <v>0</v>
      </c>
      <c r="F111" s="369">
        <f>様式１!S38</f>
        <v>0</v>
      </c>
      <c r="G111" s="966"/>
      <c r="H111" s="378"/>
      <c r="I111" s="380"/>
      <c r="J111" s="380"/>
      <c r="K111" s="380"/>
      <c r="L111" s="380"/>
      <c r="M111" s="380"/>
      <c r="N111" s="386"/>
      <c r="O111" s="964"/>
      <c r="P111" s="964"/>
      <c r="Q111" s="381"/>
      <c r="R111" s="386"/>
      <c r="S111" s="964"/>
      <c r="T111" s="964"/>
      <c r="U111" s="381"/>
      <c r="V111" s="386"/>
      <c r="W111" s="964"/>
      <c r="X111" s="964"/>
      <c r="Y111" s="381"/>
      <c r="Z111" s="964"/>
      <c r="AA111" s="964"/>
      <c r="AB111" s="381"/>
    </row>
    <row r="112" spans="1:28">
      <c r="A112" s="955" t="str">
        <f>I112</f>
        <v>3月</v>
      </c>
      <c r="B112" s="958" t="s">
        <v>303</v>
      </c>
      <c r="C112" s="958"/>
      <c r="D112" s="958"/>
      <c r="E112" s="958" t="s">
        <v>304</v>
      </c>
      <c r="F112" s="958"/>
      <c r="G112" s="958"/>
      <c r="H112" s="959" t="s">
        <v>305</v>
      </c>
      <c r="I112" s="379" t="str">
        <f>加算等適用状況!A25</f>
        <v>3月</v>
      </c>
      <c r="J112" s="379" t="str">
        <f>加算等適用状況!G25</f>
        <v/>
      </c>
      <c r="K112" s="379" t="str">
        <f>加算等適用状況!H25</f>
        <v/>
      </c>
      <c r="L112" s="379" t="str">
        <f>加算等適用状況!I25</f>
        <v/>
      </c>
      <c r="M112" s="379" t="str">
        <f>加算等適用状況!J25</f>
        <v/>
      </c>
      <c r="N112" s="386"/>
      <c r="O112" s="379" t="s">
        <v>296</v>
      </c>
      <c r="P112" s="379" t="s">
        <v>297</v>
      </c>
      <c r="Q112" s="379" t="s">
        <v>138</v>
      </c>
      <c r="R112" s="386"/>
      <c r="S112" s="379" t="s">
        <v>296</v>
      </c>
      <c r="T112" s="379" t="s">
        <v>297</v>
      </c>
      <c r="U112" s="379" t="s">
        <v>138</v>
      </c>
      <c r="V112" s="386"/>
      <c r="W112" s="379" t="s">
        <v>296</v>
      </c>
      <c r="X112" s="379" t="s">
        <v>297</v>
      </c>
      <c r="Y112" s="379" t="s">
        <v>138</v>
      </c>
      <c r="Z112" s="379" t="s">
        <v>296</v>
      </c>
      <c r="AA112" s="379" t="s">
        <v>297</v>
      </c>
      <c r="AB112" s="379" t="s">
        <v>138</v>
      </c>
    </row>
    <row r="113" spans="1:28">
      <c r="A113" s="956"/>
      <c r="B113" s="961" t="s">
        <v>313</v>
      </c>
      <c r="C113" s="962"/>
      <c r="D113" s="359" t="s">
        <v>314</v>
      </c>
      <c r="E113" s="961" t="s">
        <v>313</v>
      </c>
      <c r="F113" s="962"/>
      <c r="G113" s="359" t="s">
        <v>314</v>
      </c>
      <c r="H113" s="960"/>
      <c r="I113" s="380"/>
      <c r="J113" s="380"/>
      <c r="K113" s="380"/>
      <c r="L113" s="380"/>
      <c r="M113" s="380"/>
      <c r="N113" s="386"/>
      <c r="O113" s="380"/>
      <c r="P113" s="380"/>
      <c r="Q113" s="380"/>
      <c r="R113" s="386"/>
      <c r="S113" s="380"/>
      <c r="T113" s="380"/>
      <c r="U113" s="380"/>
      <c r="V113" s="386"/>
      <c r="W113" s="380"/>
      <c r="X113" s="380"/>
      <c r="Y113" s="380"/>
      <c r="Z113" s="380"/>
      <c r="AA113" s="380"/>
      <c r="AB113" s="380"/>
    </row>
    <row r="114" spans="1:28" ht="19.5">
      <c r="A114" s="957"/>
      <c r="B114" s="363" t="s">
        <v>70</v>
      </c>
      <c r="C114" s="364" t="s">
        <v>315</v>
      </c>
      <c r="D114" s="393">
        <f>ROUND(SUM(D115:D121),0)</f>
        <v>0</v>
      </c>
      <c r="E114" s="363" t="s">
        <v>70</v>
      </c>
      <c r="F114" s="364" t="s">
        <v>315</v>
      </c>
      <c r="G114" s="393">
        <f>ROUND(SUM(G115:G121),0)</f>
        <v>0</v>
      </c>
      <c r="H114" s="392">
        <f>SUM(D114,G114)</f>
        <v>0</v>
      </c>
      <c r="I114" s="380"/>
      <c r="J114" s="380"/>
      <c r="K114" s="380"/>
      <c r="L114" s="380"/>
      <c r="M114" s="380"/>
      <c r="N114" s="386"/>
      <c r="O114" s="382">
        <f>ROUND(SUM(O115:O121),0)</f>
        <v>0</v>
      </c>
      <c r="P114" s="382">
        <f>ROUND(SUM(P115:P121),0)</f>
        <v>0</v>
      </c>
      <c r="Q114" s="391">
        <f>SUM(O114,P114)</f>
        <v>0</v>
      </c>
      <c r="R114" s="386"/>
      <c r="S114" s="382">
        <f>ROUND(SUM(S115:S121),0)</f>
        <v>0</v>
      </c>
      <c r="T114" s="382">
        <f>ROUND(SUM(T115:T121),0)</f>
        <v>0</v>
      </c>
      <c r="U114" s="391">
        <f>SUM(S114,T114)</f>
        <v>0</v>
      </c>
      <c r="V114" s="386"/>
      <c r="W114" s="382">
        <f>ROUND(SUM(W115:W121),0)</f>
        <v>0</v>
      </c>
      <c r="X114" s="382">
        <f>ROUND(SUM(X115:X121),0)</f>
        <v>0</v>
      </c>
      <c r="Y114" s="391">
        <f>SUM(W114,X114)</f>
        <v>0</v>
      </c>
      <c r="Z114" s="382">
        <f>ROUND(SUM(Z115:Z121),0)</f>
        <v>0</v>
      </c>
      <c r="AA114" s="382">
        <f>ROUND(SUM(AA115:AA121),0)</f>
        <v>0</v>
      </c>
      <c r="AB114" s="391">
        <f>SUM(Z114,AA114)</f>
        <v>0</v>
      </c>
    </row>
    <row r="115" spans="1:28">
      <c r="A115" s="360" t="s">
        <v>306</v>
      </c>
      <c r="B115" s="370"/>
      <c r="C115" s="372">
        <f>様式１!E42</f>
        <v>0</v>
      </c>
      <c r="D115" s="373">
        <f>ROUNDDOWN(C115/3,1)</f>
        <v>0</v>
      </c>
      <c r="E115" s="370"/>
      <c r="F115" s="372">
        <f>様式１!M42</f>
        <v>0</v>
      </c>
      <c r="G115" s="373">
        <f>ROUNDDOWN(F115/3,1)</f>
        <v>0</v>
      </c>
      <c r="H115" s="376"/>
      <c r="I115" s="380"/>
      <c r="J115" s="380"/>
      <c r="K115" s="380"/>
      <c r="L115" s="380"/>
      <c r="M115" s="380"/>
      <c r="N115" s="386"/>
      <c r="O115" s="381"/>
      <c r="P115" s="381"/>
      <c r="Q115" s="381"/>
      <c r="R115" s="386"/>
      <c r="S115" s="382">
        <f>D115</f>
        <v>0</v>
      </c>
      <c r="T115" s="382">
        <f>G115</f>
        <v>0</v>
      </c>
      <c r="U115" s="381"/>
      <c r="V115" s="386"/>
      <c r="W115" s="382">
        <f>D115</f>
        <v>0</v>
      </c>
      <c r="X115" s="382">
        <f>G115</f>
        <v>0</v>
      </c>
      <c r="Y115" s="381"/>
      <c r="Z115" s="382">
        <f>D115</f>
        <v>0</v>
      </c>
      <c r="AA115" s="382">
        <f>G115</f>
        <v>0</v>
      </c>
      <c r="AB115" s="381"/>
    </row>
    <row r="116" spans="1:28">
      <c r="A116" s="361" t="s">
        <v>307</v>
      </c>
      <c r="B116" s="371"/>
      <c r="C116" s="367">
        <f>様式１!F42</f>
        <v>0</v>
      </c>
      <c r="D116" s="374">
        <f>ROUNDDOWN(C116/5,1)</f>
        <v>0</v>
      </c>
      <c r="E116" s="371"/>
      <c r="F116" s="367">
        <f>様式１!N42</f>
        <v>0</v>
      </c>
      <c r="G116" s="374">
        <f>ROUNDDOWN(F116/5,1)</f>
        <v>0</v>
      </c>
      <c r="H116" s="377"/>
      <c r="I116" s="380"/>
      <c r="J116" s="380"/>
      <c r="K116" s="380"/>
      <c r="L116" s="380"/>
      <c r="M116" s="380"/>
      <c r="N116" s="386"/>
      <c r="O116" s="381"/>
      <c r="P116" s="381"/>
      <c r="Q116" s="381"/>
      <c r="R116" s="386"/>
      <c r="S116" s="382">
        <f>D116</f>
        <v>0</v>
      </c>
      <c r="T116" s="382">
        <f>G116</f>
        <v>0</v>
      </c>
      <c r="U116" s="381"/>
      <c r="V116" s="386"/>
      <c r="W116" s="963">
        <f>IF(L112="○",ROUNDDOWN(C116/5,1)+ROUNDDOWN(C117/6,1),ROUNDDOWN(SUM(C116:C117)/6,1))</f>
        <v>0</v>
      </c>
      <c r="X116" s="963">
        <f>IF(L112="○",ROUNDDOWN(F116/5,1)+ROUNDDOWN(F117/6,1),ROUNDDOWN(SUM(F116:F117)/6,1))</f>
        <v>0</v>
      </c>
      <c r="Y116" s="381"/>
      <c r="Z116" s="963">
        <f>ROUNDDOWN(SUM(C116:C117)/6,1)</f>
        <v>0</v>
      </c>
      <c r="AA116" s="963">
        <f>ROUNDDOWN(SUM(F116:F117)/6,1)</f>
        <v>0</v>
      </c>
      <c r="AB116" s="381"/>
    </row>
    <row r="117" spans="1:28">
      <c r="A117" s="361" t="s">
        <v>308</v>
      </c>
      <c r="B117" s="371"/>
      <c r="C117" s="367">
        <f>様式１!G42</f>
        <v>0</v>
      </c>
      <c r="D117" s="374">
        <f>ROUNDDOWN(C117/6,1)</f>
        <v>0</v>
      </c>
      <c r="E117" s="371"/>
      <c r="F117" s="367">
        <f>様式１!O42</f>
        <v>0</v>
      </c>
      <c r="G117" s="374">
        <f>ROUNDDOWN(F117/6,1)</f>
        <v>0</v>
      </c>
      <c r="H117" s="377"/>
      <c r="I117" s="380"/>
      <c r="J117" s="380"/>
      <c r="K117" s="380"/>
      <c r="L117" s="380"/>
      <c r="M117" s="380"/>
      <c r="N117" s="386"/>
      <c r="O117" s="381"/>
      <c r="P117" s="381"/>
      <c r="Q117" s="381"/>
      <c r="R117" s="386"/>
      <c r="S117" s="382">
        <f>D117</f>
        <v>0</v>
      </c>
      <c r="T117" s="382">
        <f>G117</f>
        <v>0</v>
      </c>
      <c r="U117" s="381"/>
      <c r="V117" s="386"/>
      <c r="W117" s="964"/>
      <c r="X117" s="964"/>
      <c r="Y117" s="381"/>
      <c r="Z117" s="964"/>
      <c r="AA117" s="964"/>
      <c r="AB117" s="381"/>
    </row>
    <row r="118" spans="1:28">
      <c r="A118" s="361" t="s">
        <v>309</v>
      </c>
      <c r="B118" s="365">
        <f>様式１!H40</f>
        <v>0</v>
      </c>
      <c r="C118" s="366"/>
      <c r="D118" s="374">
        <f>IF($M112="○",ROUNDDOWN(B118/6,1),IF($K112="○",ROUNDDOWN(B118/15,1),ROUNDDOWN(B118/20,1)))</f>
        <v>0</v>
      </c>
      <c r="E118" s="365">
        <f>様式１!P40</f>
        <v>0</v>
      </c>
      <c r="F118" s="366"/>
      <c r="G118" s="374">
        <f>IF($M112="○",ROUNDDOWN(E118/6,1),IF($K112="○",ROUNDDOWN(E118/15,1),ROUNDDOWN(E118/20,1)))</f>
        <v>0</v>
      </c>
      <c r="H118" s="377"/>
      <c r="I118" s="380"/>
      <c r="J118" s="380"/>
      <c r="K118" s="380"/>
      <c r="L118" s="380"/>
      <c r="M118" s="380"/>
      <c r="N118" s="386"/>
      <c r="O118" s="382">
        <f>D118</f>
        <v>0</v>
      </c>
      <c r="P118" s="382">
        <f>G118</f>
        <v>0</v>
      </c>
      <c r="Q118" s="381"/>
      <c r="R118" s="386"/>
      <c r="S118" s="382">
        <f>IF($M112="○",ROUNDDOWN(B118/6,1),ROUNDDOWN(B118/15,1))</f>
        <v>0</v>
      </c>
      <c r="T118" s="382">
        <f>IF($M112="○",ROUNDDOWN(E118/6,1),ROUNDDOWN(E118/15,1))</f>
        <v>0</v>
      </c>
      <c r="U118" s="381"/>
      <c r="V118" s="386"/>
      <c r="W118" s="382">
        <f>D118</f>
        <v>0</v>
      </c>
      <c r="X118" s="382">
        <f>G118</f>
        <v>0</v>
      </c>
      <c r="Y118" s="381"/>
      <c r="Z118" s="382">
        <f>ROUNDDOWN(B118/20,1)</f>
        <v>0</v>
      </c>
      <c r="AA118" s="382">
        <f>ROUNDDOWN(E118/20,1)</f>
        <v>0</v>
      </c>
      <c r="AB118" s="381"/>
    </row>
    <row r="119" spans="1:28">
      <c r="A119" s="361" t="s">
        <v>310</v>
      </c>
      <c r="B119" s="365">
        <f>様式１!I40</f>
        <v>0</v>
      </c>
      <c r="C119" s="367">
        <f>様式１!I41</f>
        <v>0</v>
      </c>
      <c r="D119" s="374">
        <f>IF($K112="○",ROUNDDOWN((B119+C119)/15,1),ROUNDDOWN(B119/20,1)+ROUNDDOWN(C119/15,1))</f>
        <v>0</v>
      </c>
      <c r="E119" s="365">
        <f>様式１!Q40</f>
        <v>0</v>
      </c>
      <c r="F119" s="367">
        <f>様式１!Q41</f>
        <v>0</v>
      </c>
      <c r="G119" s="374">
        <f>IF($K112="○",ROUNDDOWN((E119+F119)/15,1),ROUNDDOWN(E119/20,1)+ROUNDDOWN(F119/15,1))</f>
        <v>0</v>
      </c>
      <c r="H119" s="377"/>
      <c r="I119" s="380"/>
      <c r="J119" s="380"/>
      <c r="K119" s="380"/>
      <c r="L119" s="380"/>
      <c r="M119" s="380"/>
      <c r="N119" s="386"/>
      <c r="O119" s="382">
        <f>IF($K112="○",ROUNDDOWN(B119/15,1),ROUNDDOWN(B119/20,1))</f>
        <v>0</v>
      </c>
      <c r="P119" s="382">
        <f>IF($K112="○",ROUNDDOWN(E119/15,1),ROUNDDOWN(E119/20,1))</f>
        <v>0</v>
      </c>
      <c r="Q119" s="381"/>
      <c r="R119" s="386"/>
      <c r="S119" s="382">
        <f>ROUNDDOWN((B119+C119)/15,1)</f>
        <v>0</v>
      </c>
      <c r="T119" s="382">
        <f>ROUNDDOWN((E119+F119)/15,1)</f>
        <v>0</v>
      </c>
      <c r="U119" s="381"/>
      <c r="V119" s="386"/>
      <c r="W119" s="382">
        <f>IF(K112="○",ROUNDDOWN(SUM(B119:C119)/15,1),ROUNDDOWN(SUM(B119:C119)/20,1))</f>
        <v>0</v>
      </c>
      <c r="X119" s="382">
        <f>IF(K112="○",ROUNDDOWN(SUM(E119:F119)/15,1),ROUNDDOWN(SUM(E119:F119)/20,1))</f>
        <v>0</v>
      </c>
      <c r="Y119" s="381"/>
      <c r="Z119" s="382">
        <f>ROUNDDOWN(SUM(B119:C119)/20,1)</f>
        <v>0</v>
      </c>
      <c r="AA119" s="382">
        <f>ROUNDDOWN(SUM(E119:F119)/20,1)</f>
        <v>0</v>
      </c>
      <c r="AB119" s="381"/>
    </row>
    <row r="120" spans="1:28">
      <c r="A120" s="361" t="s">
        <v>311</v>
      </c>
      <c r="B120" s="365">
        <f>様式１!J40</f>
        <v>0</v>
      </c>
      <c r="C120" s="367">
        <f>様式１!J41</f>
        <v>0</v>
      </c>
      <c r="D120" s="965">
        <f>IF($J112="○",ROUNDDOWN(SUM(B120,B121,C121)/25,1)+ROUNDDOWN(C120/20,1),ROUNDDOWN(SUM(B120,B121)/30,1)+ROUNDDOWN(C120/20,1)+ROUNDDOWN(C121/25,1))</f>
        <v>0</v>
      </c>
      <c r="E120" s="365">
        <f>様式１!R40</f>
        <v>0</v>
      </c>
      <c r="F120" s="367">
        <f>様式１!R41</f>
        <v>0</v>
      </c>
      <c r="G120" s="965">
        <f>IF($J112="○",ROUNDDOWN(SUM(E120,E121,F121)/25,1)+ROUNDDOWN(F120/20,1),ROUNDDOWN(SUM(E120,E121)/30,1)+ROUNDDOWN(F120/20,1)+ROUNDDOWN(F121/25,1))</f>
        <v>0</v>
      </c>
      <c r="H120" s="377"/>
      <c r="I120" s="380"/>
      <c r="J120" s="380"/>
      <c r="K120" s="380"/>
      <c r="L120" s="380"/>
      <c r="M120" s="380"/>
      <c r="N120" s="386"/>
      <c r="O120" s="963">
        <f>IF($J112="○",ROUNDDOWN(SUM(B120,B121)/25,1),ROUNDDOWN(SUM(B120,B121)/30,1))</f>
        <v>0</v>
      </c>
      <c r="P120" s="963">
        <f>IF($J112="○",ROUNDDOWN(SUM(E120,E121)/25,1),ROUNDDOWN(SUM(E120,E121)/30,1))</f>
        <v>0</v>
      </c>
      <c r="Q120" s="381"/>
      <c r="R120" s="386"/>
      <c r="S120" s="963">
        <f>ROUNDDOWN(SUM(B120,B121,C121)/25,1)+ROUNDDOWN(C120/20,1)</f>
        <v>0</v>
      </c>
      <c r="T120" s="963">
        <f>ROUNDDOWN(SUM(E120,E121,F121)/25,1)+ROUNDDOWN(F120/20,1)</f>
        <v>0</v>
      </c>
      <c r="U120" s="381"/>
      <c r="V120" s="386"/>
      <c r="W120" s="963">
        <f>IF(J112="○",ROUNDDOWN(SUM(B120:C121)/25,1),ROUNDDOWN(SUM(B120:C121)/30,1))</f>
        <v>0</v>
      </c>
      <c r="X120" s="963">
        <f>IF(J112="○",ROUNDDOWN(SUM(E120:F121)/25,1),ROUNDDOWN(SUM(E120:F121)/30,1))</f>
        <v>0</v>
      </c>
      <c r="Y120" s="381"/>
      <c r="Z120" s="963">
        <f>ROUNDDOWN(SUM(B120:C121)/30,1)</f>
        <v>0</v>
      </c>
      <c r="AA120" s="963">
        <f>ROUNDDOWN(SUM(E120:F121)/30,1)</f>
        <v>0</v>
      </c>
      <c r="AB120" s="381"/>
    </row>
    <row r="121" spans="1:28" ht="19.5" thickBot="1">
      <c r="A121" s="362" t="s">
        <v>312</v>
      </c>
      <c r="B121" s="368">
        <f>様式１!K40</f>
        <v>0</v>
      </c>
      <c r="C121" s="369">
        <f>様式１!K41</f>
        <v>0</v>
      </c>
      <c r="D121" s="966"/>
      <c r="E121" s="368">
        <f>様式１!S40</f>
        <v>0</v>
      </c>
      <c r="F121" s="369">
        <f>様式１!S41</f>
        <v>0</v>
      </c>
      <c r="G121" s="966"/>
      <c r="H121" s="378"/>
      <c r="I121" s="380"/>
      <c r="J121" s="380"/>
      <c r="K121" s="380"/>
      <c r="L121" s="380"/>
      <c r="M121" s="380"/>
      <c r="N121" s="386"/>
      <c r="O121" s="964"/>
      <c r="P121" s="964"/>
      <c r="Q121" s="381"/>
      <c r="R121" s="386"/>
      <c r="S121" s="964"/>
      <c r="T121" s="964"/>
      <c r="U121" s="381"/>
      <c r="V121" s="386"/>
      <c r="W121" s="964"/>
      <c r="X121" s="964"/>
      <c r="Y121" s="381"/>
      <c r="Z121" s="964"/>
      <c r="AA121" s="964"/>
      <c r="AB121" s="381"/>
    </row>
  </sheetData>
  <sheetProtection algorithmName="SHA-512" hashValue="bfrDNXKHrf69HuhkoT9nlZkAW+KtPXi8UQzFuSKd0eskVRb+WukB1vyAtfb0yzjL/Vp6eJw10aoK2h3Rlb3S/g==" saltValue="/iMM8riub7WrSymz1r+eZQ==" spinCount="100000" sheet="1" objects="1" scenarios="1"/>
  <mergeCells count="236">
    <mergeCell ref="W116:W117"/>
    <mergeCell ref="X116:X117"/>
    <mergeCell ref="Z116:Z117"/>
    <mergeCell ref="AA116:AA117"/>
    <mergeCell ref="Z86:Z87"/>
    <mergeCell ref="AA86:AA87"/>
    <mergeCell ref="W96:W97"/>
    <mergeCell ref="X96:X97"/>
    <mergeCell ref="Z96:Z97"/>
    <mergeCell ref="AA96:AA97"/>
    <mergeCell ref="W106:W107"/>
    <mergeCell ref="X106:X107"/>
    <mergeCell ref="Z106:Z107"/>
    <mergeCell ref="AA106:AA107"/>
    <mergeCell ref="W60:W61"/>
    <mergeCell ref="X60:X61"/>
    <mergeCell ref="Z60:Z61"/>
    <mergeCell ref="AA60:AA61"/>
    <mergeCell ref="W66:W67"/>
    <mergeCell ref="X66:X67"/>
    <mergeCell ref="Z66:Z67"/>
    <mergeCell ref="AA66:AA67"/>
    <mergeCell ref="W76:W77"/>
    <mergeCell ref="X76:X77"/>
    <mergeCell ref="Z76:Z77"/>
    <mergeCell ref="AA76:AA77"/>
    <mergeCell ref="W70:W71"/>
    <mergeCell ref="X70:X71"/>
    <mergeCell ref="Z36:Z37"/>
    <mergeCell ref="AA36:AA37"/>
    <mergeCell ref="W46:W47"/>
    <mergeCell ref="X46:X47"/>
    <mergeCell ref="Z46:Z47"/>
    <mergeCell ref="AA46:AA47"/>
    <mergeCell ref="W56:W57"/>
    <mergeCell ref="X56:X57"/>
    <mergeCell ref="Z56:Z57"/>
    <mergeCell ref="AA56:AA57"/>
    <mergeCell ref="W6:W7"/>
    <mergeCell ref="X6:X7"/>
    <mergeCell ref="Z6:Z7"/>
    <mergeCell ref="AA6:AA7"/>
    <mergeCell ref="W16:W17"/>
    <mergeCell ref="X16:X17"/>
    <mergeCell ref="Z16:Z17"/>
    <mergeCell ref="AA16:AA17"/>
    <mergeCell ref="W26:W27"/>
    <mergeCell ref="X26:X27"/>
    <mergeCell ref="Z26:Z27"/>
    <mergeCell ref="AA26:AA27"/>
    <mergeCell ref="W10:W11"/>
    <mergeCell ref="X10:X11"/>
    <mergeCell ref="W20:W21"/>
    <mergeCell ref="X20:X21"/>
    <mergeCell ref="W120:W121"/>
    <mergeCell ref="X120:X121"/>
    <mergeCell ref="Z10:Z11"/>
    <mergeCell ref="AA10:AA11"/>
    <mergeCell ref="Z20:Z21"/>
    <mergeCell ref="AA20:AA21"/>
    <mergeCell ref="Z30:Z31"/>
    <mergeCell ref="AA30:AA31"/>
    <mergeCell ref="Z40:Z41"/>
    <mergeCell ref="AA40:AA41"/>
    <mergeCell ref="Z50:Z51"/>
    <mergeCell ref="AA50:AA51"/>
    <mergeCell ref="Z70:Z71"/>
    <mergeCell ref="AA70:AA71"/>
    <mergeCell ref="Z80:Z81"/>
    <mergeCell ref="AA80:AA81"/>
    <mergeCell ref="Z90:Z91"/>
    <mergeCell ref="AA90:AA91"/>
    <mergeCell ref="Z100:Z101"/>
    <mergeCell ref="AA100:AA101"/>
    <mergeCell ref="Z110:Z111"/>
    <mergeCell ref="AA110:AA111"/>
    <mergeCell ref="Z120:Z121"/>
    <mergeCell ref="AA120:AA121"/>
    <mergeCell ref="W30:W31"/>
    <mergeCell ref="X30:X31"/>
    <mergeCell ref="W40:W41"/>
    <mergeCell ref="X40:X41"/>
    <mergeCell ref="W50:W51"/>
    <mergeCell ref="X50:X51"/>
    <mergeCell ref="W36:W37"/>
    <mergeCell ref="X36:X37"/>
    <mergeCell ref="P110:P111"/>
    <mergeCell ref="S110:S111"/>
    <mergeCell ref="T110:T111"/>
    <mergeCell ref="P70:P71"/>
    <mergeCell ref="S70:S71"/>
    <mergeCell ref="T70:T71"/>
    <mergeCell ref="W80:W81"/>
    <mergeCell ref="X80:X81"/>
    <mergeCell ref="W90:W91"/>
    <mergeCell ref="X90:X91"/>
    <mergeCell ref="W100:W101"/>
    <mergeCell ref="X100:X101"/>
    <mergeCell ref="W110:W111"/>
    <mergeCell ref="X110:X111"/>
    <mergeCell ref="W86:W87"/>
    <mergeCell ref="X86:X87"/>
    <mergeCell ref="O120:O121"/>
    <mergeCell ref="P120:P121"/>
    <mergeCell ref="S120:S121"/>
    <mergeCell ref="T120:T121"/>
    <mergeCell ref="O90:O91"/>
    <mergeCell ref="P90:P91"/>
    <mergeCell ref="S90:S91"/>
    <mergeCell ref="T90:T91"/>
    <mergeCell ref="O100:O101"/>
    <mergeCell ref="P100:P101"/>
    <mergeCell ref="S100:S101"/>
    <mergeCell ref="T100:T101"/>
    <mergeCell ref="P80:P81"/>
    <mergeCell ref="S80:S81"/>
    <mergeCell ref="T80:T81"/>
    <mergeCell ref="O40:O41"/>
    <mergeCell ref="P40:P41"/>
    <mergeCell ref="S40:S41"/>
    <mergeCell ref="T40:T41"/>
    <mergeCell ref="O50:O51"/>
    <mergeCell ref="P50:P51"/>
    <mergeCell ref="S50:S51"/>
    <mergeCell ref="T50:T51"/>
    <mergeCell ref="P20:P21"/>
    <mergeCell ref="S20:S21"/>
    <mergeCell ref="T20:T21"/>
    <mergeCell ref="O30:O31"/>
    <mergeCell ref="P30:P31"/>
    <mergeCell ref="S30:S31"/>
    <mergeCell ref="T30:T31"/>
    <mergeCell ref="D120:D121"/>
    <mergeCell ref="G20:G21"/>
    <mergeCell ref="G30:G31"/>
    <mergeCell ref="G40:G41"/>
    <mergeCell ref="G50:G51"/>
    <mergeCell ref="G60:G61"/>
    <mergeCell ref="G70:G71"/>
    <mergeCell ref="G80:G81"/>
    <mergeCell ref="G90:G91"/>
    <mergeCell ref="G100:G101"/>
    <mergeCell ref="G110:G111"/>
    <mergeCell ref="G120:G121"/>
    <mergeCell ref="D70:D71"/>
    <mergeCell ref="D80:D81"/>
    <mergeCell ref="D90:D91"/>
    <mergeCell ref="D100:D101"/>
    <mergeCell ref="O70:O71"/>
    <mergeCell ref="D110:D111"/>
    <mergeCell ref="D20:D21"/>
    <mergeCell ref="D30:D31"/>
    <mergeCell ref="D40:D41"/>
    <mergeCell ref="D50:D51"/>
    <mergeCell ref="D60:D61"/>
    <mergeCell ref="D10:D11"/>
    <mergeCell ref="G10:G11"/>
    <mergeCell ref="O10:O11"/>
    <mergeCell ref="H82:H83"/>
    <mergeCell ref="O20:O21"/>
    <mergeCell ref="O110:O111"/>
    <mergeCell ref="O80:O81"/>
    <mergeCell ref="P10:P11"/>
    <mergeCell ref="T10:T11"/>
    <mergeCell ref="S10:S11"/>
    <mergeCell ref="A112:A114"/>
    <mergeCell ref="B112:D112"/>
    <mergeCell ref="E112:G112"/>
    <mergeCell ref="H112:H113"/>
    <mergeCell ref="B113:C113"/>
    <mergeCell ref="E113:F113"/>
    <mergeCell ref="A102:A104"/>
    <mergeCell ref="B102:D102"/>
    <mergeCell ref="E102:G102"/>
    <mergeCell ref="H102:H103"/>
    <mergeCell ref="B103:C103"/>
    <mergeCell ref="E103:F103"/>
    <mergeCell ref="A92:A94"/>
    <mergeCell ref="B92:D92"/>
    <mergeCell ref="E92:G92"/>
    <mergeCell ref="H92:H93"/>
    <mergeCell ref="B93:C93"/>
    <mergeCell ref="E93:F93"/>
    <mergeCell ref="A82:A84"/>
    <mergeCell ref="B82:D82"/>
    <mergeCell ref="E82:G82"/>
    <mergeCell ref="B83:C83"/>
    <mergeCell ref="E83:F83"/>
    <mergeCell ref="A72:A74"/>
    <mergeCell ref="B72:D72"/>
    <mergeCell ref="E72:G72"/>
    <mergeCell ref="H72:H73"/>
    <mergeCell ref="B73:C73"/>
    <mergeCell ref="E73:F73"/>
    <mergeCell ref="A62:A64"/>
    <mergeCell ref="B62:D62"/>
    <mergeCell ref="E62:G62"/>
    <mergeCell ref="H62:H63"/>
    <mergeCell ref="B63:C63"/>
    <mergeCell ref="E63:F63"/>
    <mergeCell ref="A52:A54"/>
    <mergeCell ref="B52:D52"/>
    <mergeCell ref="E52:G52"/>
    <mergeCell ref="H52:H53"/>
    <mergeCell ref="B53:C53"/>
    <mergeCell ref="E53:F53"/>
    <mergeCell ref="A42:A44"/>
    <mergeCell ref="B42:D42"/>
    <mergeCell ref="E42:G42"/>
    <mergeCell ref="H42:H43"/>
    <mergeCell ref="B43:C43"/>
    <mergeCell ref="E43:F43"/>
    <mergeCell ref="A32:A34"/>
    <mergeCell ref="B32:D32"/>
    <mergeCell ref="E32:G32"/>
    <mergeCell ref="H32:H33"/>
    <mergeCell ref="B33:C33"/>
    <mergeCell ref="E33:F33"/>
    <mergeCell ref="A22:A24"/>
    <mergeCell ref="B22:D22"/>
    <mergeCell ref="E22:G22"/>
    <mergeCell ref="H22:H23"/>
    <mergeCell ref="B23:C23"/>
    <mergeCell ref="E23:F23"/>
    <mergeCell ref="A12:A14"/>
    <mergeCell ref="B12:D12"/>
    <mergeCell ref="E12:G12"/>
    <mergeCell ref="H12:H13"/>
    <mergeCell ref="B13:C13"/>
    <mergeCell ref="E13:F13"/>
    <mergeCell ref="B2:D2"/>
    <mergeCell ref="E2:G2"/>
    <mergeCell ref="H2:H3"/>
    <mergeCell ref="A2:A4"/>
    <mergeCell ref="B3:C3"/>
    <mergeCell ref="E3:F3"/>
  </mergeCells>
  <phoneticPr fontId="3"/>
  <pageMargins left="0.7" right="0.7" top="0.75" bottom="0.75" header="0.3" footer="0.3"/>
  <pageSetup paperSize="9" orientation="portrait" r:id="rId1"/>
  <rowBreaks count="2" manualBreakCount="2">
    <brk id="41" max="7" man="1"/>
    <brk id="81" max="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98D064-45FD-4E81-B96E-E4EDF3BD89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4D44F7-28D4-428E-BAD9-B8F691530997}">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969412e4-d251-4e26-bdb4-68e1ea62bdc9"/>
    <ds:schemaRef ds:uri="86fe2376-a461-484d-b605-a81827c037b8"/>
    <ds:schemaRef ds:uri="http://www.w3.org/XML/1998/namespace"/>
  </ds:schemaRefs>
</ds:datastoreItem>
</file>

<file path=customXml/itemProps3.xml><?xml version="1.0" encoding="utf-8"?>
<ds:datastoreItem xmlns:ds="http://schemas.openxmlformats.org/officeDocument/2006/customXml" ds:itemID="{7D2513EF-B773-4443-A2B2-EA63120C6B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【京都市集計】</vt:lpstr>
      <vt:lpstr>【補助金算定に係る確認表】</vt:lpstr>
      <vt:lpstr>様式１</vt:lpstr>
      <vt:lpstr>加算等適用状況</vt:lpstr>
      <vt:lpstr>様式１－１（【本園分】標準時間対応）</vt:lpstr>
      <vt:lpstr>様式１－２（【分園分】標準時間対応）</vt:lpstr>
      <vt:lpstr>様式２（専従の常勤）</vt:lpstr>
      <vt:lpstr>様式３（非専従の常勤＋非常勤）</vt:lpstr>
      <vt:lpstr>参考_歳児別配置基準</vt:lpstr>
      <vt:lpstr>職員一覧</vt:lpstr>
      <vt:lpstr>Sheet2</vt:lpstr>
      <vt:lpstr>【京都市集計】!Print_Area</vt:lpstr>
      <vt:lpstr>【補助金算定に係る確認表】!Print_Area</vt:lpstr>
      <vt:lpstr>Sheet2!Print_Area</vt:lpstr>
      <vt:lpstr>加算等適用状況!Print_Area</vt:lpstr>
      <vt:lpstr>参考_歳児別配置基準!Print_Area</vt:lpstr>
      <vt:lpstr>様式１!Print_Area</vt:lpstr>
      <vt:lpstr>'様式１－１（【本園分】標準時間対応）'!Print_Area</vt:lpstr>
      <vt:lpstr>'様式１－２（【分園分】標準時間対応）'!Print_Area</vt:lpstr>
      <vt:lpstr>'様式２（専従の常勤）'!Print_Area</vt:lpstr>
      <vt:lpstr>'様式３（非専従の常勤＋非常勤）'!Print_Area</vt:lpstr>
      <vt:lpstr>様式１!Print_Titles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河田 修</dc:creator>
  <cp:lastModifiedBy>Hiroi</cp:lastModifiedBy>
  <cp:lastPrinted>2025-02-21T07:41:22Z</cp:lastPrinted>
  <dcterms:created xsi:type="dcterms:W3CDTF">2004-04-07T04:46:17Z</dcterms:created>
  <dcterms:modified xsi:type="dcterms:W3CDTF">2026-06-09T04:08:37Z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