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omments6.xml" ContentType="application/vnd.openxmlformats-officedocument.spreadsheetml.comments+xml"/>
  <Override PartName="/xl/drawings/drawing3.xml" ContentType="application/vnd.openxmlformats-officedocument.drawing+xml"/>
  <Override PartName="/xl/comments7.xml" ContentType="application/vnd.openxmlformats-officedocument.spreadsheetml.comments+xml"/>
  <Override PartName="/xl/drawings/drawing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Users\hiqbe867\Desktop\☆決裁用\"/>
    </mc:Choice>
  </mc:AlternateContent>
  <xr:revisionPtr revIDLastSave="0" documentId="13_ncr:1_{F0C8918B-0EA4-4F21-AAD5-2E8CBAF83F53}" xr6:coauthVersionLast="47" xr6:coauthVersionMax="47" xr10:uidLastSave="{00000000-0000-0000-0000-000000000000}"/>
  <bookViews>
    <workbookView xWindow="-20610" yWindow="5775" windowWidth="20730" windowHeight="11310" tabRatio="726" firstSheet="2" activeTab="2" xr2:uid="{BD76F20E-015C-47AF-A494-E98D25D00FA8}"/>
  </bookViews>
  <sheets>
    <sheet name="【京都市集計】" sheetId="77" r:id="rId1"/>
    <sheet name="【補助金算定に係る確認表】" sheetId="73" r:id="rId2"/>
    <sheet name="様式１" sheetId="64" r:id="rId3"/>
    <sheet name="加算等適用状況" sheetId="74" r:id="rId4"/>
    <sheet name="様式１－１（【本園分】標準時間対応）" sheetId="71" r:id="rId5"/>
    <sheet name="様式１－２（【分園分】標準時間対応）" sheetId="72" r:id="rId6"/>
    <sheet name="様式２（専従の常勤）" sheetId="69" r:id="rId7"/>
    <sheet name="様式３（非専従の常勤＋非常勤）" sheetId="68" r:id="rId8"/>
    <sheet name="参考_歳児別配置基準" sheetId="76" r:id="rId9"/>
    <sheet name="Sheet2" sheetId="67" state="hidden" r:id="rId10"/>
  </sheets>
  <definedNames>
    <definedName name="_xlnm.Print_Area" localSheetId="0">【京都市集計】!$A$1:$AN$13</definedName>
    <definedName name="_xlnm.Print_Area" localSheetId="1">【補助金算定に係る確認表】!$B$1:$AG$25</definedName>
    <definedName name="_xlnm.Print_Area" localSheetId="9">Sheet2!$A$1:$AM$35</definedName>
    <definedName name="_xlnm.Print_Area" localSheetId="3">加算等適用状況!$A$1:$N$25</definedName>
    <definedName name="_xlnm.Print_Area" localSheetId="8">参考_歳児別配置基準!$A$1:$H$121</definedName>
    <definedName name="_xlnm.Print_Area" localSheetId="2">様式１!$A$1:$BP$54</definedName>
    <definedName name="_xlnm.Print_Area" localSheetId="4">'様式１－１（【本園分】標準時間対応）'!$A$1:$AZ$30</definedName>
    <definedName name="_xlnm.Print_Area" localSheetId="5">'様式１－２（【分園分】標準時間対応）'!$A$1:$AZ$30</definedName>
    <definedName name="_xlnm.Print_Area" localSheetId="6">'様式２（専従の常勤）'!$A$1:$R$86</definedName>
    <definedName name="_xlnm.Print_Area" localSheetId="7">'様式３（非専従の常勤＋非常勤）'!$A$1:$AK$58</definedName>
    <definedName name="_xlnm.Print_Titles" localSheetId="2">様式１!$3:$6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43" i="64" l="1"/>
  <c r="AM43" i="64"/>
  <c r="AP7" i="64"/>
  <c r="AN2" i="77"/>
  <c r="AN9" i="77" s="1"/>
  <c r="AG13" i="77"/>
  <c r="AG12" i="77"/>
  <c r="AG11" i="77"/>
  <c r="AG10" i="77"/>
  <c r="AG9" i="77"/>
  <c r="AG8" i="77"/>
  <c r="AG7" i="77"/>
  <c r="AG6" i="77"/>
  <c r="AG5" i="77"/>
  <c r="AG4" i="77"/>
  <c r="AG3" i="77"/>
  <c r="AF13" i="77"/>
  <c r="AF12" i="77"/>
  <c r="AF11" i="77"/>
  <c r="AF10" i="77"/>
  <c r="AF9" i="77"/>
  <c r="AF8" i="77"/>
  <c r="AF7" i="77"/>
  <c r="AF6" i="77"/>
  <c r="AF5" i="77"/>
  <c r="AF4" i="77"/>
  <c r="AF3" i="77"/>
  <c r="AE13" i="77"/>
  <c r="AE12" i="77"/>
  <c r="AE11" i="77"/>
  <c r="AE10" i="77"/>
  <c r="AE9" i="77"/>
  <c r="AE8" i="77"/>
  <c r="AE7" i="77"/>
  <c r="AE6" i="77"/>
  <c r="AE5" i="77"/>
  <c r="AE4" i="77"/>
  <c r="AE3" i="77"/>
  <c r="AA120" i="76"/>
  <c r="Z120" i="76"/>
  <c r="X120" i="76"/>
  <c r="W120" i="76"/>
  <c r="AA119" i="76"/>
  <c r="Z119" i="76"/>
  <c r="X119" i="76"/>
  <c r="W119" i="76"/>
  <c r="AA118" i="76"/>
  <c r="Z118" i="76"/>
  <c r="X118" i="76"/>
  <c r="W118" i="76"/>
  <c r="AA116" i="76"/>
  <c r="Z116" i="76"/>
  <c r="X116" i="76"/>
  <c r="W116" i="76"/>
  <c r="W114" i="76" s="1"/>
  <c r="Y114" i="76" s="1"/>
  <c r="AA115" i="76"/>
  <c r="Z115" i="76"/>
  <c r="Z114" i="76" s="1"/>
  <c r="AB114" i="76" s="1"/>
  <c r="X115" i="76"/>
  <c r="W115" i="76"/>
  <c r="AA114" i="76"/>
  <c r="X114" i="76"/>
  <c r="AA110" i="76"/>
  <c r="Z110" i="76"/>
  <c r="X110" i="76"/>
  <c r="W110" i="76"/>
  <c r="AA109" i="76"/>
  <c r="Z109" i="76"/>
  <c r="X109" i="76"/>
  <c r="W109" i="76"/>
  <c r="AA108" i="76"/>
  <c r="Z108" i="76"/>
  <c r="X108" i="76"/>
  <c r="W108" i="76"/>
  <c r="AA106" i="76"/>
  <c r="Z106" i="76"/>
  <c r="Z104" i="76" s="1"/>
  <c r="AB104" i="76" s="1"/>
  <c r="X106" i="76"/>
  <c r="W106" i="76"/>
  <c r="W104" i="76" s="1"/>
  <c r="Y104" i="76" s="1"/>
  <c r="AA105" i="76"/>
  <c r="Z105" i="76"/>
  <c r="X105" i="76"/>
  <c r="W105" i="76"/>
  <c r="AA104" i="76"/>
  <c r="X104" i="76"/>
  <c r="AA100" i="76"/>
  <c r="Z100" i="76"/>
  <c r="X100" i="76"/>
  <c r="W100" i="76"/>
  <c r="AA99" i="76"/>
  <c r="Z99" i="76"/>
  <c r="X99" i="76"/>
  <c r="W99" i="76"/>
  <c r="AA98" i="76"/>
  <c r="Z98" i="76"/>
  <c r="X98" i="76"/>
  <c r="W98" i="76"/>
  <c r="AA96" i="76"/>
  <c r="Z96" i="76"/>
  <c r="Z94" i="76" s="1"/>
  <c r="AB94" i="76" s="1"/>
  <c r="X96" i="76"/>
  <c r="W96" i="76"/>
  <c r="W94" i="76" s="1"/>
  <c r="Y94" i="76" s="1"/>
  <c r="AA95" i="76"/>
  <c r="Z95" i="76"/>
  <c r="X95" i="76"/>
  <c r="W95" i="76"/>
  <c r="AA94" i="76"/>
  <c r="X94" i="76"/>
  <c r="AA90" i="76"/>
  <c r="Z90" i="76"/>
  <c r="X90" i="76"/>
  <c r="W90" i="76"/>
  <c r="AA89" i="76"/>
  <c r="Z89" i="76"/>
  <c r="X89" i="76"/>
  <c r="W89" i="76"/>
  <c r="AA88" i="76"/>
  <c r="Z88" i="76"/>
  <c r="X88" i="76"/>
  <c r="W88" i="76"/>
  <c r="AA86" i="76"/>
  <c r="Z86" i="76"/>
  <c r="Z84" i="76" s="1"/>
  <c r="AB84" i="76" s="1"/>
  <c r="X86" i="76"/>
  <c r="W86" i="76"/>
  <c r="AA85" i="76"/>
  <c r="Z85" i="76"/>
  <c r="X85" i="76"/>
  <c r="W85" i="76"/>
  <c r="AA84" i="76"/>
  <c r="Y84" i="76"/>
  <c r="X84" i="76"/>
  <c r="W84" i="76"/>
  <c r="AA80" i="76"/>
  <c r="Z80" i="76"/>
  <c r="X80" i="76"/>
  <c r="W80" i="76"/>
  <c r="AA79" i="76"/>
  <c r="Z79" i="76"/>
  <c r="X79" i="76"/>
  <c r="W79" i="76"/>
  <c r="AA78" i="76"/>
  <c r="Z78" i="76"/>
  <c r="X78" i="76"/>
  <c r="W78" i="76"/>
  <c r="AA76" i="76"/>
  <c r="Z76" i="76"/>
  <c r="X76" i="76"/>
  <c r="W76" i="76"/>
  <c r="W74" i="76" s="1"/>
  <c r="Y74" i="76" s="1"/>
  <c r="AA75" i="76"/>
  <c r="Z75" i="76"/>
  <c r="X75" i="76"/>
  <c r="W75" i="76"/>
  <c r="AB74" i="76"/>
  <c r="AA74" i="76"/>
  <c r="Z74" i="76"/>
  <c r="X74" i="76"/>
  <c r="AA70" i="76"/>
  <c r="Z70" i="76"/>
  <c r="X70" i="76"/>
  <c r="W70" i="76"/>
  <c r="AA69" i="76"/>
  <c r="Z69" i="76"/>
  <c r="X69" i="76"/>
  <c r="W69" i="76"/>
  <c r="AA68" i="76"/>
  <c r="Z68" i="76"/>
  <c r="X68" i="76"/>
  <c r="W68" i="76"/>
  <c r="AA66" i="76"/>
  <c r="AA64" i="76" s="1"/>
  <c r="Z66" i="76"/>
  <c r="X66" i="76"/>
  <c r="X64" i="76" s="1"/>
  <c r="W66" i="76"/>
  <c r="AA65" i="76"/>
  <c r="Z65" i="76"/>
  <c r="X65" i="76"/>
  <c r="W65" i="76"/>
  <c r="W64" i="76" s="1"/>
  <c r="Y64" i="76" s="1"/>
  <c r="Z64" i="76"/>
  <c r="AA60" i="76"/>
  <c r="Z60" i="76"/>
  <c r="X60" i="76"/>
  <c r="W60" i="76"/>
  <c r="AA59" i="76"/>
  <c r="Z59" i="76"/>
  <c r="X59" i="76"/>
  <c r="W59" i="76"/>
  <c r="AA58" i="76"/>
  <c r="Z58" i="76"/>
  <c r="X58" i="76"/>
  <c r="W58" i="76"/>
  <c r="AA56" i="76"/>
  <c r="Z56" i="76"/>
  <c r="X56" i="76"/>
  <c r="W56" i="76"/>
  <c r="AA55" i="76"/>
  <c r="Z55" i="76"/>
  <c r="X55" i="76"/>
  <c r="X54" i="76" s="1"/>
  <c r="W55" i="76"/>
  <c r="W54" i="76" s="1"/>
  <c r="Y54" i="76" s="1"/>
  <c r="AB54" i="76"/>
  <c r="AA54" i="76"/>
  <c r="Z54" i="76"/>
  <c r="AA50" i="76"/>
  <c r="Z50" i="76"/>
  <c r="X50" i="76"/>
  <c r="W50" i="76"/>
  <c r="AA49" i="76"/>
  <c r="Z49" i="76"/>
  <c r="X49" i="76"/>
  <c r="W49" i="76"/>
  <c r="AA48" i="76"/>
  <c r="Z48" i="76"/>
  <c r="X48" i="76"/>
  <c r="W48" i="76"/>
  <c r="AA46" i="76"/>
  <c r="Z46" i="76"/>
  <c r="X46" i="76"/>
  <c r="X44" i="76" s="1"/>
  <c r="W46" i="76"/>
  <c r="W44" i="76" s="1"/>
  <c r="Y44" i="76" s="1"/>
  <c r="AA45" i="76"/>
  <c r="AA44" i="76" s="1"/>
  <c r="Z45" i="76"/>
  <c r="X45" i="76"/>
  <c r="W45" i="76"/>
  <c r="Z44" i="76"/>
  <c r="AB44" i="76" s="1"/>
  <c r="AA40" i="76"/>
  <c r="Z40" i="76"/>
  <c r="X40" i="76"/>
  <c r="W40" i="76"/>
  <c r="AA39" i="76"/>
  <c r="Z39" i="76"/>
  <c r="X39" i="76"/>
  <c r="W39" i="76"/>
  <c r="AA38" i="76"/>
  <c r="Z38" i="76"/>
  <c r="X38" i="76"/>
  <c r="W38" i="76"/>
  <c r="AA36" i="76"/>
  <c r="Z36" i="76"/>
  <c r="X36" i="76"/>
  <c r="W36" i="76"/>
  <c r="W34" i="76" s="1"/>
  <c r="Y34" i="76" s="1"/>
  <c r="AA35" i="76"/>
  <c r="Z35" i="76"/>
  <c r="Z34" i="76" s="1"/>
  <c r="AB34" i="76" s="1"/>
  <c r="X35" i="76"/>
  <c r="W35" i="76"/>
  <c r="AA34" i="76"/>
  <c r="X34" i="76"/>
  <c r="AA30" i="76"/>
  <c r="Z30" i="76"/>
  <c r="X30" i="76"/>
  <c r="W30" i="76"/>
  <c r="AA29" i="76"/>
  <c r="Z29" i="76"/>
  <c r="X29" i="76"/>
  <c r="W29" i="76"/>
  <c r="AA28" i="76"/>
  <c r="Z28" i="76"/>
  <c r="X28" i="76"/>
  <c r="W28" i="76"/>
  <c r="AA26" i="76"/>
  <c r="Z26" i="76"/>
  <c r="X26" i="76"/>
  <c r="W26" i="76"/>
  <c r="AA25" i="76"/>
  <c r="AA24" i="76" s="1"/>
  <c r="Z25" i="76"/>
  <c r="Z24" i="76" s="1"/>
  <c r="AB24" i="76" s="1"/>
  <c r="X25" i="76"/>
  <c r="W25" i="76"/>
  <c r="X24" i="76"/>
  <c r="W24" i="76"/>
  <c r="Y24" i="76" s="1"/>
  <c r="AA20" i="76"/>
  <c r="Z20" i="76"/>
  <c r="X20" i="76"/>
  <c r="W20" i="76"/>
  <c r="AA19" i="76"/>
  <c r="Z19" i="76"/>
  <c r="X19" i="76"/>
  <c r="W19" i="76"/>
  <c r="AA18" i="76"/>
  <c r="Z18" i="76"/>
  <c r="X18" i="76"/>
  <c r="W18" i="76"/>
  <c r="AA16" i="76"/>
  <c r="AA14" i="76" s="1"/>
  <c r="Z16" i="76"/>
  <c r="X16" i="76"/>
  <c r="X14" i="76" s="1"/>
  <c r="W16" i="76"/>
  <c r="AA15" i="76"/>
  <c r="Z15" i="76"/>
  <c r="X15" i="76"/>
  <c r="W15" i="76"/>
  <c r="W14" i="76" s="1"/>
  <c r="Z14" i="76"/>
  <c r="AB14" i="76" s="1"/>
  <c r="AA4" i="76"/>
  <c r="Z4" i="76"/>
  <c r="AB4" i="76" s="1"/>
  <c r="AA10" i="76"/>
  <c r="Z10" i="76"/>
  <c r="AA9" i="76"/>
  <c r="Z9" i="76"/>
  <c r="AA8" i="76"/>
  <c r="Z8" i="76"/>
  <c r="Z6" i="76"/>
  <c r="AA6" i="76"/>
  <c r="AA5" i="76"/>
  <c r="Z5" i="76"/>
  <c r="X4" i="76"/>
  <c r="W4" i="76"/>
  <c r="Y4" i="76" s="1"/>
  <c r="X10" i="76"/>
  <c r="W10" i="76"/>
  <c r="X9" i="76"/>
  <c r="W9" i="76"/>
  <c r="X8" i="76"/>
  <c r="W8" i="76"/>
  <c r="X6" i="76"/>
  <c r="W6" i="76"/>
  <c r="X5" i="76"/>
  <c r="W5" i="76"/>
  <c r="L112" i="76"/>
  <c r="L102" i="76"/>
  <c r="L92" i="76"/>
  <c r="L82" i="76"/>
  <c r="L72" i="76"/>
  <c r="L62" i="76"/>
  <c r="L52" i="76"/>
  <c r="L42" i="76"/>
  <c r="L32" i="76"/>
  <c r="L22" i="76"/>
  <c r="L12" i="76"/>
  <c r="L2" i="76"/>
  <c r="L1" i="76"/>
  <c r="M112" i="76"/>
  <c r="K112" i="76"/>
  <c r="J112" i="76"/>
  <c r="M102" i="76"/>
  <c r="K102" i="76"/>
  <c r="J102" i="76"/>
  <c r="M92" i="76"/>
  <c r="K92" i="76"/>
  <c r="J92" i="76"/>
  <c r="M82" i="76"/>
  <c r="K82" i="76"/>
  <c r="J82" i="76"/>
  <c r="M72" i="76"/>
  <c r="K72" i="76"/>
  <c r="J72" i="76"/>
  <c r="M62" i="76"/>
  <c r="K62" i="76"/>
  <c r="J62" i="76"/>
  <c r="M52" i="76"/>
  <c r="K52" i="76"/>
  <c r="J52" i="76"/>
  <c r="M42" i="76"/>
  <c r="K42" i="76"/>
  <c r="J42" i="76"/>
  <c r="M32" i="76"/>
  <c r="K32" i="76"/>
  <c r="J32" i="76"/>
  <c r="M22" i="76"/>
  <c r="K22" i="76"/>
  <c r="J22" i="76"/>
  <c r="M12" i="76"/>
  <c r="K12" i="76"/>
  <c r="J12" i="76"/>
  <c r="AN13" i="77" l="1"/>
  <c r="AN6" i="77"/>
  <c r="AN7" i="77"/>
  <c r="AN8" i="77"/>
  <c r="AN10" i="77"/>
  <c r="AN3" i="77"/>
  <c r="AN11" i="77"/>
  <c r="AN4" i="77"/>
  <c r="AN12" i="77"/>
  <c r="AN5" i="77"/>
  <c r="AB64" i="76"/>
  <c r="Y14" i="76"/>
  <c r="M2" i="76"/>
  <c r="K2" i="76"/>
  <c r="J2" i="76"/>
  <c r="AH13" i="77" l="1" a="1"/>
  <c r="AH13" i="77" s="1"/>
  <c r="AH12" i="77" a="1"/>
  <c r="AH12" i="77" s="1"/>
  <c r="AH11" i="77" a="1"/>
  <c r="AH11" i="77" s="1"/>
  <c r="AH10" i="77" a="1"/>
  <c r="AH10" i="77" s="1"/>
  <c r="AH9" i="77" a="1"/>
  <c r="AH9" i="77" s="1"/>
  <c r="AH8" i="77" a="1"/>
  <c r="AH8" i="77" s="1"/>
  <c r="AH7" i="77" a="1"/>
  <c r="AH7" i="77" s="1"/>
  <c r="AH6" i="77" a="1"/>
  <c r="AH6" i="77" s="1"/>
  <c r="AH5" i="77" a="1"/>
  <c r="AH5" i="77" s="1"/>
  <c r="AH4" i="77" a="1"/>
  <c r="AH4" i="77" s="1"/>
  <c r="AH3" i="77" a="1"/>
  <c r="AH3" i="77" s="1"/>
  <c r="AH2" i="77" a="1"/>
  <c r="AH2" i="77" s="1"/>
  <c r="AC13" i="77" l="1"/>
  <c r="AC12" i="77"/>
  <c r="AC11" i="77"/>
  <c r="AC10" i="77"/>
  <c r="AC9" i="77"/>
  <c r="AC8" i="77"/>
  <c r="AC7" i="77"/>
  <c r="AC6" i="77"/>
  <c r="AC5" i="77"/>
  <c r="AC4" i="77"/>
  <c r="AC3" i="77"/>
  <c r="AC2" i="77"/>
  <c r="AB13" i="77"/>
  <c r="AB12" i="77"/>
  <c r="AB11" i="77"/>
  <c r="AB10" i="77"/>
  <c r="AB9" i="77"/>
  <c r="AB8" i="77"/>
  <c r="AB7" i="77"/>
  <c r="AB6" i="77"/>
  <c r="AB5" i="77"/>
  <c r="AB4" i="77"/>
  <c r="AB3" i="77"/>
  <c r="AB2" i="77"/>
  <c r="AA13" i="77"/>
  <c r="AA12" i="77"/>
  <c r="AA11" i="77"/>
  <c r="AA10" i="77"/>
  <c r="AA9" i="77"/>
  <c r="AA8" i="77"/>
  <c r="AA7" i="77"/>
  <c r="AA6" i="77"/>
  <c r="AA5" i="77"/>
  <c r="AA4" i="77"/>
  <c r="AA3" i="77"/>
  <c r="AA2" i="77"/>
  <c r="Z13" i="77"/>
  <c r="Z12" i="77"/>
  <c r="Z11" i="77"/>
  <c r="Z10" i="77"/>
  <c r="Z9" i="77"/>
  <c r="Z8" i="77"/>
  <c r="Z7" i="77"/>
  <c r="Z6" i="77"/>
  <c r="Z5" i="77"/>
  <c r="Z4" i="77"/>
  <c r="Z3" i="77"/>
  <c r="Z2" i="77"/>
  <c r="Y13" i="77"/>
  <c r="Y12" i="77"/>
  <c r="Y11" i="77"/>
  <c r="Y10" i="77"/>
  <c r="Y9" i="77"/>
  <c r="Y8" i="77"/>
  <c r="Y7" i="77"/>
  <c r="Y6" i="77"/>
  <c r="Y5" i="77"/>
  <c r="Y4" i="77"/>
  <c r="Y3" i="77"/>
  <c r="Y2" i="77"/>
  <c r="X13" i="77"/>
  <c r="X12" i="77"/>
  <c r="X11" i="77"/>
  <c r="X10" i="77"/>
  <c r="X9" i="77"/>
  <c r="X8" i="77"/>
  <c r="X7" i="77"/>
  <c r="X6" i="77"/>
  <c r="X5" i="77"/>
  <c r="X4" i="77"/>
  <c r="X3" i="77"/>
  <c r="X2" i="77"/>
  <c r="W13" i="77"/>
  <c r="W12" i="77"/>
  <c r="W11" i="77"/>
  <c r="W10" i="77"/>
  <c r="W9" i="77"/>
  <c r="W8" i="77"/>
  <c r="W7" i="77"/>
  <c r="W6" i="77"/>
  <c r="W5" i="77"/>
  <c r="W4" i="77"/>
  <c r="W3" i="77"/>
  <c r="W2" i="77"/>
  <c r="V13" i="77"/>
  <c r="V12" i="77"/>
  <c r="V11" i="77"/>
  <c r="V10" i="77"/>
  <c r="V9" i="77"/>
  <c r="V8" i="77"/>
  <c r="V7" i="77"/>
  <c r="V6" i="77"/>
  <c r="V5" i="77"/>
  <c r="V4" i="77"/>
  <c r="V3" i="77"/>
  <c r="V2" i="77"/>
  <c r="U13" i="77"/>
  <c r="U12" i="77"/>
  <c r="U11" i="77"/>
  <c r="U10" i="77"/>
  <c r="U9" i="77"/>
  <c r="U8" i="77"/>
  <c r="U7" i="77"/>
  <c r="U6" i="77"/>
  <c r="U5" i="77"/>
  <c r="U4" i="77"/>
  <c r="U3" i="77"/>
  <c r="U2" i="77"/>
  <c r="T13" i="77"/>
  <c r="T12" i="77"/>
  <c r="T11" i="77"/>
  <c r="T10" i="77"/>
  <c r="T9" i="77"/>
  <c r="T8" i="77"/>
  <c r="T7" i="77"/>
  <c r="T6" i="77"/>
  <c r="T5" i="77"/>
  <c r="T4" i="77"/>
  <c r="T3" i="77"/>
  <c r="T2" i="77"/>
  <c r="S13" i="77"/>
  <c r="S12" i="77"/>
  <c r="S11" i="77"/>
  <c r="S10" i="77"/>
  <c r="S9" i="77"/>
  <c r="S8" i="77"/>
  <c r="S7" i="77"/>
  <c r="S6" i="77"/>
  <c r="S5" i="77"/>
  <c r="S4" i="77"/>
  <c r="S3" i="77"/>
  <c r="S2" i="77"/>
  <c r="R13" i="77"/>
  <c r="R12" i="77"/>
  <c r="R11" i="77"/>
  <c r="R10" i="77"/>
  <c r="R9" i="77"/>
  <c r="R8" i="77"/>
  <c r="R7" i="77"/>
  <c r="R6" i="77"/>
  <c r="R5" i="77"/>
  <c r="R4" i="77"/>
  <c r="R3" i="77"/>
  <c r="R2" i="77"/>
  <c r="Q13" i="77"/>
  <c r="Q12" i="77"/>
  <c r="Q11" i="77"/>
  <c r="Q10" i="77"/>
  <c r="Q9" i="77"/>
  <c r="Q8" i="77"/>
  <c r="Q7" i="77"/>
  <c r="Q6" i="77"/>
  <c r="Q5" i="77"/>
  <c r="Q4" i="77"/>
  <c r="Q3" i="77"/>
  <c r="Q2" i="77"/>
  <c r="P13" i="77"/>
  <c r="P12" i="77"/>
  <c r="P11" i="77"/>
  <c r="P10" i="77"/>
  <c r="P9" i="77"/>
  <c r="P8" i="77"/>
  <c r="P7" i="77"/>
  <c r="P6" i="77"/>
  <c r="P5" i="77"/>
  <c r="P4" i="77"/>
  <c r="P3" i="77"/>
  <c r="P2" i="77"/>
  <c r="O13" i="77"/>
  <c r="O12" i="77"/>
  <c r="O11" i="77"/>
  <c r="O10" i="77"/>
  <c r="O9" i="77"/>
  <c r="O8" i="77"/>
  <c r="O7" i="77"/>
  <c r="O6" i="77"/>
  <c r="O5" i="77"/>
  <c r="O4" i="77"/>
  <c r="O3" i="77"/>
  <c r="O2" i="77"/>
  <c r="N13" i="77"/>
  <c r="N12" i="77"/>
  <c r="N11" i="77"/>
  <c r="N10" i="77"/>
  <c r="N9" i="77"/>
  <c r="N8" i="77"/>
  <c r="N7" i="77"/>
  <c r="N6" i="77"/>
  <c r="N5" i="77"/>
  <c r="N4" i="77"/>
  <c r="N3" i="77"/>
  <c r="N2" i="77"/>
  <c r="M13" i="77"/>
  <c r="M12" i="77"/>
  <c r="M11" i="77"/>
  <c r="M10" i="77"/>
  <c r="M9" i="77"/>
  <c r="M8" i="77"/>
  <c r="M7" i="77"/>
  <c r="M6" i="77"/>
  <c r="M5" i="77"/>
  <c r="M4" i="77"/>
  <c r="M3" i="77"/>
  <c r="M2" i="77"/>
  <c r="L13" i="77"/>
  <c r="L12" i="77"/>
  <c r="L11" i="77"/>
  <c r="L10" i="77"/>
  <c r="L9" i="77"/>
  <c r="L8" i="77"/>
  <c r="L7" i="77"/>
  <c r="L6" i="77"/>
  <c r="L5" i="77"/>
  <c r="L4" i="77"/>
  <c r="L3" i="77"/>
  <c r="L2" i="77"/>
  <c r="K13" i="77"/>
  <c r="K12" i="77"/>
  <c r="K11" i="77"/>
  <c r="K10" i="77"/>
  <c r="K9" i="77"/>
  <c r="K8" i="77"/>
  <c r="K7" i="77"/>
  <c r="K6" i="77"/>
  <c r="K5" i="77"/>
  <c r="K4" i="77"/>
  <c r="K3" i="77"/>
  <c r="K2" i="77"/>
  <c r="J13" i="77"/>
  <c r="J12" i="77"/>
  <c r="J11" i="77"/>
  <c r="J10" i="77"/>
  <c r="J9" i="77"/>
  <c r="J8" i="77"/>
  <c r="J7" i="77"/>
  <c r="J6" i="77"/>
  <c r="J5" i="77"/>
  <c r="J4" i="77"/>
  <c r="J3" i="77"/>
  <c r="J2" i="77"/>
  <c r="I13" i="77"/>
  <c r="H13" i="77"/>
  <c r="G13" i="77"/>
  <c r="I12" i="77"/>
  <c r="H12" i="77"/>
  <c r="G12" i="77"/>
  <c r="I11" i="77"/>
  <c r="H11" i="77"/>
  <c r="G11" i="77"/>
  <c r="I10" i="77"/>
  <c r="H10" i="77"/>
  <c r="G10" i="77"/>
  <c r="I9" i="77"/>
  <c r="H9" i="77"/>
  <c r="G9" i="77"/>
  <c r="I8" i="77"/>
  <c r="H8" i="77"/>
  <c r="G8" i="77"/>
  <c r="I7" i="77"/>
  <c r="H7" i="77"/>
  <c r="G7" i="77"/>
  <c r="I6" i="77"/>
  <c r="H6" i="77"/>
  <c r="G6" i="77"/>
  <c r="I5" i="77"/>
  <c r="H5" i="77"/>
  <c r="G5" i="77"/>
  <c r="I4" i="77"/>
  <c r="H4" i="77"/>
  <c r="G4" i="77"/>
  <c r="I3" i="77"/>
  <c r="H3" i="77"/>
  <c r="G3" i="77"/>
  <c r="I2" i="77"/>
  <c r="H2" i="77"/>
  <c r="G2" i="77"/>
  <c r="F13" i="77"/>
  <c r="F12" i="77"/>
  <c r="F11" i="77"/>
  <c r="F10" i="77"/>
  <c r="F9" i="77"/>
  <c r="F8" i="77"/>
  <c r="F7" i="77"/>
  <c r="F6" i="77"/>
  <c r="F5" i="77"/>
  <c r="F4" i="77"/>
  <c r="F3" i="77"/>
  <c r="F2" i="77"/>
  <c r="E13" i="77"/>
  <c r="E12" i="77"/>
  <c r="E11" i="77"/>
  <c r="E10" i="77"/>
  <c r="E9" i="77"/>
  <c r="E8" i="77"/>
  <c r="E7" i="77"/>
  <c r="E6" i="77"/>
  <c r="E5" i="77"/>
  <c r="E4" i="77"/>
  <c r="E3" i="77"/>
  <c r="E2" i="77"/>
  <c r="D13" i="77"/>
  <c r="D12" i="77"/>
  <c r="D11" i="77"/>
  <c r="D10" i="77"/>
  <c r="D9" i="77"/>
  <c r="D8" i="77"/>
  <c r="D7" i="77"/>
  <c r="D6" i="77"/>
  <c r="D5" i="77"/>
  <c r="D4" i="77"/>
  <c r="D3" i="77"/>
  <c r="D2" i="77"/>
  <c r="AK13" i="77"/>
  <c r="AK12" i="77"/>
  <c r="AK11" i="77"/>
  <c r="AK10" i="77"/>
  <c r="AK9" i="77"/>
  <c r="AK8" i="77"/>
  <c r="AK7" i="77"/>
  <c r="AK6" i="77"/>
  <c r="AK5" i="77"/>
  <c r="AK4" i="77"/>
  <c r="AK3" i="77"/>
  <c r="AK2" i="77"/>
  <c r="AO40" i="64"/>
  <c r="AO37" i="64"/>
  <c r="AO34" i="64"/>
  <c r="AO31" i="64"/>
  <c r="AO28" i="64"/>
  <c r="AO25" i="64"/>
  <c r="AO22" i="64"/>
  <c r="AO19" i="64"/>
  <c r="AO16" i="64"/>
  <c r="AO13" i="64"/>
  <c r="AO10" i="64"/>
  <c r="AO7" i="64"/>
  <c r="AN40" i="64"/>
  <c r="AN37" i="64"/>
  <c r="AN34" i="64"/>
  <c r="AN31" i="64"/>
  <c r="AN28" i="64"/>
  <c r="AN25" i="64"/>
  <c r="AN22" i="64"/>
  <c r="AN19" i="64"/>
  <c r="AN16" i="64"/>
  <c r="AN13" i="64"/>
  <c r="AN10" i="64"/>
  <c r="AN7" i="64"/>
  <c r="AG40" i="64"/>
  <c r="AG37" i="64"/>
  <c r="AG34" i="64"/>
  <c r="AG31" i="64"/>
  <c r="AG28" i="64"/>
  <c r="AG25" i="64"/>
  <c r="AG22" i="64"/>
  <c r="AG19" i="64"/>
  <c r="AG16" i="64"/>
  <c r="AG13" i="64"/>
  <c r="AG10" i="64"/>
  <c r="AG7" i="64"/>
  <c r="AF40" i="64"/>
  <c r="AF37" i="64"/>
  <c r="AF34" i="64"/>
  <c r="AF31" i="64"/>
  <c r="AF28" i="64"/>
  <c r="AF25" i="64"/>
  <c r="AF22" i="64"/>
  <c r="AF19" i="64"/>
  <c r="AF16" i="64"/>
  <c r="AF13" i="64"/>
  <c r="AF10" i="64"/>
  <c r="AF7" i="64"/>
  <c r="N14" i="74"/>
  <c r="N25" i="74"/>
  <c r="N24" i="74"/>
  <c r="N23" i="74"/>
  <c r="N22" i="74"/>
  <c r="N21" i="74"/>
  <c r="N20" i="74"/>
  <c r="N19" i="74"/>
  <c r="N18" i="74"/>
  <c r="N17" i="74"/>
  <c r="N16" i="74"/>
  <c r="N15" i="74"/>
  <c r="I25" i="74"/>
  <c r="I24" i="74"/>
  <c r="I23" i="74"/>
  <c r="I22" i="74"/>
  <c r="I21" i="74"/>
  <c r="I20" i="74"/>
  <c r="I19" i="74"/>
  <c r="I18" i="74"/>
  <c r="I17" i="74"/>
  <c r="I16" i="74"/>
  <c r="I15" i="74"/>
  <c r="S51" i="64"/>
  <c r="AZ43" i="64"/>
  <c r="AC21" i="73" s="1"/>
  <c r="AZ40" i="64"/>
  <c r="AC20" i="73" s="1"/>
  <c r="AZ37" i="64"/>
  <c r="AC19" i="73" s="1"/>
  <c r="AZ34" i="64"/>
  <c r="AC18" i="73" s="1"/>
  <c r="AZ31" i="64"/>
  <c r="AZ28" i="64"/>
  <c r="AZ25" i="64"/>
  <c r="AC15" i="73" s="1"/>
  <c r="AZ22" i="64"/>
  <c r="AZ19" i="64"/>
  <c r="AZ16" i="64"/>
  <c r="AZ13" i="64"/>
  <c r="AZ10" i="64"/>
  <c r="AZ7" i="64"/>
  <c r="AC9" i="73" s="1"/>
  <c r="AU7" i="64"/>
  <c r="R85" i="69"/>
  <c r="Q85" i="69"/>
  <c r="P85" i="69"/>
  <c r="O85" i="69"/>
  <c r="N85" i="69"/>
  <c r="M85" i="69"/>
  <c r="L85" i="69"/>
  <c r="K85" i="69"/>
  <c r="J85" i="69"/>
  <c r="I85" i="69"/>
  <c r="H85" i="69"/>
  <c r="G85" i="69"/>
  <c r="Z21" i="73"/>
  <c r="Z20" i="73"/>
  <c r="Z19" i="73"/>
  <c r="Z18" i="73"/>
  <c r="AC17" i="73"/>
  <c r="Z17" i="73"/>
  <c r="AC16" i="73"/>
  <c r="Z16" i="73"/>
  <c r="Z15" i="73"/>
  <c r="AC14" i="73"/>
  <c r="Z14" i="73"/>
  <c r="AC13" i="73"/>
  <c r="Z13" i="73"/>
  <c r="AC12" i="73"/>
  <c r="Z12" i="73"/>
  <c r="AC11" i="73"/>
  <c r="Z11" i="73"/>
  <c r="AC10" i="73"/>
  <c r="Z10" i="73"/>
  <c r="Z9" i="73"/>
  <c r="R84" i="69"/>
  <c r="Q84" i="69"/>
  <c r="P84" i="69"/>
  <c r="O84" i="69"/>
  <c r="N84" i="69"/>
  <c r="M84" i="69"/>
  <c r="L84" i="69"/>
  <c r="K84" i="69"/>
  <c r="J84" i="69"/>
  <c r="I84" i="69"/>
  <c r="H84" i="69"/>
  <c r="G84" i="69"/>
  <c r="F121" i="76"/>
  <c r="F120" i="76"/>
  <c r="F119" i="76"/>
  <c r="F117" i="76"/>
  <c r="F116" i="76"/>
  <c r="F115" i="76"/>
  <c r="C121" i="76"/>
  <c r="C120" i="76"/>
  <c r="C119" i="76"/>
  <c r="C117" i="76"/>
  <c r="C116" i="76"/>
  <c r="C115" i="76"/>
  <c r="F111" i="76"/>
  <c r="F110" i="76"/>
  <c r="F109" i="76"/>
  <c r="F107" i="76"/>
  <c r="F106" i="76"/>
  <c r="F105" i="76"/>
  <c r="C111" i="76"/>
  <c r="C110" i="76"/>
  <c r="C109" i="76"/>
  <c r="C107" i="76"/>
  <c r="C106" i="76"/>
  <c r="C105" i="76"/>
  <c r="F101" i="76"/>
  <c r="F100" i="76"/>
  <c r="F99" i="76"/>
  <c r="F97" i="76"/>
  <c r="F96" i="76"/>
  <c r="F95" i="76"/>
  <c r="C101" i="76"/>
  <c r="C100" i="76"/>
  <c r="C99" i="76"/>
  <c r="C97" i="76"/>
  <c r="C96" i="76"/>
  <c r="C95" i="76"/>
  <c r="F91" i="76"/>
  <c r="F90" i="76"/>
  <c r="F89" i="76"/>
  <c r="F87" i="76"/>
  <c r="F86" i="76"/>
  <c r="F85" i="76"/>
  <c r="C91" i="76"/>
  <c r="C90" i="76"/>
  <c r="C89" i="76"/>
  <c r="C87" i="76"/>
  <c r="C86" i="76"/>
  <c r="C85" i="76"/>
  <c r="F81" i="76"/>
  <c r="F80" i="76"/>
  <c r="F79" i="76"/>
  <c r="F77" i="76"/>
  <c r="F76" i="76"/>
  <c r="F75" i="76"/>
  <c r="C81" i="76"/>
  <c r="C80" i="76"/>
  <c r="C79" i="76"/>
  <c r="C77" i="76"/>
  <c r="C76" i="76"/>
  <c r="C75" i="76"/>
  <c r="F71" i="76"/>
  <c r="F70" i="76"/>
  <c r="F69" i="76"/>
  <c r="F67" i="76"/>
  <c r="F66" i="76"/>
  <c r="F65" i="76"/>
  <c r="C71" i="76"/>
  <c r="C70" i="76"/>
  <c r="C69" i="76"/>
  <c r="C67" i="76"/>
  <c r="C66" i="76"/>
  <c r="C65" i="76"/>
  <c r="F61" i="76"/>
  <c r="F60" i="76"/>
  <c r="F59" i="76"/>
  <c r="F57" i="76"/>
  <c r="F56" i="76"/>
  <c r="F55" i="76"/>
  <c r="C61" i="76"/>
  <c r="C60" i="76"/>
  <c r="C59" i="76"/>
  <c r="C57" i="76"/>
  <c r="C56" i="76"/>
  <c r="C55" i="76"/>
  <c r="F51" i="76"/>
  <c r="F50" i="76"/>
  <c r="F49" i="76"/>
  <c r="F47" i="76"/>
  <c r="F46" i="76"/>
  <c r="F45" i="76"/>
  <c r="C51" i="76"/>
  <c r="C50" i="76"/>
  <c r="C49" i="76"/>
  <c r="C47" i="76"/>
  <c r="C46" i="76"/>
  <c r="C45" i="76"/>
  <c r="F41" i="76"/>
  <c r="F40" i="76"/>
  <c r="F39" i="76"/>
  <c r="F37" i="76"/>
  <c r="F36" i="76"/>
  <c r="F35" i="76"/>
  <c r="C41" i="76"/>
  <c r="C40" i="76"/>
  <c r="C39" i="76"/>
  <c r="C37" i="76"/>
  <c r="C36" i="76"/>
  <c r="C35" i="76"/>
  <c r="F31" i="76"/>
  <c r="F30" i="76"/>
  <c r="F29" i="76"/>
  <c r="F27" i="76"/>
  <c r="F26" i="76"/>
  <c r="F25" i="76"/>
  <c r="C31" i="76"/>
  <c r="C30" i="76"/>
  <c r="C29" i="76"/>
  <c r="C27" i="76"/>
  <c r="C26" i="76"/>
  <c r="C25" i="76"/>
  <c r="F17" i="76"/>
  <c r="F16" i="76"/>
  <c r="F15" i="76"/>
  <c r="F20" i="76"/>
  <c r="F21" i="76"/>
  <c r="F19" i="76"/>
  <c r="C17" i="76"/>
  <c r="C16" i="76"/>
  <c r="C15" i="76"/>
  <c r="C21" i="76"/>
  <c r="C20" i="76"/>
  <c r="C19" i="76"/>
  <c r="F7" i="76"/>
  <c r="F6" i="76"/>
  <c r="F5" i="76"/>
  <c r="F11" i="76"/>
  <c r="F10" i="76"/>
  <c r="F9" i="76"/>
  <c r="C11" i="76"/>
  <c r="C10" i="76"/>
  <c r="C9" i="76"/>
  <c r="C7" i="76"/>
  <c r="C6" i="76"/>
  <c r="C5" i="76"/>
  <c r="AM2" i="77"/>
  <c r="AL2" i="77"/>
  <c r="AJ2" i="77"/>
  <c r="AI2" i="77"/>
  <c r="A2" i="77" l="1"/>
  <c r="A6" i="77" s="1"/>
  <c r="C13" i="77"/>
  <c r="C12" i="77"/>
  <c r="C11" i="77"/>
  <c r="C10" i="77"/>
  <c r="C9" i="77"/>
  <c r="C8" i="77"/>
  <c r="C7" i="77"/>
  <c r="C6" i="77"/>
  <c r="C5" i="77"/>
  <c r="C4" i="77"/>
  <c r="C3" i="77"/>
  <c r="C2" i="77"/>
  <c r="AM7" i="64"/>
  <c r="E15" i="74"/>
  <c r="A11" i="77" l="1"/>
  <c r="A9" i="77"/>
  <c r="A4" i="77"/>
  <c r="A12" i="77"/>
  <c r="A7" i="77"/>
  <c r="A10" i="77"/>
  <c r="A5" i="77"/>
  <c r="A13" i="77"/>
  <c r="A8" i="77"/>
  <c r="A3" i="77"/>
  <c r="M15" i="74"/>
  <c r="L15" i="74"/>
  <c r="K15" i="74"/>
  <c r="J15" i="74"/>
  <c r="H15" i="74"/>
  <c r="AJ3" i="77" s="1"/>
  <c r="G15" i="74"/>
  <c r="AI3" i="77" s="1"/>
  <c r="D15" i="74"/>
  <c r="AM10" i="64" s="1"/>
  <c r="D18" i="74"/>
  <c r="AM19" i="64" s="1"/>
  <c r="D17" i="74"/>
  <c r="AM16" i="64" s="1"/>
  <c r="D16" i="74"/>
  <c r="AM13" i="64" s="1"/>
  <c r="J16" i="74"/>
  <c r="J17" i="74"/>
  <c r="J18" i="74"/>
  <c r="J19" i="74"/>
  <c r="J20" i="74"/>
  <c r="J21" i="74"/>
  <c r="J22" i="74"/>
  <c r="J23" i="74"/>
  <c r="J24" i="74"/>
  <c r="J25" i="74"/>
  <c r="AM3" i="77" l="1"/>
  <c r="AL5" i="77"/>
  <c r="AL4" i="77"/>
  <c r="AL3" i="77"/>
  <c r="AL7" i="77"/>
  <c r="AL13" i="77"/>
  <c r="AL11" i="77"/>
  <c r="AL9" i="77"/>
  <c r="AL8" i="77"/>
  <c r="AL6" i="77"/>
  <c r="AL12" i="77"/>
  <c r="AL10" i="77"/>
  <c r="G115" i="76"/>
  <c r="T115" i="76" s="1"/>
  <c r="E121" i="76"/>
  <c r="E120" i="76"/>
  <c r="E119" i="76"/>
  <c r="T119" i="76" s="1"/>
  <c r="E118" i="76"/>
  <c r="B121" i="76"/>
  <c r="B120" i="76"/>
  <c r="B119" i="76"/>
  <c r="S119" i="76" s="1"/>
  <c r="B118" i="76"/>
  <c r="G117" i="76"/>
  <c r="T117" i="76" s="1"/>
  <c r="D117" i="76"/>
  <c r="S117" i="76" s="1"/>
  <c r="G116" i="76"/>
  <c r="T116" i="76" s="1"/>
  <c r="D116" i="76"/>
  <c r="S116" i="76" s="1"/>
  <c r="D115" i="76"/>
  <c r="S115" i="76" s="1"/>
  <c r="G106" i="76"/>
  <c r="T106" i="76" s="1"/>
  <c r="G105" i="76"/>
  <c r="T105" i="76" s="1"/>
  <c r="D107" i="76"/>
  <c r="S107" i="76" s="1"/>
  <c r="D106" i="76"/>
  <c r="S106" i="76" s="1"/>
  <c r="G107" i="76"/>
  <c r="T107" i="76" s="1"/>
  <c r="E111" i="76"/>
  <c r="E110" i="76"/>
  <c r="E109" i="76"/>
  <c r="T109" i="76" s="1"/>
  <c r="E108" i="76"/>
  <c r="B111" i="76"/>
  <c r="B110" i="76"/>
  <c r="B109" i="76"/>
  <c r="S109" i="76" s="1"/>
  <c r="B108" i="76"/>
  <c r="D105" i="76"/>
  <c r="S105" i="76" s="1"/>
  <c r="G97" i="76"/>
  <c r="T97" i="76" s="1"/>
  <c r="G95" i="76"/>
  <c r="T95" i="76" s="1"/>
  <c r="D97" i="76"/>
  <c r="S97" i="76" s="1"/>
  <c r="D95" i="76"/>
  <c r="S95" i="76" s="1"/>
  <c r="E101" i="76"/>
  <c r="E100" i="76"/>
  <c r="E99" i="76"/>
  <c r="T99" i="76" s="1"/>
  <c r="E98" i="76"/>
  <c r="B101" i="76"/>
  <c r="B100" i="76"/>
  <c r="B99" i="76"/>
  <c r="S99" i="76" s="1"/>
  <c r="B98" i="76"/>
  <c r="G96" i="76"/>
  <c r="T96" i="76" s="1"/>
  <c r="D96" i="76"/>
  <c r="S96" i="76" s="1"/>
  <c r="G87" i="76"/>
  <c r="T87" i="76" s="1"/>
  <c r="G86" i="76"/>
  <c r="T86" i="76" s="1"/>
  <c r="G85" i="76"/>
  <c r="T85" i="76" s="1"/>
  <c r="D87" i="76"/>
  <c r="S87" i="76" s="1"/>
  <c r="D86" i="76"/>
  <c r="S86" i="76" s="1"/>
  <c r="D85" i="76"/>
  <c r="S85" i="76" s="1"/>
  <c r="E91" i="76"/>
  <c r="E90" i="76"/>
  <c r="E89" i="76"/>
  <c r="T89" i="76" s="1"/>
  <c r="E88" i="76"/>
  <c r="B91" i="76"/>
  <c r="B90" i="76"/>
  <c r="B89" i="76"/>
  <c r="S89" i="76" s="1"/>
  <c r="B88" i="76"/>
  <c r="G77" i="76"/>
  <c r="T77" i="76" s="1"/>
  <c r="G76" i="76"/>
  <c r="T76" i="76" s="1"/>
  <c r="G75" i="76"/>
  <c r="T75" i="76" s="1"/>
  <c r="D77" i="76"/>
  <c r="S77" i="76" s="1"/>
  <c r="D75" i="76"/>
  <c r="S75" i="76" s="1"/>
  <c r="E81" i="76"/>
  <c r="E80" i="76"/>
  <c r="E79" i="76"/>
  <c r="T79" i="76" s="1"/>
  <c r="E78" i="76"/>
  <c r="B81" i="76"/>
  <c r="B80" i="76"/>
  <c r="B79" i="76"/>
  <c r="S79" i="76" s="1"/>
  <c r="B78" i="76"/>
  <c r="D76" i="76"/>
  <c r="S76" i="76" s="1"/>
  <c r="G67" i="76"/>
  <c r="T67" i="76" s="1"/>
  <c r="G66" i="76"/>
  <c r="T66" i="76" s="1"/>
  <c r="G65" i="76"/>
  <c r="T65" i="76" s="1"/>
  <c r="D67" i="76"/>
  <c r="S67" i="76" s="1"/>
  <c r="D66" i="76"/>
  <c r="S66" i="76" s="1"/>
  <c r="D65" i="76"/>
  <c r="S65" i="76" s="1"/>
  <c r="E71" i="76"/>
  <c r="E70" i="76"/>
  <c r="E69" i="76"/>
  <c r="T69" i="76" s="1"/>
  <c r="E68" i="76"/>
  <c r="B71" i="76"/>
  <c r="B70" i="76"/>
  <c r="B69" i="76"/>
  <c r="S69" i="76" s="1"/>
  <c r="B68" i="76"/>
  <c r="G57" i="76"/>
  <c r="T57" i="76" s="1"/>
  <c r="G56" i="76"/>
  <c r="T56" i="76" s="1"/>
  <c r="G55" i="76"/>
  <c r="T55" i="76" s="1"/>
  <c r="D57" i="76"/>
  <c r="S57" i="76" s="1"/>
  <c r="D56" i="76"/>
  <c r="S56" i="76" s="1"/>
  <c r="D55" i="76"/>
  <c r="S55" i="76" s="1"/>
  <c r="E61" i="76"/>
  <c r="T61" i="76" s="1"/>
  <c r="E60" i="76"/>
  <c r="E59" i="76"/>
  <c r="T59" i="76" s="1"/>
  <c r="E58" i="76"/>
  <c r="B61" i="76"/>
  <c r="S61" i="76" s="1"/>
  <c r="B60" i="76"/>
  <c r="B59" i="76"/>
  <c r="S59" i="76" s="1"/>
  <c r="B58" i="76"/>
  <c r="G47" i="76"/>
  <c r="T47" i="76" s="1"/>
  <c r="G46" i="76"/>
  <c r="T46" i="76" s="1"/>
  <c r="G45" i="76"/>
  <c r="T45" i="76" s="1"/>
  <c r="D47" i="76"/>
  <c r="S47" i="76" s="1"/>
  <c r="D46" i="76"/>
  <c r="S46" i="76" s="1"/>
  <c r="D45" i="76"/>
  <c r="S45" i="76" s="1"/>
  <c r="E51" i="76"/>
  <c r="E50" i="76"/>
  <c r="E49" i="76"/>
  <c r="T49" i="76" s="1"/>
  <c r="E48" i="76"/>
  <c r="B51" i="76"/>
  <c r="B50" i="76"/>
  <c r="B49" i="76"/>
  <c r="S49" i="76" s="1"/>
  <c r="B48" i="76"/>
  <c r="G37" i="76"/>
  <c r="T37" i="76" s="1"/>
  <c r="G36" i="76"/>
  <c r="T36" i="76" s="1"/>
  <c r="G35" i="76"/>
  <c r="T35" i="76" s="1"/>
  <c r="D37" i="76"/>
  <c r="S37" i="76" s="1"/>
  <c r="D36" i="76"/>
  <c r="S36" i="76" s="1"/>
  <c r="D35" i="76"/>
  <c r="S35" i="76" s="1"/>
  <c r="E41" i="76"/>
  <c r="E40" i="76"/>
  <c r="E39" i="76"/>
  <c r="T39" i="76" s="1"/>
  <c r="E38" i="76"/>
  <c r="B41" i="76"/>
  <c r="B40" i="76"/>
  <c r="B39" i="76"/>
  <c r="S39" i="76" s="1"/>
  <c r="B38" i="76"/>
  <c r="G27" i="76"/>
  <c r="T27" i="76" s="1"/>
  <c r="G26" i="76"/>
  <c r="T26" i="76" s="1"/>
  <c r="G25" i="76"/>
  <c r="T25" i="76" s="1"/>
  <c r="D27" i="76"/>
  <c r="S27" i="76" s="1"/>
  <c r="D26" i="76"/>
  <c r="S26" i="76" s="1"/>
  <c r="D25" i="76"/>
  <c r="S25" i="76" s="1"/>
  <c r="E31" i="76"/>
  <c r="E30" i="76"/>
  <c r="E29" i="76"/>
  <c r="T29" i="76" s="1"/>
  <c r="E28" i="76"/>
  <c r="B31" i="76"/>
  <c r="B30" i="76"/>
  <c r="B29" i="76"/>
  <c r="S29" i="76" s="1"/>
  <c r="B28" i="76"/>
  <c r="I112" i="76"/>
  <c r="I102" i="76"/>
  <c r="I92" i="76"/>
  <c r="I82" i="76"/>
  <c r="I72" i="76"/>
  <c r="I62" i="76"/>
  <c r="I52" i="76"/>
  <c r="I42" i="76"/>
  <c r="G17" i="76"/>
  <c r="T17" i="76" s="1"/>
  <c r="G16" i="76"/>
  <c r="T16" i="76" s="1"/>
  <c r="G15" i="76"/>
  <c r="T15" i="76" s="1"/>
  <c r="D17" i="76"/>
  <c r="S17" i="76" s="1"/>
  <c r="D16" i="76"/>
  <c r="S16" i="76" s="1"/>
  <c r="D15" i="76"/>
  <c r="S15" i="76" s="1"/>
  <c r="E21" i="76"/>
  <c r="E20" i="76"/>
  <c r="E19" i="76"/>
  <c r="T19" i="76" s="1"/>
  <c r="E18" i="76"/>
  <c r="B21" i="76"/>
  <c r="B20" i="76"/>
  <c r="B19" i="76"/>
  <c r="S19" i="76" s="1"/>
  <c r="B18" i="76"/>
  <c r="J1" i="76"/>
  <c r="K1" i="76"/>
  <c r="M1" i="76"/>
  <c r="I12" i="76"/>
  <c r="I22" i="76"/>
  <c r="I32" i="76"/>
  <c r="I2" i="76"/>
  <c r="I1" i="76"/>
  <c r="G5" i="76"/>
  <c r="G6" i="76"/>
  <c r="T6" i="76" s="1"/>
  <c r="G7" i="76"/>
  <c r="T7" i="76" s="1"/>
  <c r="E11" i="76"/>
  <c r="E10" i="76"/>
  <c r="E9" i="76"/>
  <c r="E8" i="76"/>
  <c r="D7" i="76"/>
  <c r="S7" i="76" s="1"/>
  <c r="D6" i="76"/>
  <c r="S6" i="76" s="1"/>
  <c r="D5" i="76"/>
  <c r="B11" i="76"/>
  <c r="B10" i="76"/>
  <c r="B9" i="76"/>
  <c r="B8" i="76"/>
  <c r="G16" i="74"/>
  <c r="AI4" i="77" s="1"/>
  <c r="H16" i="74"/>
  <c r="AJ4" i="77" s="1"/>
  <c r="K16" i="74"/>
  <c r="L16" i="74"/>
  <c r="M16" i="74"/>
  <c r="G17" i="74"/>
  <c r="AI5" i="77" s="1"/>
  <c r="H17" i="74"/>
  <c r="AJ5" i="77" s="1"/>
  <c r="K17" i="74"/>
  <c r="L17" i="74"/>
  <c r="M17" i="74"/>
  <c r="G18" i="74"/>
  <c r="AI6" i="77" s="1"/>
  <c r="H18" i="74"/>
  <c r="AJ6" i="77" s="1"/>
  <c r="K18" i="74"/>
  <c r="L18" i="74"/>
  <c r="M18" i="74"/>
  <c r="G19" i="74"/>
  <c r="AI7" i="77" s="1"/>
  <c r="H19" i="74"/>
  <c r="AJ7" i="77" s="1"/>
  <c r="K19" i="74"/>
  <c r="L19" i="74"/>
  <c r="M19" i="74"/>
  <c r="G20" i="74"/>
  <c r="AI8" i="77" s="1"/>
  <c r="H20" i="74"/>
  <c r="AJ8" i="77" s="1"/>
  <c r="K20" i="74"/>
  <c r="L20" i="74"/>
  <c r="M20" i="74"/>
  <c r="G21" i="74"/>
  <c r="AI9" i="77" s="1"/>
  <c r="H21" i="74"/>
  <c r="AJ9" i="77" s="1"/>
  <c r="K21" i="74"/>
  <c r="L21" i="74"/>
  <c r="M21" i="74"/>
  <c r="G22" i="74"/>
  <c r="AI10" i="77" s="1"/>
  <c r="H22" i="74"/>
  <c r="AJ10" i="77" s="1"/>
  <c r="K22" i="74"/>
  <c r="L22" i="74"/>
  <c r="M22" i="74"/>
  <c r="G23" i="74"/>
  <c r="AI11" i="77" s="1"/>
  <c r="H23" i="74"/>
  <c r="AJ11" i="77" s="1"/>
  <c r="K23" i="74"/>
  <c r="L23" i="74"/>
  <c r="M23" i="74"/>
  <c r="G24" i="74"/>
  <c r="AI12" i="77" s="1"/>
  <c r="H24" i="74"/>
  <c r="AJ12" i="77" s="1"/>
  <c r="K24" i="74"/>
  <c r="L24" i="74"/>
  <c r="M24" i="74"/>
  <c r="G25" i="74"/>
  <c r="AI13" i="77" s="1"/>
  <c r="H25" i="74"/>
  <c r="AJ13" i="77" s="1"/>
  <c r="K25" i="74"/>
  <c r="L25" i="74"/>
  <c r="M25" i="74"/>
  <c r="E16" i="74"/>
  <c r="E17" i="74"/>
  <c r="E18" i="74"/>
  <c r="D19" i="74"/>
  <c r="AM22" i="64" s="1"/>
  <c r="E19" i="74"/>
  <c r="D20" i="74"/>
  <c r="AM25" i="64" s="1"/>
  <c r="E20" i="74"/>
  <c r="D21" i="74"/>
  <c r="AM28" i="64" s="1"/>
  <c r="E21" i="74"/>
  <c r="D22" i="74"/>
  <c r="AM31" i="64" s="1"/>
  <c r="E22" i="74"/>
  <c r="D23" i="74"/>
  <c r="AM34" i="64" s="1"/>
  <c r="E23" i="74"/>
  <c r="D24" i="74"/>
  <c r="AM37" i="64" s="1"/>
  <c r="E24" i="74"/>
  <c r="D25" i="74"/>
  <c r="AM40" i="64" s="1"/>
  <c r="E25" i="74"/>
  <c r="A112" i="76" l="1"/>
  <c r="D120" i="76"/>
  <c r="A42" i="76"/>
  <c r="G49" i="76"/>
  <c r="O50" i="76"/>
  <c r="T48" i="76"/>
  <c r="S118" i="76"/>
  <c r="AM12" i="77"/>
  <c r="AM4" i="77"/>
  <c r="A52" i="76"/>
  <c r="D59" i="76"/>
  <c r="D60" i="76"/>
  <c r="AM9" i="77"/>
  <c r="AM7" i="77"/>
  <c r="A62" i="76"/>
  <c r="G69" i="76"/>
  <c r="O70" i="76"/>
  <c r="T68" i="76"/>
  <c r="S58" i="76"/>
  <c r="AM10" i="77"/>
  <c r="A2" i="76"/>
  <c r="O10" i="76"/>
  <c r="T8" i="76"/>
  <c r="A72" i="76"/>
  <c r="G79" i="76"/>
  <c r="AM6" i="77"/>
  <c r="AM13" i="77"/>
  <c r="AM5" i="77"/>
  <c r="A32" i="76"/>
  <c r="P40" i="76"/>
  <c r="A82" i="76"/>
  <c r="D89" i="76"/>
  <c r="D90" i="76"/>
  <c r="T88" i="76"/>
  <c r="T78" i="76"/>
  <c r="AM8" i="77"/>
  <c r="A22" i="76"/>
  <c r="O30" i="76"/>
  <c r="A92" i="76"/>
  <c r="G99" i="76"/>
  <c r="P100" i="76"/>
  <c r="AM11" i="77"/>
  <c r="A12" i="76"/>
  <c r="O20" i="76"/>
  <c r="A102" i="76"/>
  <c r="G109" i="76"/>
  <c r="O110" i="76"/>
  <c r="T108" i="76"/>
  <c r="S98" i="76"/>
  <c r="S28" i="76"/>
  <c r="T50" i="76"/>
  <c r="S120" i="76"/>
  <c r="O120" i="76"/>
  <c r="S30" i="76"/>
  <c r="S20" i="76"/>
  <c r="S40" i="76"/>
  <c r="D40" i="76"/>
  <c r="T120" i="76"/>
  <c r="P120" i="76"/>
  <c r="G120" i="76"/>
  <c r="S10" i="76"/>
  <c r="S50" i="76"/>
  <c r="S100" i="76"/>
  <c r="S110" i="76"/>
  <c r="S70" i="76"/>
  <c r="T10" i="76"/>
  <c r="S80" i="76"/>
  <c r="D80" i="76"/>
  <c r="O80" i="76"/>
  <c r="T70" i="76"/>
  <c r="S90" i="76"/>
  <c r="T80" i="76"/>
  <c r="G80" i="76"/>
  <c r="P80" i="76"/>
  <c r="T30" i="76"/>
  <c r="T90" i="76"/>
  <c r="T20" i="76"/>
  <c r="T40" i="76"/>
  <c r="S60" i="76"/>
  <c r="T100" i="76"/>
  <c r="T60" i="76"/>
  <c r="T110" i="76"/>
  <c r="D79" i="76"/>
  <c r="D119" i="76"/>
  <c r="D38" i="76"/>
  <c r="O38" i="76" s="1"/>
  <c r="T98" i="76"/>
  <c r="T58" i="76"/>
  <c r="T54" i="76" s="1"/>
  <c r="T28" i="76"/>
  <c r="T38" i="76"/>
  <c r="S38" i="76"/>
  <c r="D29" i="76"/>
  <c r="T9" i="76"/>
  <c r="S5" i="76"/>
  <c r="T5" i="76"/>
  <c r="S9" i="76"/>
  <c r="T5" i="74"/>
  <c r="F34" i="74"/>
  <c r="S4" i="74"/>
  <c r="S3" i="74"/>
  <c r="T84" i="76" l="1"/>
  <c r="D10" i="76"/>
  <c r="P10" i="76"/>
  <c r="S68" i="76"/>
  <c r="S64" i="76" s="1"/>
  <c r="G10" i="76"/>
  <c r="O90" i="76"/>
  <c r="G20" i="76"/>
  <c r="S108" i="76"/>
  <c r="S104" i="76" s="1"/>
  <c r="G40" i="76"/>
  <c r="P70" i="76"/>
  <c r="O40" i="76"/>
  <c r="D50" i="76"/>
  <c r="D8" i="76"/>
  <c r="O8" i="76" s="1"/>
  <c r="G30" i="76"/>
  <c r="P50" i="76"/>
  <c r="P20" i="76"/>
  <c r="D70" i="76"/>
  <c r="D20" i="76"/>
  <c r="P30" i="76"/>
  <c r="S8" i="76"/>
  <c r="S4" i="76" s="1"/>
  <c r="G50" i="76"/>
  <c r="D30" i="76"/>
  <c r="P110" i="76"/>
  <c r="G70" i="76"/>
  <c r="G90" i="76"/>
  <c r="P90" i="76"/>
  <c r="G60" i="76"/>
  <c r="G9" i="76"/>
  <c r="S48" i="76"/>
  <c r="G8" i="76"/>
  <c r="P8" i="76" s="1"/>
  <c r="O9" i="76"/>
  <c r="D9" i="76"/>
  <c r="P9" i="76"/>
  <c r="S88" i="76"/>
  <c r="S84" i="76" s="1"/>
  <c r="U84" i="76" s="1"/>
  <c r="T118" i="76"/>
  <c r="T114" i="76" s="1"/>
  <c r="G78" i="76"/>
  <c r="P78" i="76" s="1"/>
  <c r="O100" i="76"/>
  <c r="D110" i="76"/>
  <c r="S78" i="76"/>
  <c r="S74" i="76" s="1"/>
  <c r="D100" i="76"/>
  <c r="G100" i="76"/>
  <c r="G110" i="76"/>
  <c r="T44" i="76"/>
  <c r="S94" i="76"/>
  <c r="T104" i="76"/>
  <c r="T94" i="76"/>
  <c r="T24" i="76"/>
  <c r="S34" i="76"/>
  <c r="T34" i="76"/>
  <c r="S114" i="76"/>
  <c r="T74" i="76"/>
  <c r="S24" i="76"/>
  <c r="T64" i="76"/>
  <c r="S54" i="76"/>
  <c r="U54" i="76" s="1"/>
  <c r="S44" i="76"/>
  <c r="T4" i="76"/>
  <c r="D78" i="76"/>
  <c r="O78" i="76" s="1"/>
  <c r="G119" i="76"/>
  <c r="G39" i="76"/>
  <c r="G38" i="76"/>
  <c r="P38" i="76" s="1"/>
  <c r="D68" i="76"/>
  <c r="O68" i="76" s="1"/>
  <c r="G68" i="76"/>
  <c r="P68" i="76" s="1"/>
  <c r="G59" i="76"/>
  <c r="D88" i="76"/>
  <c r="O88" i="76" s="1"/>
  <c r="D58" i="76"/>
  <c r="O58" i="76" s="1"/>
  <c r="G118" i="76"/>
  <c r="P118" i="76" s="1"/>
  <c r="G88" i="76"/>
  <c r="P88" i="76" s="1"/>
  <c r="G89" i="76"/>
  <c r="G58" i="76"/>
  <c r="P58" i="76" s="1"/>
  <c r="D118" i="76"/>
  <c r="O118" i="76" s="1"/>
  <c r="P19" i="76"/>
  <c r="O19" i="76"/>
  <c r="S18" i="76"/>
  <c r="S14" i="76" s="1"/>
  <c r="T18" i="76"/>
  <c r="T14" i="76" s="1"/>
  <c r="D98" i="76"/>
  <c r="D108" i="76"/>
  <c r="O108" i="76" s="1"/>
  <c r="G108" i="76"/>
  <c r="P108" i="76" s="1"/>
  <c r="D39" i="76"/>
  <c r="D49" i="76"/>
  <c r="O69" i="76"/>
  <c r="P69" i="76"/>
  <c r="O59" i="76"/>
  <c r="P59" i="76"/>
  <c r="O89" i="76"/>
  <c r="P89" i="76"/>
  <c r="P119" i="76"/>
  <c r="O119" i="76"/>
  <c r="G28" i="76"/>
  <c r="P28" i="76" s="1"/>
  <c r="D28" i="76"/>
  <c r="O28" i="76" s="1"/>
  <c r="D48" i="76"/>
  <c r="O48" i="76" s="1"/>
  <c r="D69" i="76"/>
  <c r="P60" i="76"/>
  <c r="O60" i="76"/>
  <c r="P61" i="76"/>
  <c r="O61" i="76"/>
  <c r="G48" i="76"/>
  <c r="P48" i="76" s="1"/>
  <c r="P79" i="76"/>
  <c r="O79" i="76"/>
  <c r="O29" i="76"/>
  <c r="P29" i="76"/>
  <c r="O99" i="76"/>
  <c r="P99" i="76"/>
  <c r="P49" i="76"/>
  <c r="O49" i="76"/>
  <c r="G29" i="76"/>
  <c r="D99" i="76"/>
  <c r="G98" i="76"/>
  <c r="P98" i="76" s="1"/>
  <c r="P109" i="76"/>
  <c r="O109" i="76"/>
  <c r="D109" i="76"/>
  <c r="P39" i="76"/>
  <c r="O39" i="76"/>
  <c r="O15" i="74"/>
  <c r="G19" i="76"/>
  <c r="G18" i="76"/>
  <c r="P18" i="76" s="1"/>
  <c r="D19" i="76"/>
  <c r="D18" i="76"/>
  <c r="O18" i="76" s="1"/>
  <c r="O16" i="74"/>
  <c r="O17" i="74"/>
  <c r="O18" i="74"/>
  <c r="O19" i="74"/>
  <c r="O20" i="74"/>
  <c r="O21" i="74"/>
  <c r="O22" i="74"/>
  <c r="O23" i="74"/>
  <c r="O24" i="74"/>
  <c r="O25" i="74"/>
  <c r="G74" i="76" l="1"/>
  <c r="D4" i="76"/>
  <c r="G4" i="76"/>
  <c r="P4" i="76"/>
  <c r="U104" i="76"/>
  <c r="U44" i="76"/>
  <c r="U94" i="76"/>
  <c r="O4" i="76"/>
  <c r="Q4" i="76" s="1"/>
  <c r="AH7" i="64" s="1"/>
  <c r="U74" i="76"/>
  <c r="U64" i="76"/>
  <c r="U4" i="76"/>
  <c r="U24" i="76"/>
  <c r="U114" i="76"/>
  <c r="U34" i="76"/>
  <c r="G64" i="76"/>
  <c r="D74" i="76"/>
  <c r="D54" i="76"/>
  <c r="G34" i="76"/>
  <c r="D84" i="76"/>
  <c r="D44" i="76"/>
  <c r="D64" i="76"/>
  <c r="D34" i="76"/>
  <c r="H4" i="76"/>
  <c r="G54" i="76"/>
  <c r="G114" i="76"/>
  <c r="P24" i="76"/>
  <c r="G84" i="76"/>
  <c r="D24" i="76"/>
  <c r="O84" i="76"/>
  <c r="G94" i="76"/>
  <c r="P84" i="76"/>
  <c r="D114" i="76"/>
  <c r="O34" i="76"/>
  <c r="O64" i="76"/>
  <c r="O114" i="76"/>
  <c r="P54" i="76"/>
  <c r="O74" i="76"/>
  <c r="P114" i="76"/>
  <c r="P74" i="76"/>
  <c r="D104" i="76"/>
  <c r="P44" i="76"/>
  <c r="O54" i="76"/>
  <c r="P64" i="76"/>
  <c r="G24" i="76"/>
  <c r="P94" i="76"/>
  <c r="O24" i="76"/>
  <c r="O104" i="76"/>
  <c r="O14" i="76"/>
  <c r="O44" i="76"/>
  <c r="P34" i="76"/>
  <c r="O98" i="76"/>
  <c r="O94" i="76" s="1"/>
  <c r="D94" i="76"/>
  <c r="P104" i="76"/>
  <c r="P14" i="76"/>
  <c r="G104" i="76"/>
  <c r="U14" i="76"/>
  <c r="G44" i="76"/>
  <c r="D14" i="76"/>
  <c r="G14" i="76"/>
  <c r="C14" i="74"/>
  <c r="F14" i="74" s="1"/>
  <c r="H74" i="76" l="1"/>
  <c r="H24" i="76"/>
  <c r="H64" i="76"/>
  <c r="H54" i="76"/>
  <c r="H34" i="76"/>
  <c r="H84" i="76"/>
  <c r="H44" i="76"/>
  <c r="H114" i="76"/>
  <c r="Q84" i="76"/>
  <c r="AH31" i="64" s="1"/>
  <c r="Q24" i="76"/>
  <c r="AH13" i="64" s="1"/>
  <c r="Q64" i="76"/>
  <c r="AH25" i="64" s="1"/>
  <c r="H94" i="76"/>
  <c r="Q34" i="76"/>
  <c r="AH16" i="64" s="1"/>
  <c r="Q44" i="76"/>
  <c r="AH19" i="64" s="1"/>
  <c r="H14" i="76"/>
  <c r="Q74" i="76"/>
  <c r="AH28" i="64" s="1"/>
  <c r="Q114" i="76"/>
  <c r="AH40" i="64" s="1"/>
  <c r="Q54" i="76"/>
  <c r="AH22" i="64" s="1"/>
  <c r="H104" i="76"/>
  <c r="Q94" i="76"/>
  <c r="AH34" i="64" s="1"/>
  <c r="Q104" i="76"/>
  <c r="AH37" i="64" s="1"/>
  <c r="Q14" i="76"/>
  <c r="AH10" i="64" s="1"/>
  <c r="AN43" i="64"/>
  <c r="AH43" i="64" l="1"/>
  <c r="BP10" i="64"/>
  <c r="BP13" i="64"/>
  <c r="BP16" i="64"/>
  <c r="BP19" i="64"/>
  <c r="BP22" i="64"/>
  <c r="BP25" i="64"/>
  <c r="BP28" i="64"/>
  <c r="BP31" i="64"/>
  <c r="BP34" i="64"/>
  <c r="BP37" i="64"/>
  <c r="BP40" i="64"/>
  <c r="BP7" i="64"/>
  <c r="AF43" i="64" l="1"/>
  <c r="W8" i="64"/>
  <c r="W9" i="64"/>
  <c r="Y8" i="64"/>
  <c r="Y7" i="64"/>
  <c r="W7" i="64"/>
  <c r="AA8" i="64"/>
  <c r="Y9" i="64"/>
  <c r="S14" i="74" l="1"/>
  <c r="AE7" i="64"/>
  <c r="R14" i="74"/>
  <c r="T14" i="74" s="1"/>
  <c r="O14" i="74" s="1"/>
  <c r="AE8" i="64"/>
  <c r="L57" i="68" l="1"/>
  <c r="L40" i="68"/>
  <c r="H58" i="69"/>
  <c r="I58" i="69"/>
  <c r="J58" i="69"/>
  <c r="K58" i="69"/>
  <c r="L58" i="69"/>
  <c r="M58" i="69"/>
  <c r="N58" i="69"/>
  <c r="O58" i="69"/>
  <c r="P58" i="69"/>
  <c r="Q58" i="69"/>
  <c r="R58" i="69"/>
  <c r="G58" i="69"/>
  <c r="H70" i="69"/>
  <c r="I70" i="69"/>
  <c r="J70" i="69"/>
  <c r="K70" i="69"/>
  <c r="L70" i="69"/>
  <c r="M70" i="69"/>
  <c r="N70" i="69"/>
  <c r="O70" i="69"/>
  <c r="P70" i="69"/>
  <c r="Q70" i="69"/>
  <c r="R70" i="69"/>
  <c r="G70" i="69"/>
  <c r="BH43" i="64" l="1"/>
  <c r="AI22" i="64" l="1"/>
  <c r="AK22" i="64"/>
  <c r="AI16" i="64"/>
  <c r="AK16" i="64"/>
  <c r="AI19" i="64"/>
  <c r="AK19" i="64"/>
  <c r="AI31" i="64"/>
  <c r="AK31" i="64"/>
  <c r="AI7" i="64"/>
  <c r="AK7" i="64"/>
  <c r="AI40" i="64"/>
  <c r="AH41" i="64" s="1"/>
  <c r="AK40" i="64"/>
  <c r="AI13" i="64"/>
  <c r="AK13" i="64"/>
  <c r="AI10" i="64"/>
  <c r="AK10" i="64"/>
  <c r="AI37" i="64"/>
  <c r="AK37" i="64"/>
  <c r="AI25" i="64"/>
  <c r="AK25" i="64"/>
  <c r="AI34" i="64"/>
  <c r="AK34" i="64"/>
  <c r="AI28" i="64"/>
  <c r="AK28" i="64"/>
  <c r="L9" i="73"/>
  <c r="AI43" i="64" l="1"/>
  <c r="AH44" i="64" s="1"/>
  <c r="AK43" i="64"/>
  <c r="AH11" i="64"/>
  <c r="AH17" i="64"/>
  <c r="AH14" i="64"/>
  <c r="BE40" i="64" l="1"/>
  <c r="BI20" i="73"/>
  <c r="BI19" i="73"/>
  <c r="BI18" i="73"/>
  <c r="BI17" i="73"/>
  <c r="BI16" i="73"/>
  <c r="BI15" i="73"/>
  <c r="BI14" i="73"/>
  <c r="BI13" i="73"/>
  <c r="BI12" i="73"/>
  <c r="BI11" i="73"/>
  <c r="BI10" i="73"/>
  <c r="BI9" i="73"/>
  <c r="BH20" i="73"/>
  <c r="BH19" i="73"/>
  <c r="BH18" i="73"/>
  <c r="BH17" i="73"/>
  <c r="BH16" i="73"/>
  <c r="BH15" i="73"/>
  <c r="BH14" i="73"/>
  <c r="BH13" i="73"/>
  <c r="BH12" i="73"/>
  <c r="BH10" i="73"/>
  <c r="BH11" i="73"/>
  <c r="BH9" i="73"/>
  <c r="BG20" i="73"/>
  <c r="BG19" i="73"/>
  <c r="BG18" i="73"/>
  <c r="BG17" i="73"/>
  <c r="BG16" i="73"/>
  <c r="BG15" i="73"/>
  <c r="BG14" i="73"/>
  <c r="BG13" i="73"/>
  <c r="BG12" i="73"/>
  <c r="BG11" i="73"/>
  <c r="BG10" i="73"/>
  <c r="BG9" i="73"/>
  <c r="BK20" i="73"/>
  <c r="BK19" i="73"/>
  <c r="BK18" i="73"/>
  <c r="BK17" i="73"/>
  <c r="BK16" i="73"/>
  <c r="BK15" i="73"/>
  <c r="BK14" i="73"/>
  <c r="BK13" i="73"/>
  <c r="BK12" i="73"/>
  <c r="BK11" i="73"/>
  <c r="BK10" i="73"/>
  <c r="BK9" i="73"/>
  <c r="BJ20" i="73" l="1"/>
  <c r="BJ19" i="73"/>
  <c r="BJ18" i="73"/>
  <c r="BJ17" i="73"/>
  <c r="BJ16" i="73"/>
  <c r="BJ15" i="73"/>
  <c r="BJ14" i="73"/>
  <c r="BJ13" i="73"/>
  <c r="BJ12" i="73"/>
  <c r="BJ11" i="73"/>
  <c r="BJ10" i="73"/>
  <c r="BJ9" i="73"/>
  <c r="BE21" i="73"/>
  <c r="BE20" i="73"/>
  <c r="BE19" i="73"/>
  <c r="BE18" i="73"/>
  <c r="BE17" i="73"/>
  <c r="BE16" i="73"/>
  <c r="BE15" i="73"/>
  <c r="BE14" i="73"/>
  <c r="BE13" i="73"/>
  <c r="BE12" i="73"/>
  <c r="BE11" i="73"/>
  <c r="BE10" i="73"/>
  <c r="BE9" i="73"/>
  <c r="BD21" i="73"/>
  <c r="BD20" i="73"/>
  <c r="BD19" i="73"/>
  <c r="BD18" i="73"/>
  <c r="BD17" i="73"/>
  <c r="BD16" i="73"/>
  <c r="BD15" i="73"/>
  <c r="BD14" i="73"/>
  <c r="BD13" i="73"/>
  <c r="BD12" i="73"/>
  <c r="BD11" i="73"/>
  <c r="BD10" i="73"/>
  <c r="BD9" i="73"/>
  <c r="BC21" i="73"/>
  <c r="BC20" i="73"/>
  <c r="BC19" i="73"/>
  <c r="BC18" i="73"/>
  <c r="BC17" i="73"/>
  <c r="BC16" i="73"/>
  <c r="BC15" i="73"/>
  <c r="BC14" i="73"/>
  <c r="BC13" i="73"/>
  <c r="BC12" i="73"/>
  <c r="BC11" i="73"/>
  <c r="BC10" i="73"/>
  <c r="BC9" i="73"/>
  <c r="BB21" i="73"/>
  <c r="BB20" i="73"/>
  <c r="BB19" i="73"/>
  <c r="BB18" i="73"/>
  <c r="BB17" i="73"/>
  <c r="BB16" i="73"/>
  <c r="BB15" i="73"/>
  <c r="BB14" i="73"/>
  <c r="BB13" i="73"/>
  <c r="BB12" i="73"/>
  <c r="BB11" i="73"/>
  <c r="BB10" i="73"/>
  <c r="BB9" i="73"/>
  <c r="BA21" i="73"/>
  <c r="BA20" i="73"/>
  <c r="BA19" i="73"/>
  <c r="BA18" i="73"/>
  <c r="BA17" i="73"/>
  <c r="BA16" i="73"/>
  <c r="BA15" i="73"/>
  <c r="BA14" i="73"/>
  <c r="BA13" i="73"/>
  <c r="BA12" i="73"/>
  <c r="BA11" i="73"/>
  <c r="BA10" i="73"/>
  <c r="BA9" i="73"/>
  <c r="AZ9" i="73"/>
  <c r="N20" i="73" l="1"/>
  <c r="N19" i="73"/>
  <c r="N18" i="73"/>
  <c r="N17" i="73"/>
  <c r="N16" i="73"/>
  <c r="N15" i="73"/>
  <c r="N14" i="73"/>
  <c r="N13" i="73"/>
  <c r="N12" i="73"/>
  <c r="N11" i="73"/>
  <c r="N10" i="73"/>
  <c r="N9" i="73"/>
  <c r="L20" i="73"/>
  <c r="L19" i="73"/>
  <c r="L18" i="73"/>
  <c r="L17" i="73"/>
  <c r="L16" i="73"/>
  <c r="L15" i="73"/>
  <c r="L14" i="73"/>
  <c r="L13" i="73"/>
  <c r="L12" i="73"/>
  <c r="L11" i="73"/>
  <c r="L10" i="73"/>
  <c r="AT43" i="64" l="1"/>
  <c r="N21" i="73" s="1"/>
  <c r="AS43" i="64"/>
  <c r="L21" i="73" l="1"/>
  <c r="AD4" i="73"/>
  <c r="AD3" i="73"/>
  <c r="A10" i="73" s="1"/>
  <c r="A17" i="73" l="1"/>
  <c r="A16" i="73"/>
  <c r="A15" i="73"/>
  <c r="A9" i="73"/>
  <c r="A14" i="73"/>
  <c r="A21" i="73"/>
  <c r="A13" i="73"/>
  <c r="A20" i="73"/>
  <c r="A12" i="73"/>
  <c r="A19" i="73"/>
  <c r="A11" i="73"/>
  <c r="A18" i="73"/>
  <c r="BO43" i="64" l="1"/>
  <c r="BP43" i="64" s="1"/>
  <c r="AK26" i="68" l="1"/>
  <c r="AJ26" i="68"/>
  <c r="AI26" i="68"/>
  <c r="AH26" i="68"/>
  <c r="AG26" i="68"/>
  <c r="AF26" i="68"/>
  <c r="AE26" i="68"/>
  <c r="AD26" i="68"/>
  <c r="AC26" i="68"/>
  <c r="AB26" i="68"/>
  <c r="AA26" i="68"/>
  <c r="Z26" i="68"/>
  <c r="Y26" i="68"/>
  <c r="X26" i="68"/>
  <c r="W26" i="68"/>
  <c r="V26" i="68"/>
  <c r="U26" i="68"/>
  <c r="T26" i="68"/>
  <c r="S26" i="68"/>
  <c r="R26" i="68"/>
  <c r="Q26" i="68"/>
  <c r="P26" i="68"/>
  <c r="O26" i="68"/>
  <c r="N26" i="68"/>
  <c r="AK25" i="68"/>
  <c r="AJ25" i="68"/>
  <c r="AI25" i="68"/>
  <c r="AH25" i="68"/>
  <c r="AG25" i="68"/>
  <c r="AF25" i="68"/>
  <c r="AE25" i="68"/>
  <c r="AD25" i="68"/>
  <c r="AC25" i="68"/>
  <c r="AB25" i="68"/>
  <c r="AA25" i="68"/>
  <c r="Z25" i="68"/>
  <c r="Y25" i="68"/>
  <c r="X25" i="68"/>
  <c r="W25" i="68"/>
  <c r="V25" i="68"/>
  <c r="U25" i="68"/>
  <c r="T25" i="68"/>
  <c r="S25" i="68"/>
  <c r="R25" i="68"/>
  <c r="Q25" i="68"/>
  <c r="P25" i="68"/>
  <c r="O25" i="68"/>
  <c r="N25" i="68"/>
  <c r="AK24" i="68"/>
  <c r="AJ24" i="68"/>
  <c r="AI24" i="68"/>
  <c r="AH24" i="68"/>
  <c r="AG24" i="68"/>
  <c r="AF24" i="68"/>
  <c r="AE24" i="68"/>
  <c r="AD24" i="68"/>
  <c r="AC24" i="68"/>
  <c r="AB24" i="68"/>
  <c r="AA24" i="68"/>
  <c r="Z24" i="68"/>
  <c r="Y24" i="68"/>
  <c r="X24" i="68"/>
  <c r="W24" i="68"/>
  <c r="V24" i="68"/>
  <c r="U24" i="68"/>
  <c r="T24" i="68"/>
  <c r="S24" i="68"/>
  <c r="R24" i="68"/>
  <c r="Q24" i="68"/>
  <c r="P24" i="68"/>
  <c r="O24" i="68"/>
  <c r="N24" i="68"/>
  <c r="AK23" i="68"/>
  <c r="AJ23" i="68"/>
  <c r="AI23" i="68"/>
  <c r="AH23" i="68"/>
  <c r="AG23" i="68"/>
  <c r="AF23" i="68"/>
  <c r="AE23" i="68"/>
  <c r="AD23" i="68"/>
  <c r="AC23" i="68"/>
  <c r="AB23" i="68"/>
  <c r="AA23" i="68"/>
  <c r="Z23" i="68"/>
  <c r="Y23" i="68"/>
  <c r="X23" i="68"/>
  <c r="W23" i="68"/>
  <c r="V23" i="68"/>
  <c r="U23" i="68"/>
  <c r="T23" i="68"/>
  <c r="S23" i="68"/>
  <c r="R23" i="68"/>
  <c r="Q23" i="68"/>
  <c r="P23" i="68"/>
  <c r="O23" i="68"/>
  <c r="N23" i="68"/>
  <c r="AK22" i="68"/>
  <c r="AJ22" i="68"/>
  <c r="AI22" i="68"/>
  <c r="AH22" i="68"/>
  <c r="AG22" i="68"/>
  <c r="AF22" i="68"/>
  <c r="AE22" i="68"/>
  <c r="AD22" i="68"/>
  <c r="AC22" i="68"/>
  <c r="AB22" i="68"/>
  <c r="AA22" i="68"/>
  <c r="Z22" i="68"/>
  <c r="Y22" i="68"/>
  <c r="X22" i="68"/>
  <c r="W22" i="68"/>
  <c r="V22" i="68"/>
  <c r="U22" i="68"/>
  <c r="T22" i="68"/>
  <c r="S22" i="68"/>
  <c r="R22" i="68"/>
  <c r="Q22" i="68"/>
  <c r="P22" i="68"/>
  <c r="O22" i="68"/>
  <c r="N22" i="68"/>
  <c r="AK21" i="68"/>
  <c r="AJ21" i="68"/>
  <c r="AI21" i="68"/>
  <c r="AH21" i="68"/>
  <c r="AG21" i="68"/>
  <c r="AF21" i="68"/>
  <c r="AE21" i="68"/>
  <c r="AD21" i="68"/>
  <c r="AC21" i="68"/>
  <c r="AB21" i="68"/>
  <c r="AA21" i="68"/>
  <c r="Z21" i="68"/>
  <c r="Y21" i="68"/>
  <c r="X21" i="68"/>
  <c r="W21" i="68"/>
  <c r="V21" i="68"/>
  <c r="U21" i="68"/>
  <c r="T21" i="68"/>
  <c r="S21" i="68"/>
  <c r="R21" i="68"/>
  <c r="Q21" i="68"/>
  <c r="P21" i="68"/>
  <c r="O21" i="68"/>
  <c r="N21" i="68"/>
  <c r="AK20" i="68"/>
  <c r="AJ20" i="68"/>
  <c r="AI20" i="68"/>
  <c r="AH20" i="68"/>
  <c r="AG20" i="68"/>
  <c r="AF20" i="68"/>
  <c r="AE20" i="68"/>
  <c r="AD20" i="68"/>
  <c r="AC20" i="68"/>
  <c r="AB20" i="68"/>
  <c r="AA20" i="68"/>
  <c r="Z20" i="68"/>
  <c r="Y20" i="68"/>
  <c r="X20" i="68"/>
  <c r="W20" i="68"/>
  <c r="V20" i="68"/>
  <c r="U20" i="68"/>
  <c r="T20" i="68"/>
  <c r="S20" i="68"/>
  <c r="R20" i="68"/>
  <c r="Q20" i="68"/>
  <c r="P20" i="68"/>
  <c r="O20" i="68"/>
  <c r="N20" i="68"/>
  <c r="AK19" i="68"/>
  <c r="AJ19" i="68"/>
  <c r="AI19" i="68"/>
  <c r="AH19" i="68"/>
  <c r="AG19" i="68"/>
  <c r="AF19" i="68"/>
  <c r="AE19" i="68"/>
  <c r="AD19" i="68"/>
  <c r="AC19" i="68"/>
  <c r="AB19" i="68"/>
  <c r="AA19" i="68"/>
  <c r="Z19" i="68"/>
  <c r="Y19" i="68"/>
  <c r="X19" i="68"/>
  <c r="W19" i="68"/>
  <c r="V19" i="68"/>
  <c r="U19" i="68"/>
  <c r="T19" i="68"/>
  <c r="S19" i="68"/>
  <c r="R19" i="68"/>
  <c r="Q19" i="68"/>
  <c r="P19" i="68"/>
  <c r="O19" i="68"/>
  <c r="N19" i="68"/>
  <c r="AK18" i="68"/>
  <c r="AJ18" i="68"/>
  <c r="AI18" i="68"/>
  <c r="AH18" i="68"/>
  <c r="AG18" i="68"/>
  <c r="AF18" i="68"/>
  <c r="AE18" i="68"/>
  <c r="AD18" i="68"/>
  <c r="AC18" i="68"/>
  <c r="AB18" i="68"/>
  <c r="AA18" i="68"/>
  <c r="Z18" i="68"/>
  <c r="Y18" i="68"/>
  <c r="X18" i="68"/>
  <c r="W18" i="68"/>
  <c r="V18" i="68"/>
  <c r="U18" i="68"/>
  <c r="T18" i="68"/>
  <c r="S18" i="68"/>
  <c r="R18" i="68"/>
  <c r="Q18" i="68"/>
  <c r="P18" i="68"/>
  <c r="O18" i="68"/>
  <c r="N18" i="68"/>
  <c r="AK17" i="68"/>
  <c r="AJ17" i="68"/>
  <c r="AI17" i="68"/>
  <c r="AH17" i="68"/>
  <c r="AG17" i="68"/>
  <c r="AF17" i="68"/>
  <c r="AE17" i="68"/>
  <c r="AD17" i="68"/>
  <c r="AC17" i="68"/>
  <c r="AB17" i="68"/>
  <c r="AA17" i="68"/>
  <c r="Z17" i="68"/>
  <c r="Y17" i="68"/>
  <c r="X17" i="68"/>
  <c r="W17" i="68"/>
  <c r="V17" i="68"/>
  <c r="U17" i="68"/>
  <c r="T17" i="68"/>
  <c r="S17" i="68"/>
  <c r="R17" i="68"/>
  <c r="Q17" i="68"/>
  <c r="P17" i="68"/>
  <c r="O17" i="68"/>
  <c r="N17" i="68"/>
  <c r="BB31" i="72" l="1"/>
  <c r="AL31" i="72"/>
  <c r="AL32" i="72" s="1"/>
  <c r="K31" i="72"/>
  <c r="I31" i="72"/>
  <c r="J31" i="72" s="1"/>
  <c r="D31" i="72"/>
  <c r="D32" i="72" s="1"/>
  <c r="AW31" i="72"/>
  <c r="AW32" i="72" s="1"/>
  <c r="AV31" i="72"/>
  <c r="AV32" i="72" s="1"/>
  <c r="AU31" i="72"/>
  <c r="AU32" i="72" s="1"/>
  <c r="AT31" i="72"/>
  <c r="AT32" i="72" s="1"/>
  <c r="AS31" i="72"/>
  <c r="AS32" i="72" s="1"/>
  <c r="AR31" i="72"/>
  <c r="AR32" i="72" s="1"/>
  <c r="AO31" i="72"/>
  <c r="AO32" i="72" s="1"/>
  <c r="AN31" i="72"/>
  <c r="AN32" i="72" s="1"/>
  <c r="AM31" i="72"/>
  <c r="AM32" i="72" s="1"/>
  <c r="AK31" i="72"/>
  <c r="AK32" i="72" s="1"/>
  <c r="AJ31" i="72"/>
  <c r="AJ32" i="72" s="1"/>
  <c r="AG31" i="72"/>
  <c r="AG32" i="72" s="1"/>
  <c r="AF31" i="72"/>
  <c r="AF32" i="72" s="1"/>
  <c r="AE31" i="72"/>
  <c r="AE32" i="72" s="1"/>
  <c r="AD31" i="72"/>
  <c r="AD32" i="72" s="1"/>
  <c r="AC31" i="72"/>
  <c r="AC32" i="72" s="1"/>
  <c r="AB31" i="72"/>
  <c r="AB32" i="72" s="1"/>
  <c r="Y31" i="72"/>
  <c r="Y32" i="72" s="1"/>
  <c r="X31" i="72"/>
  <c r="X32" i="72" s="1"/>
  <c r="W31" i="72"/>
  <c r="W32" i="72" s="1"/>
  <c r="V31" i="72"/>
  <c r="V32" i="72" s="1"/>
  <c r="U31" i="72"/>
  <c r="U32" i="72" s="1"/>
  <c r="T31" i="72"/>
  <c r="T32" i="72" s="1"/>
  <c r="Q31" i="72"/>
  <c r="Q32" i="72" s="1"/>
  <c r="P31" i="72"/>
  <c r="P32" i="72" s="1"/>
  <c r="O31" i="72"/>
  <c r="O32" i="72" s="1"/>
  <c r="N31" i="72"/>
  <c r="N32" i="72" s="1"/>
  <c r="M31" i="72"/>
  <c r="M32" i="72" s="1"/>
  <c r="L31" i="72"/>
  <c r="L32" i="72" s="1"/>
  <c r="H31" i="72"/>
  <c r="H32" i="72" s="1"/>
  <c r="G31" i="72"/>
  <c r="G32" i="72" s="1"/>
  <c r="F31" i="72"/>
  <c r="F32" i="72" s="1"/>
  <c r="E31" i="72"/>
  <c r="E32" i="72" s="1"/>
  <c r="BB31" i="71"/>
  <c r="P31" i="71"/>
  <c r="P32" i="71" s="1"/>
  <c r="D31" i="71"/>
  <c r="D32" i="71" s="1"/>
  <c r="I32" i="71"/>
  <c r="AG32" i="71"/>
  <c r="X32" i="71"/>
  <c r="O32" i="71"/>
  <c r="AW31" i="71"/>
  <c r="AW32" i="71" s="1"/>
  <c r="AV31" i="71"/>
  <c r="AV32" i="71" s="1"/>
  <c r="AU31" i="71"/>
  <c r="AU32" i="71" s="1"/>
  <c r="AT31" i="71"/>
  <c r="AT32" i="71" s="1"/>
  <c r="AS31" i="71"/>
  <c r="AS32" i="71" s="1"/>
  <c r="AR31" i="71"/>
  <c r="AO31" i="71"/>
  <c r="AO32" i="71" s="1"/>
  <c r="AN31" i="71"/>
  <c r="AN32" i="71" s="1"/>
  <c r="AM31" i="71"/>
  <c r="AM32" i="71" s="1"/>
  <c r="AL31" i="71"/>
  <c r="AL32" i="71" s="1"/>
  <c r="AK31" i="71"/>
  <c r="AK32" i="71" s="1"/>
  <c r="AJ31" i="71"/>
  <c r="AP31" i="71" s="1"/>
  <c r="AG31" i="71"/>
  <c r="AF31" i="71"/>
  <c r="AF32" i="71" s="1"/>
  <c r="AE31" i="71"/>
  <c r="AE32" i="71" s="1"/>
  <c r="AD31" i="71"/>
  <c r="AD32" i="71" s="1"/>
  <c r="AC31" i="71"/>
  <c r="AC32" i="71" s="1"/>
  <c r="AB31" i="71"/>
  <c r="AH31" i="71" s="1"/>
  <c r="Y31" i="71"/>
  <c r="Y32" i="71" s="1"/>
  <c r="X31" i="71"/>
  <c r="W31" i="71"/>
  <c r="W32" i="71" s="1"/>
  <c r="V31" i="71"/>
  <c r="V32" i="71" s="1"/>
  <c r="U31" i="71"/>
  <c r="U32" i="71" s="1"/>
  <c r="T31" i="71"/>
  <c r="T32" i="71" s="1"/>
  <c r="Q31" i="71"/>
  <c r="Q32" i="71" s="1"/>
  <c r="O31" i="71"/>
  <c r="N31" i="71"/>
  <c r="N32" i="71" s="1"/>
  <c r="M31" i="71"/>
  <c r="M32" i="71" s="1"/>
  <c r="L31" i="71"/>
  <c r="L32" i="71" s="1"/>
  <c r="I31" i="71"/>
  <c r="H31" i="71"/>
  <c r="H32" i="71" s="1"/>
  <c r="G31" i="71"/>
  <c r="G32" i="71" s="1"/>
  <c r="F31" i="71"/>
  <c r="F32" i="71" s="1"/>
  <c r="E31" i="71"/>
  <c r="E32" i="71" s="1"/>
  <c r="J29" i="71"/>
  <c r="AX31" i="71" l="1"/>
  <c r="I32" i="72"/>
  <c r="R31" i="72"/>
  <c r="R32" i="72" s="1"/>
  <c r="S31" i="72" s="1"/>
  <c r="Z31" i="72"/>
  <c r="Z32" i="72" s="1"/>
  <c r="AA31" i="72" s="1"/>
  <c r="AH31" i="72"/>
  <c r="AH32" i="72" s="1"/>
  <c r="AI31" i="72" s="1"/>
  <c r="AP31" i="72"/>
  <c r="AP32" i="72" s="1"/>
  <c r="AQ31" i="72" s="1"/>
  <c r="AX31" i="72"/>
  <c r="AR32" i="71"/>
  <c r="AJ32" i="71"/>
  <c r="AP32" i="71" s="1"/>
  <c r="AQ31" i="71" s="1"/>
  <c r="AB32" i="71"/>
  <c r="AH32" i="71" s="1"/>
  <c r="AI31" i="71" s="1"/>
  <c r="R31" i="71"/>
  <c r="R32" i="71" s="1"/>
  <c r="S31" i="71" s="1"/>
  <c r="Z31" i="71"/>
  <c r="Z32" i="71" s="1"/>
  <c r="AA31" i="71" s="1"/>
  <c r="J31" i="71"/>
  <c r="AX32" i="72" l="1"/>
  <c r="AY31" i="72" s="1"/>
  <c r="BA31" i="72" s="1"/>
  <c r="AW43" i="64" s="1"/>
  <c r="BC31" i="72"/>
  <c r="BF21" i="73"/>
  <c r="BC31" i="71"/>
  <c r="AX32" i="71"/>
  <c r="AY31" i="71" s="1"/>
  <c r="BA31" i="71" s="1"/>
  <c r="AV43" i="64" s="1"/>
  <c r="J32" i="72"/>
  <c r="J32" i="71"/>
  <c r="K31" i="71" s="1"/>
  <c r="T21" i="73" l="1"/>
  <c r="AD43" i="64"/>
  <c r="AC44" i="64" s="1"/>
  <c r="D11" i="64"/>
  <c r="D12" i="64"/>
  <c r="D10" i="64"/>
  <c r="C10" i="64"/>
  <c r="C12" i="64"/>
  <c r="C11" i="64"/>
  <c r="U44" i="64"/>
  <c r="S44" i="64"/>
  <c r="S43" i="64"/>
  <c r="Q45" i="64"/>
  <c r="O45" i="64"/>
  <c r="N45" i="64"/>
  <c r="L44" i="64"/>
  <c r="F45" i="64"/>
  <c r="E45" i="64"/>
  <c r="T44" i="64"/>
  <c r="U43" i="64"/>
  <c r="T43" i="64"/>
  <c r="R43" i="64"/>
  <c r="H45" i="64"/>
  <c r="K44" i="64"/>
  <c r="J44" i="64"/>
  <c r="L43" i="64"/>
  <c r="K43" i="64"/>
  <c r="J43" i="64"/>
  <c r="I43" i="64"/>
  <c r="Y42" i="64"/>
  <c r="W42" i="64"/>
  <c r="Y41" i="64"/>
  <c r="W41" i="64"/>
  <c r="AP40" i="64"/>
  <c r="Y40" i="64"/>
  <c r="W40" i="64"/>
  <c r="V8" i="68"/>
  <c r="N8" i="68"/>
  <c r="AK30" i="72"/>
  <c r="AX29" i="72"/>
  <c r="BC29" i="72" s="1"/>
  <c r="AP29" i="72"/>
  <c r="AH29" i="72"/>
  <c r="Z29" i="72"/>
  <c r="R29" i="72"/>
  <c r="J29" i="72"/>
  <c r="AT28" i="72"/>
  <c r="O28" i="72"/>
  <c r="I28" i="72"/>
  <c r="AX27" i="72"/>
  <c r="AP27" i="72"/>
  <c r="AH27" i="72"/>
  <c r="Z27" i="72"/>
  <c r="R27" i="72"/>
  <c r="J27" i="72"/>
  <c r="AR26" i="72"/>
  <c r="AX25" i="72"/>
  <c r="AP25" i="72"/>
  <c r="AH25" i="72"/>
  <c r="Z25" i="72"/>
  <c r="R25" i="72"/>
  <c r="J25" i="72"/>
  <c r="AE24" i="72"/>
  <c r="AD24" i="72"/>
  <c r="H24" i="72"/>
  <c r="AX23" i="72"/>
  <c r="AP23" i="72"/>
  <c r="AH23" i="72"/>
  <c r="Z23" i="72"/>
  <c r="R23" i="72"/>
  <c r="J23" i="72"/>
  <c r="AN22" i="72"/>
  <c r="AF22" i="72"/>
  <c r="AE22" i="72"/>
  <c r="N22" i="72"/>
  <c r="AX21" i="72"/>
  <c r="AP21" i="72"/>
  <c r="AH21" i="72"/>
  <c r="Z21" i="72"/>
  <c r="R21" i="72"/>
  <c r="J21" i="72"/>
  <c r="T20" i="72"/>
  <c r="N20" i="72"/>
  <c r="AX19" i="72"/>
  <c r="AP19" i="72"/>
  <c r="AH19" i="72"/>
  <c r="Z19" i="72"/>
  <c r="R19" i="72"/>
  <c r="J19" i="72"/>
  <c r="O18" i="72"/>
  <c r="L18" i="72"/>
  <c r="AX17" i="72"/>
  <c r="AP17" i="72"/>
  <c r="AH17" i="72"/>
  <c r="Z17" i="72"/>
  <c r="R17" i="72"/>
  <c r="J17" i="72"/>
  <c r="AR16" i="72"/>
  <c r="AO16" i="72"/>
  <c r="H16" i="72"/>
  <c r="D16" i="72"/>
  <c r="AX15" i="72"/>
  <c r="AP15" i="72"/>
  <c r="AH15" i="72"/>
  <c r="Z15" i="72"/>
  <c r="R15" i="72"/>
  <c r="BB15" i="72" s="1"/>
  <c r="J15" i="72"/>
  <c r="AT14" i="72"/>
  <c r="AO14" i="72"/>
  <c r="N14" i="72"/>
  <c r="E14" i="72"/>
  <c r="AX13" i="72"/>
  <c r="BC13" i="72" s="1"/>
  <c r="AP13" i="72"/>
  <c r="AH13" i="72"/>
  <c r="Z13" i="72"/>
  <c r="R13" i="72"/>
  <c r="J13" i="72"/>
  <c r="AT12" i="72"/>
  <c r="AR12" i="72"/>
  <c r="AX11" i="72"/>
  <c r="AP11" i="72"/>
  <c r="AH11" i="72"/>
  <c r="Z11" i="72"/>
  <c r="R11" i="72"/>
  <c r="J11" i="72"/>
  <c r="BB11" i="72" s="1"/>
  <c r="U10" i="72"/>
  <c r="T10" i="72"/>
  <c r="H10" i="72"/>
  <c r="AX9" i="72"/>
  <c r="AP9" i="72"/>
  <c r="AH9" i="72"/>
  <c r="Z9" i="72"/>
  <c r="R9" i="72"/>
  <c r="J9" i="72"/>
  <c r="AN8" i="72"/>
  <c r="AK8" i="72"/>
  <c r="V8" i="72"/>
  <c r="U8" i="72"/>
  <c r="I8" i="72"/>
  <c r="H8" i="72"/>
  <c r="AX7" i="72"/>
  <c r="AP7" i="72"/>
  <c r="AH7" i="72"/>
  <c r="Z7" i="72"/>
  <c r="R7" i="72"/>
  <c r="J7" i="72"/>
  <c r="AW4" i="72"/>
  <c r="AW22" i="72" s="1"/>
  <c r="AV4" i="72"/>
  <c r="AV22" i="72" s="1"/>
  <c r="AU4" i="72"/>
  <c r="AU26" i="72" s="1"/>
  <c r="AU24" i="72"/>
  <c r="AT4" i="72"/>
  <c r="AT22" i="72" s="1"/>
  <c r="AT26" i="72"/>
  <c r="AS4" i="72"/>
  <c r="AS22" i="72" s="1"/>
  <c r="AR4" i="72"/>
  <c r="AR22" i="72" s="1"/>
  <c r="AO4" i="72"/>
  <c r="AO30" i="72" s="1"/>
  <c r="AO18" i="72"/>
  <c r="AN4" i="72"/>
  <c r="AN16" i="72" s="1"/>
  <c r="AN20" i="72"/>
  <c r="AM4" i="72"/>
  <c r="AM8" i="72" s="1"/>
  <c r="AL4" i="72"/>
  <c r="AK4" i="72"/>
  <c r="AK14" i="72" s="1"/>
  <c r="AK26" i="72"/>
  <c r="AJ4" i="72"/>
  <c r="AJ10" i="72" s="1"/>
  <c r="AG4" i="72"/>
  <c r="AF4" i="72"/>
  <c r="AF30" i="72" s="1"/>
  <c r="AE4" i="72"/>
  <c r="AE16" i="72" s="1"/>
  <c r="AD4" i="72"/>
  <c r="AD26" i="72" s="1"/>
  <c r="AD22" i="72"/>
  <c r="AC4" i="72"/>
  <c r="AC10" i="72"/>
  <c r="AB4" i="72"/>
  <c r="AB12" i="72" s="1"/>
  <c r="Y4" i="72"/>
  <c r="Y26" i="72" s="1"/>
  <c r="X4" i="72"/>
  <c r="X20" i="72" s="1"/>
  <c r="X16" i="72"/>
  <c r="W4" i="72"/>
  <c r="W20" i="72"/>
  <c r="V4" i="72"/>
  <c r="V24" i="72" s="1"/>
  <c r="U4" i="72"/>
  <c r="U24" i="72" s="1"/>
  <c r="T4" i="72"/>
  <c r="T8" i="72" s="1"/>
  <c r="T24" i="72"/>
  <c r="Q4" i="72"/>
  <c r="Q8" i="72"/>
  <c r="P4" i="72"/>
  <c r="O4" i="72"/>
  <c r="O20" i="72" s="1"/>
  <c r="O16" i="72"/>
  <c r="N4" i="72"/>
  <c r="N18" i="72"/>
  <c r="M4" i="72"/>
  <c r="M28" i="72" s="1"/>
  <c r="L4" i="72"/>
  <c r="L10" i="72" s="1"/>
  <c r="L22" i="72"/>
  <c r="I4" i="72"/>
  <c r="I10" i="72" s="1"/>
  <c r="I26" i="72"/>
  <c r="H4" i="72"/>
  <c r="H30" i="72" s="1"/>
  <c r="H28" i="72"/>
  <c r="G4" i="72"/>
  <c r="G12" i="72" s="1"/>
  <c r="F4" i="72"/>
  <c r="E4" i="72"/>
  <c r="E20" i="72" s="1"/>
  <c r="D4" i="72"/>
  <c r="D24" i="72" s="1"/>
  <c r="AX29" i="71"/>
  <c r="AP29" i="71"/>
  <c r="AH29" i="71"/>
  <c r="Z29" i="71"/>
  <c r="R29" i="71"/>
  <c r="G28" i="71"/>
  <c r="AX27" i="71"/>
  <c r="AP27" i="71"/>
  <c r="AH27" i="71"/>
  <c r="Z27" i="71"/>
  <c r="R27" i="71"/>
  <c r="J27" i="71"/>
  <c r="AS26" i="71"/>
  <c r="H26" i="71"/>
  <c r="AX25" i="71"/>
  <c r="AP25" i="71"/>
  <c r="AH25" i="71"/>
  <c r="Z25" i="71"/>
  <c r="R25" i="71"/>
  <c r="BB25" i="71" s="1"/>
  <c r="J25" i="71"/>
  <c r="AX23" i="71"/>
  <c r="AP23" i="71"/>
  <c r="AH23" i="71"/>
  <c r="Z23" i="71"/>
  <c r="R23" i="71"/>
  <c r="J23" i="71"/>
  <c r="AU22" i="71"/>
  <c r="AN22" i="71"/>
  <c r="AE22" i="71"/>
  <c r="AX21" i="71"/>
  <c r="AP21" i="71"/>
  <c r="AH21" i="71"/>
  <c r="Z21" i="71"/>
  <c r="R21" i="71"/>
  <c r="J21" i="71"/>
  <c r="AF20" i="71"/>
  <c r="AD20" i="71"/>
  <c r="W20" i="71"/>
  <c r="L20" i="71"/>
  <c r="AX19" i="71"/>
  <c r="AP19" i="71"/>
  <c r="AH19" i="71"/>
  <c r="Z19" i="71"/>
  <c r="R19" i="71"/>
  <c r="J19" i="71"/>
  <c r="W18" i="71"/>
  <c r="M18" i="71"/>
  <c r="AX17" i="71"/>
  <c r="AP17" i="71"/>
  <c r="AH17" i="71"/>
  <c r="Z17" i="71"/>
  <c r="R17" i="71"/>
  <c r="J17" i="71"/>
  <c r="AX15" i="71"/>
  <c r="AP15" i="71"/>
  <c r="AH15" i="71"/>
  <c r="Z15" i="71"/>
  <c r="R15" i="71"/>
  <c r="J15" i="71"/>
  <c r="AJ14" i="71"/>
  <c r="H14" i="71"/>
  <c r="AX13" i="71"/>
  <c r="AP13" i="71"/>
  <c r="AH13" i="71"/>
  <c r="Z13" i="71"/>
  <c r="R13" i="71"/>
  <c r="J13" i="71"/>
  <c r="H12" i="71"/>
  <c r="G12" i="71"/>
  <c r="AX11" i="71"/>
  <c r="AP11" i="71"/>
  <c r="AH11" i="71"/>
  <c r="Z11" i="71"/>
  <c r="R11" i="71"/>
  <c r="J11" i="71"/>
  <c r="AU10" i="71"/>
  <c r="Q10" i="71"/>
  <c r="H10" i="71"/>
  <c r="AX9" i="71"/>
  <c r="AP9" i="71"/>
  <c r="AH9" i="71"/>
  <c r="Z9" i="71"/>
  <c r="R9" i="71"/>
  <c r="J9" i="71"/>
  <c r="AM8" i="71"/>
  <c r="AD8" i="71"/>
  <c r="L8" i="71"/>
  <c r="AX7" i="71"/>
  <c r="AP7" i="71"/>
  <c r="AH7" i="71"/>
  <c r="Z7" i="71"/>
  <c r="R7" i="71"/>
  <c r="J7" i="71"/>
  <c r="AW4" i="71"/>
  <c r="AW18" i="71" s="1"/>
  <c r="AV4" i="71"/>
  <c r="AU4" i="71"/>
  <c r="AU26" i="71" s="1"/>
  <c r="AU24" i="71"/>
  <c r="AT4" i="71"/>
  <c r="AT10" i="71" s="1"/>
  <c r="AS4" i="71"/>
  <c r="AS10" i="71" s="1"/>
  <c r="AR4" i="71"/>
  <c r="AR16" i="71" s="1"/>
  <c r="AO4" i="71"/>
  <c r="AO16" i="71" s="1"/>
  <c r="AN4" i="71"/>
  <c r="AN26" i="71" s="1"/>
  <c r="AN20" i="71"/>
  <c r="AM4" i="71"/>
  <c r="AM22" i="71" s="1"/>
  <c r="AP22" i="71" s="1"/>
  <c r="AQ21" i="71" s="1"/>
  <c r="AL4" i="71"/>
  <c r="AL24" i="71" s="1"/>
  <c r="AK4" i="71"/>
  <c r="AK12" i="71"/>
  <c r="AJ4" i="71"/>
  <c r="AJ10" i="71" s="1"/>
  <c r="AJ30" i="71"/>
  <c r="AG4" i="71"/>
  <c r="AG14" i="71" s="1"/>
  <c r="AF4" i="71"/>
  <c r="AF16" i="71" s="1"/>
  <c r="AF18" i="71"/>
  <c r="AE4" i="71"/>
  <c r="AE18" i="71" s="1"/>
  <c r="AE20" i="71"/>
  <c r="AD4" i="71"/>
  <c r="AD24" i="71" s="1"/>
  <c r="AD22" i="71"/>
  <c r="AC4" i="71"/>
  <c r="AC26" i="71" s="1"/>
  <c r="AB4" i="71"/>
  <c r="Y4" i="71"/>
  <c r="Y16" i="71" s="1"/>
  <c r="X4" i="71"/>
  <c r="X14" i="71" s="1"/>
  <c r="W4" i="71"/>
  <c r="W16" i="71" s="1"/>
  <c r="W30" i="71"/>
  <c r="V4" i="71"/>
  <c r="V18" i="71" s="1"/>
  <c r="U4" i="71"/>
  <c r="U20" i="71" s="1"/>
  <c r="U22" i="71"/>
  <c r="T4" i="71"/>
  <c r="T26" i="71" s="1"/>
  <c r="Z26" i="71" s="1"/>
  <c r="AA25" i="71" s="1"/>
  <c r="T24" i="71"/>
  <c r="Q4" i="71"/>
  <c r="Q26" i="71" s="1"/>
  <c r="Q28" i="71"/>
  <c r="P4" i="71"/>
  <c r="P26" i="71" s="1"/>
  <c r="O4" i="71"/>
  <c r="O14" i="71" s="1"/>
  <c r="N4" i="71"/>
  <c r="M4" i="71"/>
  <c r="M22" i="71" s="1"/>
  <c r="M20" i="71"/>
  <c r="L4" i="71"/>
  <c r="L24" i="71" s="1"/>
  <c r="L22" i="71"/>
  <c r="I4" i="71"/>
  <c r="I24" i="71" s="1"/>
  <c r="H4" i="71"/>
  <c r="H30" i="71" s="1"/>
  <c r="H28" i="71"/>
  <c r="G4" i="71"/>
  <c r="G14" i="71" s="1"/>
  <c r="G30" i="71"/>
  <c r="F4" i="71"/>
  <c r="E4" i="71"/>
  <c r="E10" i="71" s="1"/>
  <c r="E16" i="71"/>
  <c r="D4" i="71"/>
  <c r="D28" i="71" s="1"/>
  <c r="AG16" i="72"/>
  <c r="AG30" i="72"/>
  <c r="AG14" i="72"/>
  <c r="AG12" i="72"/>
  <c r="AG28" i="72"/>
  <c r="AG26" i="72"/>
  <c r="AG10" i="72"/>
  <c r="AG24" i="72"/>
  <c r="AG8" i="72"/>
  <c r="AG22" i="72"/>
  <c r="AL24" i="72"/>
  <c r="AL8" i="72"/>
  <c r="AL20" i="72"/>
  <c r="AL22" i="72"/>
  <c r="AL18" i="72"/>
  <c r="AL16" i="72"/>
  <c r="AL30" i="72"/>
  <c r="AL14" i="72"/>
  <c r="AL28" i="72"/>
  <c r="AV10" i="72"/>
  <c r="AB14" i="72"/>
  <c r="G16" i="72"/>
  <c r="AG18" i="72"/>
  <c r="AM24" i="72"/>
  <c r="W18" i="72"/>
  <c r="W16" i="72"/>
  <c r="W14" i="72"/>
  <c r="W30" i="72"/>
  <c r="W28" i="72"/>
  <c r="W12" i="72"/>
  <c r="W26" i="72"/>
  <c r="W10" i="72"/>
  <c r="W24" i="72"/>
  <c r="W8" i="72"/>
  <c r="P30" i="72"/>
  <c r="P14" i="72"/>
  <c r="P28" i="72"/>
  <c r="P12" i="72"/>
  <c r="P26" i="72"/>
  <c r="P24" i="72"/>
  <c r="P8" i="72"/>
  <c r="P22" i="72"/>
  <c r="P20" i="72"/>
  <c r="Q28" i="72"/>
  <c r="Q12" i="72"/>
  <c r="Q26" i="72"/>
  <c r="Q10" i="72"/>
  <c r="Q24" i="72"/>
  <c r="Q22" i="72"/>
  <c r="Q20" i="72"/>
  <c r="Q18" i="72"/>
  <c r="AC24" i="72"/>
  <c r="AC8" i="72"/>
  <c r="AC22" i="72"/>
  <c r="AC20" i="72"/>
  <c r="AC18" i="72"/>
  <c r="AC16" i="72"/>
  <c r="AC30" i="72"/>
  <c r="AC14" i="72"/>
  <c r="AC28" i="72"/>
  <c r="AW20" i="72"/>
  <c r="AW18" i="72"/>
  <c r="AW16" i="72"/>
  <c r="AW30" i="72"/>
  <c r="AW14" i="72"/>
  <c r="AX14" i="72" s="1"/>
  <c r="AY13" i="72" s="1"/>
  <c r="AW28" i="72"/>
  <c r="AW12" i="72"/>
  <c r="AW26" i="72"/>
  <c r="AW10" i="72"/>
  <c r="AC12" i="72"/>
  <c r="P16" i="72"/>
  <c r="M12" i="72"/>
  <c r="F16" i="72"/>
  <c r="F30" i="72"/>
  <c r="F14" i="72"/>
  <c r="F12" i="72"/>
  <c r="F28" i="72"/>
  <c r="F26" i="72"/>
  <c r="F10" i="72"/>
  <c r="F24" i="72"/>
  <c r="F8" i="72"/>
  <c r="F22" i="72"/>
  <c r="AV20" i="72"/>
  <c r="AV18" i="72"/>
  <c r="AV16" i="72"/>
  <c r="AV30" i="72"/>
  <c r="AV14" i="72"/>
  <c r="AV28" i="72"/>
  <c r="AV12" i="72"/>
  <c r="G26" i="72"/>
  <c r="AM22" i="72"/>
  <c r="AM18" i="72"/>
  <c r="AM20" i="72"/>
  <c r="AM16" i="72"/>
  <c r="AM30" i="72"/>
  <c r="AM14" i="72"/>
  <c r="AM28" i="72"/>
  <c r="AM12" i="72"/>
  <c r="Q16" i="72"/>
  <c r="P18" i="72"/>
  <c r="AV24" i="72"/>
  <c r="AC26" i="72"/>
  <c r="AS30" i="72"/>
  <c r="AL10" i="72"/>
  <c r="AL12" i="72"/>
  <c r="AG20" i="72"/>
  <c r="AS28" i="72"/>
  <c r="AS12" i="72"/>
  <c r="AS26" i="72"/>
  <c r="AS10" i="72"/>
  <c r="AS24" i="72"/>
  <c r="AS20" i="72"/>
  <c r="AS18" i="72"/>
  <c r="AV8" i="72"/>
  <c r="P10" i="72"/>
  <c r="AM10" i="72"/>
  <c r="Q14" i="72"/>
  <c r="AS14" i="72"/>
  <c r="F20" i="72"/>
  <c r="AL26" i="72"/>
  <c r="Q30" i="72"/>
  <c r="AW8" i="72"/>
  <c r="AS16" i="72"/>
  <c r="W22" i="72"/>
  <c r="AM26" i="72"/>
  <c r="AB26" i="72"/>
  <c r="AB10" i="72"/>
  <c r="AB24" i="72"/>
  <c r="AB8" i="72"/>
  <c r="AB22" i="72"/>
  <c r="AB20" i="72"/>
  <c r="AB18" i="72"/>
  <c r="AB16" i="72"/>
  <c r="AB30" i="72"/>
  <c r="F18" i="72"/>
  <c r="AB28" i="72"/>
  <c r="E8" i="72"/>
  <c r="N8" i="72"/>
  <c r="AF8" i="72"/>
  <c r="AO8" i="72"/>
  <c r="D10" i="72"/>
  <c r="V10" i="72"/>
  <c r="AE10" i="72"/>
  <c r="AN10" i="72"/>
  <c r="L12" i="72"/>
  <c r="U12" i="72"/>
  <c r="AD12" i="72"/>
  <c r="T14" i="72"/>
  <c r="AU14" i="72"/>
  <c r="I16" i="72"/>
  <c r="AK16" i="72"/>
  <c r="AT16" i="72"/>
  <c r="H18" i="72"/>
  <c r="Y20" i="72"/>
  <c r="AR20" i="72"/>
  <c r="O22" i="72"/>
  <c r="X22" i="72"/>
  <c r="E24" i="72"/>
  <c r="N24" i="72"/>
  <c r="AF24" i="72"/>
  <c r="AO24" i="72"/>
  <c r="D26" i="72"/>
  <c r="V26" i="72"/>
  <c r="AE26" i="72"/>
  <c r="AN26" i="72"/>
  <c r="L28" i="72"/>
  <c r="U28" i="72"/>
  <c r="AD28" i="72"/>
  <c r="T30" i="72"/>
  <c r="AU30" i="72"/>
  <c r="O8" i="72"/>
  <c r="X8" i="72"/>
  <c r="E10" i="72"/>
  <c r="N10" i="72"/>
  <c r="AF10" i="72"/>
  <c r="AO10" i="72"/>
  <c r="D12" i="72"/>
  <c r="V12" i="72"/>
  <c r="AE12" i="72"/>
  <c r="AN12" i="72"/>
  <c r="L14" i="72"/>
  <c r="U14" i="72"/>
  <c r="AD14" i="72"/>
  <c r="T16" i="72"/>
  <c r="AU16" i="72"/>
  <c r="I18" i="72"/>
  <c r="AK18" i="72"/>
  <c r="AT18" i="72"/>
  <c r="H20" i="72"/>
  <c r="Y22" i="72"/>
  <c r="O24" i="72"/>
  <c r="X24" i="72"/>
  <c r="E26" i="72"/>
  <c r="N26" i="72"/>
  <c r="AF26" i="72"/>
  <c r="AO26" i="72"/>
  <c r="D28" i="72"/>
  <c r="V28" i="72"/>
  <c r="AE28" i="72"/>
  <c r="AN28" i="72"/>
  <c r="L30" i="72"/>
  <c r="U30" i="72"/>
  <c r="AD30" i="72"/>
  <c r="Y8" i="72"/>
  <c r="AR8" i="72"/>
  <c r="O10" i="72"/>
  <c r="X10" i="72"/>
  <c r="E12" i="72"/>
  <c r="N12" i="72"/>
  <c r="AF12" i="72"/>
  <c r="AO12" i="72"/>
  <c r="D14" i="72"/>
  <c r="V14" i="72"/>
  <c r="AE14" i="72"/>
  <c r="AN14" i="72"/>
  <c r="L16" i="72"/>
  <c r="U16" i="72"/>
  <c r="AD16" i="72"/>
  <c r="T18" i="72"/>
  <c r="AU18" i="72"/>
  <c r="I20" i="72"/>
  <c r="AK20" i="72"/>
  <c r="AT20" i="72"/>
  <c r="H22" i="72"/>
  <c r="Y24" i="72"/>
  <c r="AR24" i="72"/>
  <c r="O26" i="72"/>
  <c r="X26" i="72"/>
  <c r="E28" i="72"/>
  <c r="N28" i="72"/>
  <c r="AF28" i="72"/>
  <c r="AO28" i="72"/>
  <c r="D30" i="72"/>
  <c r="V30" i="72"/>
  <c r="AE30" i="72"/>
  <c r="AN30" i="72"/>
  <c r="X28" i="72"/>
  <c r="E30" i="72"/>
  <c r="N30" i="72"/>
  <c r="AT8" i="72"/>
  <c r="Y12" i="72"/>
  <c r="O14" i="72"/>
  <c r="X14" i="72"/>
  <c r="E16" i="72"/>
  <c r="N16" i="72"/>
  <c r="D18" i="72"/>
  <c r="V18" i="72"/>
  <c r="AE18" i="72"/>
  <c r="AN18" i="72"/>
  <c r="L20" i="72"/>
  <c r="U20" i="72"/>
  <c r="AD20" i="72"/>
  <c r="T22" i="72"/>
  <c r="I24" i="72"/>
  <c r="AK24" i="72"/>
  <c r="AT24" i="72"/>
  <c r="H26" i="72"/>
  <c r="Y28" i="72"/>
  <c r="AR28" i="72"/>
  <c r="O30" i="72"/>
  <c r="X30" i="72"/>
  <c r="AK10" i="72"/>
  <c r="AT10" i="72"/>
  <c r="H12" i="72"/>
  <c r="Y14" i="72"/>
  <c r="AR14" i="72"/>
  <c r="P10" i="71"/>
  <c r="AB26" i="71"/>
  <c r="AB10" i="71"/>
  <c r="AB22" i="71"/>
  <c r="AB20" i="71"/>
  <c r="AB18" i="71"/>
  <c r="AB16" i="71"/>
  <c r="AB30" i="71"/>
  <c r="AB14" i="71"/>
  <c r="AL8" i="71"/>
  <c r="AL20" i="71"/>
  <c r="AL18" i="71"/>
  <c r="AL16" i="71"/>
  <c r="AL30" i="71"/>
  <c r="AL14" i="71"/>
  <c r="AL28" i="71"/>
  <c r="AL12" i="71"/>
  <c r="AV22" i="71"/>
  <c r="AV18" i="71"/>
  <c r="AV16" i="71"/>
  <c r="AV30" i="71"/>
  <c r="AV14" i="71"/>
  <c r="AV28" i="71"/>
  <c r="AV12" i="71"/>
  <c r="AV26" i="71"/>
  <c r="AV10" i="71"/>
  <c r="AB8" i="71"/>
  <c r="AB24" i="71"/>
  <c r="AB28" i="71"/>
  <c r="F16" i="71"/>
  <c r="F30" i="71"/>
  <c r="F28" i="71"/>
  <c r="F12" i="71"/>
  <c r="F26" i="71"/>
  <c r="F10" i="71"/>
  <c r="F24" i="71"/>
  <c r="F8" i="71"/>
  <c r="F22" i="71"/>
  <c r="F20" i="71"/>
  <c r="AK8" i="71"/>
  <c r="AL26" i="71"/>
  <c r="F14" i="71"/>
  <c r="O18" i="71"/>
  <c r="E20" i="71"/>
  <c r="AL10" i="71"/>
  <c r="AV20" i="71"/>
  <c r="AV24" i="71"/>
  <c r="Y12" i="71"/>
  <c r="AK28" i="71"/>
  <c r="AB12" i="71"/>
  <c r="F18" i="71"/>
  <c r="AK24" i="71"/>
  <c r="D20" i="71"/>
  <c r="D16" i="71"/>
  <c r="D30" i="71"/>
  <c r="D14" i="71"/>
  <c r="D12" i="71"/>
  <c r="D26" i="71"/>
  <c r="D10" i="71"/>
  <c r="D24" i="71"/>
  <c r="D8" i="71"/>
  <c r="N18" i="71"/>
  <c r="N30" i="71"/>
  <c r="N14" i="71"/>
  <c r="N28" i="71"/>
  <c r="N12" i="71"/>
  <c r="N26" i="71"/>
  <c r="N10" i="71"/>
  <c r="N24" i="71"/>
  <c r="N8" i="71"/>
  <c r="N22" i="71"/>
  <c r="X16" i="71"/>
  <c r="X30" i="71"/>
  <c r="X28" i="71"/>
  <c r="X12" i="71"/>
  <c r="X26" i="71"/>
  <c r="X10" i="71"/>
  <c r="X24" i="71"/>
  <c r="X8" i="71"/>
  <c r="X22" i="71"/>
  <c r="X20" i="71"/>
  <c r="AJ28" i="71"/>
  <c r="AJ12" i="71"/>
  <c r="AJ26" i="71"/>
  <c r="AJ24" i="71"/>
  <c r="AJ8" i="71"/>
  <c r="AJ22" i="71"/>
  <c r="AJ20" i="71"/>
  <c r="AJ18" i="71"/>
  <c r="AJ16" i="71"/>
  <c r="AT26" i="71"/>
  <c r="AV8" i="71"/>
  <c r="P12" i="71"/>
  <c r="N16" i="71"/>
  <c r="N20" i="71"/>
  <c r="E12" i="71"/>
  <c r="E26" i="71"/>
  <c r="O16" i="71"/>
  <c r="O30" i="71"/>
  <c r="O28" i="71"/>
  <c r="O12" i="71"/>
  <c r="O26" i="71"/>
  <c r="O10" i="71"/>
  <c r="O24" i="71"/>
  <c r="O8" i="71"/>
  <c r="O22" i="71"/>
  <c r="O20" i="71"/>
  <c r="Y30" i="71"/>
  <c r="Y14" i="71"/>
  <c r="Y28" i="71"/>
  <c r="Y26" i="71"/>
  <c r="Y10" i="71"/>
  <c r="Y24" i="71"/>
  <c r="Y8" i="71"/>
  <c r="Y22" i="71"/>
  <c r="Y20" i="71"/>
  <c r="Y18" i="71"/>
  <c r="AK26" i="71"/>
  <c r="AK10" i="71"/>
  <c r="AK22" i="71"/>
  <c r="AK20" i="71"/>
  <c r="AK18" i="71"/>
  <c r="AK16" i="71"/>
  <c r="AK30" i="71"/>
  <c r="AK14" i="71"/>
  <c r="AL22" i="71"/>
  <c r="M8" i="71"/>
  <c r="AE8" i="71"/>
  <c r="AW8" i="71"/>
  <c r="L10" i="71"/>
  <c r="U10" i="71"/>
  <c r="AD10" i="71"/>
  <c r="AM10" i="71"/>
  <c r="T12" i="71"/>
  <c r="AU12" i="71"/>
  <c r="H16" i="71"/>
  <c r="Q16" i="71"/>
  <c r="AS16" i="71"/>
  <c r="G18" i="71"/>
  <c r="AR18" i="71"/>
  <c r="W22" i="71"/>
  <c r="AF22" i="71"/>
  <c r="AO22" i="71"/>
  <c r="M24" i="71"/>
  <c r="AE24" i="71"/>
  <c r="AW24" i="71"/>
  <c r="L26" i="71"/>
  <c r="U26" i="71"/>
  <c r="AD26" i="71"/>
  <c r="AM26" i="71"/>
  <c r="T28" i="71"/>
  <c r="AU28" i="71"/>
  <c r="W8" i="71"/>
  <c r="AF8" i="71"/>
  <c r="AO8" i="71"/>
  <c r="M10" i="71"/>
  <c r="AE10" i="71"/>
  <c r="AW10" i="71"/>
  <c r="L12" i="71"/>
  <c r="U12" i="71"/>
  <c r="AD12" i="71"/>
  <c r="AM12" i="71"/>
  <c r="T14" i="71"/>
  <c r="AU14" i="71"/>
  <c r="H18" i="71"/>
  <c r="Q18" i="71"/>
  <c r="AS18" i="71"/>
  <c r="G20" i="71"/>
  <c r="AR20" i="71"/>
  <c r="W24" i="71"/>
  <c r="AF24" i="71"/>
  <c r="AO24" i="71"/>
  <c r="M26" i="71"/>
  <c r="V26" i="71"/>
  <c r="AE26" i="71"/>
  <c r="AW26" i="71"/>
  <c r="L28" i="71"/>
  <c r="U28" i="71"/>
  <c r="AD28" i="71"/>
  <c r="AM28" i="71"/>
  <c r="T30" i="71"/>
  <c r="AU30" i="71"/>
  <c r="W10" i="71"/>
  <c r="AF10" i="71"/>
  <c r="AO10" i="71"/>
  <c r="M12" i="71"/>
  <c r="V12" i="71"/>
  <c r="AE12" i="71"/>
  <c r="AW12" i="71"/>
  <c r="L14" i="71"/>
  <c r="U14" i="71"/>
  <c r="AD14" i="71"/>
  <c r="AM14" i="71"/>
  <c r="T16" i="71"/>
  <c r="AU16" i="71"/>
  <c r="H20" i="71"/>
  <c r="Q20" i="71"/>
  <c r="AS20" i="71"/>
  <c r="G22" i="71"/>
  <c r="AR22" i="71"/>
  <c r="W26" i="71"/>
  <c r="AF26" i="71"/>
  <c r="AO26" i="71"/>
  <c r="M28" i="71"/>
  <c r="AE28" i="71"/>
  <c r="AN28" i="71"/>
  <c r="AW28" i="71"/>
  <c r="L30" i="71"/>
  <c r="U30" i="71"/>
  <c r="AD30" i="71"/>
  <c r="AM30" i="71"/>
  <c r="G8" i="71"/>
  <c r="AR8" i="71"/>
  <c r="AG10" i="71"/>
  <c r="W12" i="71"/>
  <c r="AF12" i="71"/>
  <c r="AO12" i="71"/>
  <c r="M14" i="71"/>
  <c r="AE14" i="71"/>
  <c r="AN14" i="71"/>
  <c r="AW14" i="71"/>
  <c r="L16" i="71"/>
  <c r="U16" i="71"/>
  <c r="AD16" i="71"/>
  <c r="AM16" i="71"/>
  <c r="T18" i="71"/>
  <c r="AU18" i="71"/>
  <c r="I20" i="71"/>
  <c r="H22" i="71"/>
  <c r="Q22" i="71"/>
  <c r="AS22" i="71"/>
  <c r="G24" i="71"/>
  <c r="AR24" i="71"/>
  <c r="W28" i="71"/>
  <c r="AF28" i="71"/>
  <c r="AO28" i="71"/>
  <c r="M30" i="71"/>
  <c r="AE30" i="71"/>
  <c r="AW30" i="71"/>
  <c r="H8" i="71"/>
  <c r="Q8" i="71"/>
  <c r="AS8" i="71"/>
  <c r="G10" i="71"/>
  <c r="AR10" i="71"/>
  <c r="W14" i="71"/>
  <c r="AF14" i="71"/>
  <c r="AO14" i="71"/>
  <c r="M16" i="71"/>
  <c r="AE16" i="71"/>
  <c r="AW16" i="71"/>
  <c r="L18" i="71"/>
  <c r="U18" i="71"/>
  <c r="AD18" i="71"/>
  <c r="AM18" i="71"/>
  <c r="T20" i="71"/>
  <c r="AU20" i="71"/>
  <c r="H24" i="71"/>
  <c r="Q24" i="71"/>
  <c r="AS24" i="71"/>
  <c r="G26" i="71"/>
  <c r="AR26" i="71"/>
  <c r="AF30" i="71"/>
  <c r="AO30" i="71"/>
  <c r="AU8" i="71"/>
  <c r="AP37" i="64"/>
  <c r="AP34" i="64"/>
  <c r="AP31" i="64"/>
  <c r="AP28" i="64"/>
  <c r="AP25" i="64"/>
  <c r="AP22" i="64"/>
  <c r="AP19" i="64"/>
  <c r="AP16" i="64"/>
  <c r="AP13" i="64"/>
  <c r="AP10" i="64"/>
  <c r="C1" i="68"/>
  <c r="C1" i="69"/>
  <c r="AH23" i="64"/>
  <c r="Y39" i="64"/>
  <c r="Y38" i="64"/>
  <c r="Y37" i="64"/>
  <c r="Y36" i="64"/>
  <c r="Y35" i="64"/>
  <c r="Y34" i="64"/>
  <c r="Y33" i="64"/>
  <c r="Y32" i="64"/>
  <c r="Y31" i="64"/>
  <c r="Y30" i="64"/>
  <c r="Y29" i="64"/>
  <c r="Y28" i="64"/>
  <c r="S21" i="74" s="1"/>
  <c r="Y27" i="64"/>
  <c r="Y26" i="64"/>
  <c r="Y25" i="64"/>
  <c r="Y24" i="64"/>
  <c r="Y23" i="64"/>
  <c r="Y22" i="64"/>
  <c r="Y21" i="64"/>
  <c r="Y20" i="64"/>
  <c r="Y19" i="64"/>
  <c r="Y18" i="64"/>
  <c r="Y17" i="64"/>
  <c r="Y16" i="64"/>
  <c r="S17" i="74" s="1"/>
  <c r="Y15" i="64"/>
  <c r="Y14" i="64"/>
  <c r="Y13" i="64"/>
  <c r="Y12" i="64"/>
  <c r="Y11" i="64"/>
  <c r="Y10" i="64"/>
  <c r="W10" i="64"/>
  <c r="T66" i="69"/>
  <c r="BE10" i="64"/>
  <c r="C2" i="69"/>
  <c r="BE37" i="64"/>
  <c r="BE34" i="64"/>
  <c r="BE31" i="64"/>
  <c r="BE28" i="64"/>
  <c r="BE25" i="64"/>
  <c r="BE22" i="64"/>
  <c r="BE19" i="64"/>
  <c r="BE16" i="64"/>
  <c r="BE13" i="64"/>
  <c r="BE7" i="64"/>
  <c r="N9" i="68"/>
  <c r="N54" i="68"/>
  <c r="AK54" i="68"/>
  <c r="AJ54" i="68"/>
  <c r="AI54" i="68"/>
  <c r="AH54" i="68"/>
  <c r="AG54" i="68"/>
  <c r="AF54" i="68"/>
  <c r="AE54" i="68"/>
  <c r="AD54" i="68"/>
  <c r="AC54" i="68"/>
  <c r="AB54" i="68"/>
  <c r="AA54" i="68"/>
  <c r="Z54" i="68"/>
  <c r="Y54" i="68"/>
  <c r="X54" i="68"/>
  <c r="W54" i="68"/>
  <c r="V54" i="68"/>
  <c r="U54" i="68"/>
  <c r="T54" i="68"/>
  <c r="S54" i="68"/>
  <c r="R54" i="68"/>
  <c r="Q54" i="68"/>
  <c r="P54" i="68"/>
  <c r="O54" i="68"/>
  <c r="AK53" i="68"/>
  <c r="AJ53" i="68"/>
  <c r="AI53" i="68"/>
  <c r="AH53" i="68"/>
  <c r="AG53" i="68"/>
  <c r="AF53" i="68"/>
  <c r="AE53" i="68"/>
  <c r="AD53" i="68"/>
  <c r="AC53" i="68"/>
  <c r="AB53" i="68"/>
  <c r="AA53" i="68"/>
  <c r="Z53" i="68"/>
  <c r="Y53" i="68"/>
  <c r="X53" i="68"/>
  <c r="W53" i="68"/>
  <c r="V53" i="68"/>
  <c r="U53" i="68"/>
  <c r="T53" i="68"/>
  <c r="S53" i="68"/>
  <c r="R53" i="68"/>
  <c r="Q53" i="68"/>
  <c r="P53" i="68"/>
  <c r="O53" i="68"/>
  <c r="N53" i="68"/>
  <c r="AK52" i="68"/>
  <c r="AJ52" i="68"/>
  <c r="AI52" i="68"/>
  <c r="AH52" i="68"/>
  <c r="AG52" i="68"/>
  <c r="AF52" i="68"/>
  <c r="AE52" i="68"/>
  <c r="AD52" i="68"/>
  <c r="AC52" i="68"/>
  <c r="AB52" i="68"/>
  <c r="AA52" i="68"/>
  <c r="Z52" i="68"/>
  <c r="Y52" i="68"/>
  <c r="X52" i="68"/>
  <c r="W52" i="68"/>
  <c r="V52" i="68"/>
  <c r="U52" i="68"/>
  <c r="T52" i="68"/>
  <c r="S52" i="68"/>
  <c r="R52" i="68"/>
  <c r="Q52" i="68"/>
  <c r="P52" i="68"/>
  <c r="O52" i="68"/>
  <c r="N52" i="68"/>
  <c r="AK51" i="68"/>
  <c r="AJ51" i="68"/>
  <c r="AI51" i="68"/>
  <c r="AH51" i="68"/>
  <c r="AG51" i="68"/>
  <c r="AF51" i="68"/>
  <c r="AE51" i="68"/>
  <c r="AD51" i="68"/>
  <c r="AC51" i="68"/>
  <c r="AB51" i="68"/>
  <c r="AA51" i="68"/>
  <c r="Z51" i="68"/>
  <c r="Y51" i="68"/>
  <c r="X51" i="68"/>
  <c r="W51" i="68"/>
  <c r="V51" i="68"/>
  <c r="U51" i="68"/>
  <c r="T51" i="68"/>
  <c r="S51" i="68"/>
  <c r="R51" i="68"/>
  <c r="Q51" i="68"/>
  <c r="P51" i="68"/>
  <c r="O51" i="68"/>
  <c r="N51" i="68"/>
  <c r="AK50" i="68"/>
  <c r="AJ50" i="68"/>
  <c r="AI50" i="68"/>
  <c r="AH50" i="68"/>
  <c r="AG50" i="68"/>
  <c r="AF50" i="68"/>
  <c r="BI34" i="64" s="1"/>
  <c r="AE50" i="68"/>
  <c r="AD50" i="68"/>
  <c r="AC50" i="68"/>
  <c r="AB50" i="68"/>
  <c r="AA50" i="68"/>
  <c r="Z50" i="68"/>
  <c r="BI25" i="64" s="1"/>
  <c r="Y50" i="68"/>
  <c r="X50" i="68"/>
  <c r="BI22" i="64" s="1"/>
  <c r="W50" i="68"/>
  <c r="V50" i="68"/>
  <c r="U50" i="68"/>
  <c r="T50" i="68"/>
  <c r="S50" i="68"/>
  <c r="R50" i="68"/>
  <c r="BI13" i="64" s="1"/>
  <c r="Q50" i="68"/>
  <c r="P50" i="68"/>
  <c r="P55" i="68" s="1"/>
  <c r="P57" i="68" s="1"/>
  <c r="O50" i="68"/>
  <c r="N50" i="68"/>
  <c r="N55" i="68" s="1"/>
  <c r="N57" i="68" s="1"/>
  <c r="AK37" i="68"/>
  <c r="AJ37" i="68"/>
  <c r="AI37" i="68"/>
  <c r="AH37" i="68"/>
  <c r="AG37" i="68"/>
  <c r="AF37" i="68"/>
  <c r="AE37" i="68"/>
  <c r="AD37" i="68"/>
  <c r="AC37" i="68"/>
  <c r="AB37" i="68"/>
  <c r="AA37" i="68"/>
  <c r="Z37" i="68"/>
  <c r="Y37" i="68"/>
  <c r="X37" i="68"/>
  <c r="W37" i="68"/>
  <c r="V37" i="68"/>
  <c r="U37" i="68"/>
  <c r="T37" i="68"/>
  <c r="S37" i="68"/>
  <c r="R37" i="68"/>
  <c r="Q37" i="68"/>
  <c r="P37" i="68"/>
  <c r="O37" i="68"/>
  <c r="N37" i="68"/>
  <c r="AK36" i="68"/>
  <c r="AJ36" i="68"/>
  <c r="AI36" i="68"/>
  <c r="AH36" i="68"/>
  <c r="AG36" i="68"/>
  <c r="AF36" i="68"/>
  <c r="AE36" i="68"/>
  <c r="AD36" i="68"/>
  <c r="AC36" i="68"/>
  <c r="AB36" i="68"/>
  <c r="AA36" i="68"/>
  <c r="Z36" i="68"/>
  <c r="Y36" i="68"/>
  <c r="X36" i="68"/>
  <c r="W36" i="68"/>
  <c r="V36" i="68"/>
  <c r="U36" i="68"/>
  <c r="T36" i="68"/>
  <c r="S36" i="68"/>
  <c r="R36" i="68"/>
  <c r="Q36" i="68"/>
  <c r="P36" i="68"/>
  <c r="O36" i="68"/>
  <c r="N36" i="68"/>
  <c r="AK35" i="68"/>
  <c r="AJ35" i="68"/>
  <c r="AI35" i="68"/>
  <c r="AH35" i="68"/>
  <c r="AG35" i="68"/>
  <c r="AF35" i="68"/>
  <c r="AE35" i="68"/>
  <c r="AD35" i="68"/>
  <c r="AC35" i="68"/>
  <c r="AB35" i="68"/>
  <c r="AA35" i="68"/>
  <c r="Z35" i="68"/>
  <c r="Y35" i="68"/>
  <c r="X35" i="68"/>
  <c r="W35" i="68"/>
  <c r="V35" i="68"/>
  <c r="U35" i="68"/>
  <c r="T35" i="68"/>
  <c r="S35" i="68"/>
  <c r="R35" i="68"/>
  <c r="Q35" i="68"/>
  <c r="P35" i="68"/>
  <c r="O35" i="68"/>
  <c r="N35" i="68"/>
  <c r="AK34" i="68"/>
  <c r="AJ34" i="68"/>
  <c r="AI34" i="68"/>
  <c r="AH34" i="68"/>
  <c r="AG34" i="68"/>
  <c r="AF34" i="68"/>
  <c r="AE34" i="68"/>
  <c r="AD34" i="68"/>
  <c r="AC34" i="68"/>
  <c r="AB34" i="68"/>
  <c r="AA34" i="68"/>
  <c r="Z34" i="68"/>
  <c r="Y34" i="68"/>
  <c r="X34" i="68"/>
  <c r="W34" i="68"/>
  <c r="V34" i="68"/>
  <c r="U34" i="68"/>
  <c r="T34" i="68"/>
  <c r="S34" i="68"/>
  <c r="R34" i="68"/>
  <c r="Q34" i="68"/>
  <c r="P34" i="68"/>
  <c r="O34" i="68"/>
  <c r="N34" i="68"/>
  <c r="AK33" i="68"/>
  <c r="AJ33" i="68"/>
  <c r="AI33" i="68"/>
  <c r="AH33" i="68"/>
  <c r="AG33" i="68"/>
  <c r="AF33" i="68"/>
  <c r="AE33" i="68"/>
  <c r="AD33" i="68"/>
  <c r="AC33" i="68"/>
  <c r="AB33" i="68"/>
  <c r="AA33" i="68"/>
  <c r="Z33" i="68"/>
  <c r="Y33" i="68"/>
  <c r="X33" i="68"/>
  <c r="W33" i="68"/>
  <c r="V33" i="68"/>
  <c r="U33" i="68"/>
  <c r="T33" i="68"/>
  <c r="S33" i="68"/>
  <c r="R33" i="68"/>
  <c r="Q33" i="68"/>
  <c r="P33" i="68"/>
  <c r="O33" i="68"/>
  <c r="N33" i="68"/>
  <c r="AK32" i="68"/>
  <c r="AJ32" i="68"/>
  <c r="AI32" i="68"/>
  <c r="AH32" i="68"/>
  <c r="AG32" i="68"/>
  <c r="AF32" i="68"/>
  <c r="AE32" i="68"/>
  <c r="AD32" i="68"/>
  <c r="AC32" i="68"/>
  <c r="AB32" i="68"/>
  <c r="AA32" i="68"/>
  <c r="Z32" i="68"/>
  <c r="Y32" i="68"/>
  <c r="X32" i="68"/>
  <c r="W32" i="68"/>
  <c r="V32" i="68"/>
  <c r="U32" i="68"/>
  <c r="T32" i="68"/>
  <c r="S32" i="68"/>
  <c r="R32" i="68"/>
  <c r="Q32" i="68"/>
  <c r="P32" i="68"/>
  <c r="O32" i="68"/>
  <c r="N32" i="68"/>
  <c r="AK31" i="68"/>
  <c r="AJ31" i="68"/>
  <c r="AI31" i="68"/>
  <c r="AH31" i="68"/>
  <c r="AG31" i="68"/>
  <c r="AF31" i="68"/>
  <c r="AE31" i="68"/>
  <c r="AD31" i="68"/>
  <c r="AC31" i="68"/>
  <c r="AB31" i="68"/>
  <c r="AA31" i="68"/>
  <c r="Z31" i="68"/>
  <c r="Y31" i="68"/>
  <c r="X31" i="68"/>
  <c r="W31" i="68"/>
  <c r="V31" i="68"/>
  <c r="U31" i="68"/>
  <c r="T31" i="68"/>
  <c r="S31" i="68"/>
  <c r="R31" i="68"/>
  <c r="Q31" i="68"/>
  <c r="P31" i="68"/>
  <c r="O31" i="68"/>
  <c r="N31" i="68"/>
  <c r="AK30" i="68"/>
  <c r="AJ30" i="68"/>
  <c r="AI30" i="68"/>
  <c r="AH30" i="68"/>
  <c r="AG30" i="68"/>
  <c r="AF30" i="68"/>
  <c r="AE30" i="68"/>
  <c r="AD30" i="68"/>
  <c r="AC30" i="68"/>
  <c r="AB30" i="68"/>
  <c r="AA30" i="68"/>
  <c r="Z30" i="68"/>
  <c r="Y30" i="68"/>
  <c r="X30" i="68"/>
  <c r="W30" i="68"/>
  <c r="V30" i="68"/>
  <c r="U30" i="68"/>
  <c r="T30" i="68"/>
  <c r="S30" i="68"/>
  <c r="R30" i="68"/>
  <c r="Q30" i="68"/>
  <c r="P30" i="68"/>
  <c r="O30" i="68"/>
  <c r="N30" i="68"/>
  <c r="AK29" i="68"/>
  <c r="AJ29" i="68"/>
  <c r="AI29" i="68"/>
  <c r="AH29" i="68"/>
  <c r="AG29" i="68"/>
  <c r="AF29" i="68"/>
  <c r="AE29" i="68"/>
  <c r="AD29" i="68"/>
  <c r="AC29" i="68"/>
  <c r="AB29" i="68"/>
  <c r="AA29" i="68"/>
  <c r="Z29" i="68"/>
  <c r="Y29" i="68"/>
  <c r="X29" i="68"/>
  <c r="W29" i="68"/>
  <c r="V29" i="68"/>
  <c r="U29" i="68"/>
  <c r="T29" i="68"/>
  <c r="S29" i="68"/>
  <c r="R29" i="68"/>
  <c r="Q29" i="68"/>
  <c r="P29" i="68"/>
  <c r="O29" i="68"/>
  <c r="N29" i="68"/>
  <c r="AK28" i="68"/>
  <c r="AJ28" i="68"/>
  <c r="AI28" i="68"/>
  <c r="AH28" i="68"/>
  <c r="AG28" i="68"/>
  <c r="AF28" i="68"/>
  <c r="AE28" i="68"/>
  <c r="AD28" i="68"/>
  <c r="AC28" i="68"/>
  <c r="AB28" i="68"/>
  <c r="AA28" i="68"/>
  <c r="Z28" i="68"/>
  <c r="Y28" i="68"/>
  <c r="X28" i="68"/>
  <c r="W28" i="68"/>
  <c r="V28" i="68"/>
  <c r="U28" i="68"/>
  <c r="T28" i="68"/>
  <c r="S28" i="68"/>
  <c r="R28" i="68"/>
  <c r="Q28" i="68"/>
  <c r="P28" i="68"/>
  <c r="O28" i="68"/>
  <c r="N28" i="68"/>
  <c r="AK27" i="68"/>
  <c r="AJ27" i="68"/>
  <c r="AI27" i="68"/>
  <c r="AH27" i="68"/>
  <c r="AG27" i="68"/>
  <c r="AF27" i="68"/>
  <c r="AE27" i="68"/>
  <c r="AD27" i="68"/>
  <c r="AC27" i="68"/>
  <c r="AB27" i="68"/>
  <c r="AA27" i="68"/>
  <c r="Z27" i="68"/>
  <c r="Y27" i="68"/>
  <c r="X27" i="68"/>
  <c r="W27" i="68"/>
  <c r="V27" i="68"/>
  <c r="U27" i="68"/>
  <c r="T27" i="68"/>
  <c r="S27" i="68"/>
  <c r="R27" i="68"/>
  <c r="Q27" i="68"/>
  <c r="P27" i="68"/>
  <c r="O27" i="68"/>
  <c r="N27" i="68"/>
  <c r="AK16" i="68"/>
  <c r="AJ16" i="68"/>
  <c r="AI16" i="68"/>
  <c r="AH16" i="68"/>
  <c r="AG16" i="68"/>
  <c r="AF16" i="68"/>
  <c r="AE16" i="68"/>
  <c r="AD16" i="68"/>
  <c r="AC16" i="68"/>
  <c r="AB16" i="68"/>
  <c r="AA16" i="68"/>
  <c r="Z16" i="68"/>
  <c r="Y16" i="68"/>
  <c r="X16" i="68"/>
  <c r="W16" i="68"/>
  <c r="V16" i="68"/>
  <c r="U16" i="68"/>
  <c r="T16" i="68"/>
  <c r="S16" i="68"/>
  <c r="R16" i="68"/>
  <c r="Q16" i="68"/>
  <c r="P16" i="68"/>
  <c r="O16" i="68"/>
  <c r="N16" i="68"/>
  <c r="AK15" i="68"/>
  <c r="AJ15" i="68"/>
  <c r="AI15" i="68"/>
  <c r="AH15" i="68"/>
  <c r="AG15" i="68"/>
  <c r="AF15" i="68"/>
  <c r="AE15" i="68"/>
  <c r="AD15" i="68"/>
  <c r="AC15" i="68"/>
  <c r="AB15" i="68"/>
  <c r="AA15" i="68"/>
  <c r="Z15" i="68"/>
  <c r="Y15" i="68"/>
  <c r="X15" i="68"/>
  <c r="W15" i="68"/>
  <c r="V15" i="68"/>
  <c r="U15" i="68"/>
  <c r="T15" i="68"/>
  <c r="S15" i="68"/>
  <c r="R15" i="68"/>
  <c r="Q15" i="68"/>
  <c r="P15" i="68"/>
  <c r="O15" i="68"/>
  <c r="N15" i="68"/>
  <c r="AK14" i="68"/>
  <c r="AJ14" i="68"/>
  <c r="AI14" i="68"/>
  <c r="AH14" i="68"/>
  <c r="AG14" i="68"/>
  <c r="AF14" i="68"/>
  <c r="AE14" i="68"/>
  <c r="AD14" i="68"/>
  <c r="AC14" i="68"/>
  <c r="AB14" i="68"/>
  <c r="AA14" i="68"/>
  <c r="Z14" i="68"/>
  <c r="Y14" i="68"/>
  <c r="X14" i="68"/>
  <c r="W14" i="68"/>
  <c r="V14" i="68"/>
  <c r="U14" i="68"/>
  <c r="T14" i="68"/>
  <c r="S14" i="68"/>
  <c r="R14" i="68"/>
  <c r="Q14" i="68"/>
  <c r="P14" i="68"/>
  <c r="O14" i="68"/>
  <c r="N14" i="68"/>
  <c r="AK13" i="68"/>
  <c r="AJ13" i="68"/>
  <c r="AI13" i="68"/>
  <c r="AH13" i="68"/>
  <c r="AG13" i="68"/>
  <c r="AF13" i="68"/>
  <c r="AE13" i="68"/>
  <c r="AD13" i="68"/>
  <c r="AC13" i="68"/>
  <c r="AB13" i="68"/>
  <c r="AA13" i="68"/>
  <c r="Z13" i="68"/>
  <c r="Y13" i="68"/>
  <c r="X13" i="68"/>
  <c r="W13" i="68"/>
  <c r="V13" i="68"/>
  <c r="U13" i="68"/>
  <c r="T13" i="68"/>
  <c r="S13" i="68"/>
  <c r="R13" i="68"/>
  <c r="Q13" i="68"/>
  <c r="P13" i="68"/>
  <c r="O13" i="68"/>
  <c r="N13" i="68"/>
  <c r="AK12" i="68"/>
  <c r="AJ12" i="68"/>
  <c r="AI12" i="68"/>
  <c r="AH12" i="68"/>
  <c r="AG12" i="68"/>
  <c r="AF12" i="68"/>
  <c r="AE12" i="68"/>
  <c r="AD12" i="68"/>
  <c r="AC12" i="68"/>
  <c r="AB12" i="68"/>
  <c r="AA12" i="68"/>
  <c r="Z12" i="68"/>
  <c r="Y12" i="68"/>
  <c r="X12" i="68"/>
  <c r="W12" i="68"/>
  <c r="V12" i="68"/>
  <c r="U12" i="68"/>
  <c r="T12" i="68"/>
  <c r="S12" i="68"/>
  <c r="R12" i="68"/>
  <c r="Q12" i="68"/>
  <c r="P12" i="68"/>
  <c r="O12" i="68"/>
  <c r="N12" i="68"/>
  <c r="AK11" i="68"/>
  <c r="AJ11" i="68"/>
  <c r="AI11" i="68"/>
  <c r="AH11" i="68"/>
  <c r="AG11" i="68"/>
  <c r="AF11" i="68"/>
  <c r="AE11" i="68"/>
  <c r="AD11" i="68"/>
  <c r="AC11" i="68"/>
  <c r="AB11" i="68"/>
  <c r="AA11" i="68"/>
  <c r="Z11" i="68"/>
  <c r="Y11" i="68"/>
  <c r="X11" i="68"/>
  <c r="W11" i="68"/>
  <c r="V11" i="68"/>
  <c r="U11" i="68"/>
  <c r="T11" i="68"/>
  <c r="S11" i="68"/>
  <c r="R11" i="68"/>
  <c r="Q11" i="68"/>
  <c r="P11" i="68"/>
  <c r="O11" i="68"/>
  <c r="N11" i="68"/>
  <c r="AK10" i="68"/>
  <c r="AJ10" i="68"/>
  <c r="AI10" i="68"/>
  <c r="AH10" i="68"/>
  <c r="AG10" i="68"/>
  <c r="AF10" i="68"/>
  <c r="AE10" i="68"/>
  <c r="AD10" i="68"/>
  <c r="AC10" i="68"/>
  <c r="AB10" i="68"/>
  <c r="AA10" i="68"/>
  <c r="Z10" i="68"/>
  <c r="Y10" i="68"/>
  <c r="X10" i="68"/>
  <c r="W10" i="68"/>
  <c r="V10" i="68"/>
  <c r="U10" i="68"/>
  <c r="T10" i="68"/>
  <c r="S10" i="68"/>
  <c r="R10" i="68"/>
  <c r="Q10" i="68"/>
  <c r="P10" i="68"/>
  <c r="O10" i="68"/>
  <c r="N10" i="68"/>
  <c r="AK9" i="68"/>
  <c r="AJ9" i="68"/>
  <c r="AI9" i="68"/>
  <c r="AH9" i="68"/>
  <c r="AG9" i="68"/>
  <c r="AF9" i="68"/>
  <c r="AE9" i="68"/>
  <c r="AD9" i="68"/>
  <c r="AC9" i="68"/>
  <c r="AB9" i="68"/>
  <c r="AA9" i="68"/>
  <c r="Z9" i="68"/>
  <c r="Y9" i="68"/>
  <c r="X9" i="68"/>
  <c r="W9" i="68"/>
  <c r="V9" i="68"/>
  <c r="U9" i="68"/>
  <c r="T9" i="68"/>
  <c r="S9" i="68"/>
  <c r="R9" i="68"/>
  <c r="Q9" i="68"/>
  <c r="P9" i="68"/>
  <c r="O9" i="68"/>
  <c r="AK8" i="68"/>
  <c r="AJ8" i="68"/>
  <c r="AI8" i="68"/>
  <c r="AH8" i="68"/>
  <c r="AG8" i="68"/>
  <c r="AF8" i="68"/>
  <c r="AE8" i="68"/>
  <c r="AD8" i="68"/>
  <c r="BF31" i="64" s="1"/>
  <c r="AC8" i="68"/>
  <c r="AB8" i="68"/>
  <c r="AA8" i="68"/>
  <c r="Z8" i="68"/>
  <c r="Y8" i="68"/>
  <c r="X8" i="68"/>
  <c r="W8" i="68"/>
  <c r="U8" i="68"/>
  <c r="T8" i="68"/>
  <c r="S8" i="68"/>
  <c r="R8" i="68"/>
  <c r="Q8" i="68"/>
  <c r="P8" i="68"/>
  <c r="O8" i="68"/>
  <c r="C2" i="68"/>
  <c r="L55" i="68"/>
  <c r="X39" i="68"/>
  <c r="AF56" i="68"/>
  <c r="P56" i="68"/>
  <c r="N56" i="68"/>
  <c r="AJ56" i="68"/>
  <c r="AH56" i="68"/>
  <c r="AD56" i="68"/>
  <c r="AB56" i="68"/>
  <c r="Z56" i="68"/>
  <c r="X56" i="68"/>
  <c r="V56" i="68"/>
  <c r="T56" i="68"/>
  <c r="R56" i="68"/>
  <c r="AJ39" i="68"/>
  <c r="AH39" i="68"/>
  <c r="AF39" i="68"/>
  <c r="AD39" i="68"/>
  <c r="AB39" i="68"/>
  <c r="Z39" i="68"/>
  <c r="V39" i="68"/>
  <c r="T39" i="68"/>
  <c r="R39" i="68"/>
  <c r="P39" i="68"/>
  <c r="N39" i="68"/>
  <c r="L38" i="68"/>
  <c r="W19" i="64"/>
  <c r="W14" i="64"/>
  <c r="W39" i="64"/>
  <c r="W38" i="64"/>
  <c r="W37" i="64"/>
  <c r="W36" i="64"/>
  <c r="W35" i="64"/>
  <c r="W34" i="64"/>
  <c r="W33" i="64"/>
  <c r="W32" i="64"/>
  <c r="AE32" i="64" s="1"/>
  <c r="W31" i="64"/>
  <c r="W30" i="64"/>
  <c r="W29" i="64"/>
  <c r="W28" i="64"/>
  <c r="W27" i="64"/>
  <c r="W26" i="64"/>
  <c r="W25" i="64"/>
  <c r="W24" i="64"/>
  <c r="W23" i="64"/>
  <c r="W22" i="64"/>
  <c r="W21" i="64"/>
  <c r="W20" i="64"/>
  <c r="W18" i="64"/>
  <c r="W17" i="64"/>
  <c r="W16" i="64"/>
  <c r="W15" i="64"/>
  <c r="W13" i="64"/>
  <c r="W12" i="64"/>
  <c r="W11" i="64"/>
  <c r="AL30" i="67"/>
  <c r="AJ30" i="67"/>
  <c r="AH30" i="67"/>
  <c r="AF30" i="67"/>
  <c r="AD30" i="67"/>
  <c r="AB30" i="67"/>
  <c r="Z30" i="67"/>
  <c r="X30" i="67"/>
  <c r="V30" i="67"/>
  <c r="T30" i="67"/>
  <c r="R30" i="67"/>
  <c r="P30" i="67"/>
  <c r="N29" i="67"/>
  <c r="N31" i="67"/>
  <c r="AM28" i="67"/>
  <c r="AL28" i="67"/>
  <c r="AK28" i="67"/>
  <c r="AJ28" i="67"/>
  <c r="AI28" i="67"/>
  <c r="AH28" i="67"/>
  <c r="AG28" i="67"/>
  <c r="AF28" i="67"/>
  <c r="AE28" i="67"/>
  <c r="AD28" i="67"/>
  <c r="AC28" i="67"/>
  <c r="AB28" i="67"/>
  <c r="AA28" i="67"/>
  <c r="Z28" i="67"/>
  <c r="Y28" i="67"/>
  <c r="X28" i="67"/>
  <c r="W28" i="67"/>
  <c r="V28" i="67"/>
  <c r="U28" i="67"/>
  <c r="T28" i="67"/>
  <c r="S28" i="67"/>
  <c r="R28" i="67"/>
  <c r="Q28" i="67"/>
  <c r="P28" i="67"/>
  <c r="AM27" i="67"/>
  <c r="AL27" i="67"/>
  <c r="AK27" i="67"/>
  <c r="AJ27" i="67"/>
  <c r="AI27" i="67"/>
  <c r="AH27" i="67"/>
  <c r="AG27" i="67"/>
  <c r="AF27" i="67"/>
  <c r="AE27" i="67"/>
  <c r="AD27" i="67"/>
  <c r="AC27" i="67"/>
  <c r="AB27" i="67"/>
  <c r="AA27" i="67"/>
  <c r="Z27" i="67"/>
  <c r="Y27" i="67"/>
  <c r="X27" i="67"/>
  <c r="W27" i="67"/>
  <c r="V27" i="67"/>
  <c r="U27" i="67"/>
  <c r="T27" i="67"/>
  <c r="S27" i="67"/>
  <c r="R27" i="67"/>
  <c r="Q27" i="67"/>
  <c r="P27" i="67"/>
  <c r="AM26" i="67"/>
  <c r="AL26" i="67"/>
  <c r="AK26" i="67"/>
  <c r="AJ26" i="67"/>
  <c r="AI26" i="67"/>
  <c r="AH26" i="67"/>
  <c r="AG26" i="67"/>
  <c r="AF26" i="67"/>
  <c r="AE26" i="67"/>
  <c r="AD26" i="67"/>
  <c r="AC26" i="67"/>
  <c r="AB26" i="67"/>
  <c r="AA26" i="67"/>
  <c r="Z26" i="67"/>
  <c r="Y26" i="67"/>
  <c r="X26" i="67"/>
  <c r="W26" i="67"/>
  <c r="V26" i="67"/>
  <c r="U26" i="67"/>
  <c r="T26" i="67"/>
  <c r="S26" i="67"/>
  <c r="R26" i="67"/>
  <c r="Q26" i="67"/>
  <c r="P26" i="67"/>
  <c r="AM25" i="67"/>
  <c r="AL25" i="67"/>
  <c r="AK25" i="67"/>
  <c r="AJ25" i="67"/>
  <c r="AI25" i="67"/>
  <c r="AH25" i="67"/>
  <c r="AG25" i="67"/>
  <c r="AF25" i="67"/>
  <c r="AE25" i="67"/>
  <c r="AD25" i="67"/>
  <c r="AC25" i="67"/>
  <c r="AB25" i="67"/>
  <c r="AA25" i="67"/>
  <c r="Z25" i="67"/>
  <c r="Y25" i="67"/>
  <c r="X25" i="67"/>
  <c r="W25" i="67"/>
  <c r="V25" i="67"/>
  <c r="U25" i="67"/>
  <c r="T25" i="67"/>
  <c r="S25" i="67"/>
  <c r="R25" i="67"/>
  <c r="Q25" i="67"/>
  <c r="P25" i="67"/>
  <c r="AM24" i="67"/>
  <c r="AL24" i="67"/>
  <c r="AK24" i="67"/>
  <c r="AJ24" i="67"/>
  <c r="AI24" i="67"/>
  <c r="AH24" i="67"/>
  <c r="AG24" i="67"/>
  <c r="AF24" i="67"/>
  <c r="AE24" i="67"/>
  <c r="AD24" i="67"/>
  <c r="AC24" i="67"/>
  <c r="AB24" i="67"/>
  <c r="AA24" i="67"/>
  <c r="Z24" i="67"/>
  <c r="Y24" i="67"/>
  <c r="X24" i="67"/>
  <c r="W24" i="67"/>
  <c r="V24" i="67"/>
  <c r="U24" i="67"/>
  <c r="T24" i="67"/>
  <c r="S24" i="67"/>
  <c r="R24" i="67"/>
  <c r="Q24" i="67"/>
  <c r="P24" i="67"/>
  <c r="AM23" i="67"/>
  <c r="AL23" i="67"/>
  <c r="AK23" i="67"/>
  <c r="AJ23" i="67"/>
  <c r="AI23" i="67"/>
  <c r="AH23" i="67"/>
  <c r="AG23" i="67"/>
  <c r="AF23" i="67"/>
  <c r="AE23" i="67"/>
  <c r="AD23" i="67"/>
  <c r="AC23" i="67"/>
  <c r="AB23" i="67"/>
  <c r="AA23" i="67"/>
  <c r="Z23" i="67"/>
  <c r="Y23" i="67"/>
  <c r="X23" i="67"/>
  <c r="W23" i="67"/>
  <c r="V23" i="67"/>
  <c r="U23" i="67"/>
  <c r="T23" i="67"/>
  <c r="S23" i="67"/>
  <c r="R23" i="67"/>
  <c r="Q23" i="67"/>
  <c r="P23" i="67"/>
  <c r="AM22" i="67"/>
  <c r="AL22" i="67"/>
  <c r="AK22" i="67"/>
  <c r="AJ22" i="67"/>
  <c r="AI22" i="67"/>
  <c r="AH22" i="67"/>
  <c r="AG22" i="67"/>
  <c r="AF22" i="67"/>
  <c r="AE22" i="67"/>
  <c r="AD22" i="67"/>
  <c r="AC22" i="67"/>
  <c r="AB22" i="67"/>
  <c r="AA22" i="67"/>
  <c r="Z22" i="67"/>
  <c r="Y22" i="67"/>
  <c r="X22" i="67"/>
  <c r="W22" i="67"/>
  <c r="V22" i="67"/>
  <c r="U22" i="67"/>
  <c r="T22" i="67"/>
  <c r="S22" i="67"/>
  <c r="R22" i="67"/>
  <c r="Q22" i="67"/>
  <c r="P22" i="67"/>
  <c r="AM21" i="67"/>
  <c r="AL21" i="67"/>
  <c r="AK21" i="67"/>
  <c r="AJ21" i="67"/>
  <c r="AI21" i="67"/>
  <c r="AH21" i="67"/>
  <c r="AG21" i="67"/>
  <c r="AF21" i="67"/>
  <c r="AE21" i="67"/>
  <c r="AD21" i="67"/>
  <c r="AC21" i="67"/>
  <c r="AB21" i="67"/>
  <c r="AA21" i="67"/>
  <c r="Z21" i="67"/>
  <c r="Y21" i="67"/>
  <c r="X21" i="67"/>
  <c r="W21" i="67"/>
  <c r="V21" i="67"/>
  <c r="U21" i="67"/>
  <c r="T21" i="67"/>
  <c r="S21" i="67"/>
  <c r="R21" i="67"/>
  <c r="Q21" i="67"/>
  <c r="P21" i="67"/>
  <c r="AM20" i="67"/>
  <c r="AL20" i="67"/>
  <c r="AK20" i="67"/>
  <c r="AJ20" i="67"/>
  <c r="AI20" i="67"/>
  <c r="AH20" i="67"/>
  <c r="AG20" i="67"/>
  <c r="AF20" i="67"/>
  <c r="AE20" i="67"/>
  <c r="AD20" i="67"/>
  <c r="AC20" i="67"/>
  <c r="AB20" i="67"/>
  <c r="AA20" i="67"/>
  <c r="Z20" i="67"/>
  <c r="Y20" i="67"/>
  <c r="X20" i="67"/>
  <c r="W20" i="67"/>
  <c r="V20" i="67"/>
  <c r="U20" i="67"/>
  <c r="T20" i="67"/>
  <c r="S20" i="67"/>
  <c r="R20" i="67"/>
  <c r="Q20" i="67"/>
  <c r="P20" i="67"/>
  <c r="AM19" i="67"/>
  <c r="AL19" i="67"/>
  <c r="AK19" i="67"/>
  <c r="AJ19" i="67"/>
  <c r="AI19" i="67"/>
  <c r="AH19" i="67"/>
  <c r="AG19" i="67"/>
  <c r="AF19" i="67"/>
  <c r="AE19" i="67"/>
  <c r="AD19" i="67"/>
  <c r="AC19" i="67"/>
  <c r="AB19" i="67"/>
  <c r="AA19" i="67"/>
  <c r="Z19" i="67"/>
  <c r="Y19" i="67"/>
  <c r="X19" i="67"/>
  <c r="W19" i="67"/>
  <c r="V19" i="67"/>
  <c r="U19" i="67"/>
  <c r="T19" i="67"/>
  <c r="S19" i="67"/>
  <c r="R19" i="67"/>
  <c r="Q19" i="67"/>
  <c r="P19" i="67"/>
  <c r="AM18" i="67"/>
  <c r="AL18" i="67"/>
  <c r="AK18" i="67"/>
  <c r="AJ18" i="67"/>
  <c r="AI18" i="67"/>
  <c r="AH18" i="67"/>
  <c r="AG18" i="67"/>
  <c r="AF18" i="67"/>
  <c r="AE18" i="67"/>
  <c r="AD18" i="67"/>
  <c r="AC18" i="67"/>
  <c r="AB18" i="67"/>
  <c r="AA18" i="67"/>
  <c r="Z18" i="67"/>
  <c r="Y18" i="67"/>
  <c r="X18" i="67"/>
  <c r="W18" i="67"/>
  <c r="V18" i="67"/>
  <c r="U18" i="67"/>
  <c r="T18" i="67"/>
  <c r="S18" i="67"/>
  <c r="R18" i="67"/>
  <c r="Q18" i="67"/>
  <c r="P18" i="67"/>
  <c r="AM17" i="67"/>
  <c r="AL17" i="67"/>
  <c r="AK17" i="67"/>
  <c r="AJ17" i="67"/>
  <c r="AI17" i="67"/>
  <c r="AH17" i="67"/>
  <c r="AG17" i="67"/>
  <c r="AF17" i="67"/>
  <c r="AE17" i="67"/>
  <c r="AD17" i="67"/>
  <c r="AC17" i="67"/>
  <c r="AB17" i="67"/>
  <c r="AA17" i="67"/>
  <c r="Z17" i="67"/>
  <c r="Y17" i="67"/>
  <c r="X17" i="67"/>
  <c r="W17" i="67"/>
  <c r="V17" i="67"/>
  <c r="U17" i="67"/>
  <c r="T17" i="67"/>
  <c r="S17" i="67"/>
  <c r="R17" i="67"/>
  <c r="Q17" i="67"/>
  <c r="P17" i="67"/>
  <c r="AM16" i="67"/>
  <c r="AL16" i="67"/>
  <c r="AK16" i="67"/>
  <c r="AJ16" i="67"/>
  <c r="AI16" i="67"/>
  <c r="AH16" i="67"/>
  <c r="AG16" i="67"/>
  <c r="AF16" i="67"/>
  <c r="AE16" i="67"/>
  <c r="AD16" i="67"/>
  <c r="AC16" i="67"/>
  <c r="AB16" i="67"/>
  <c r="AA16" i="67"/>
  <c r="Z16" i="67"/>
  <c r="Y16" i="67"/>
  <c r="X16" i="67"/>
  <c r="W16" i="67"/>
  <c r="V16" i="67"/>
  <c r="U16" i="67"/>
  <c r="T16" i="67"/>
  <c r="S16" i="67"/>
  <c r="R16" i="67"/>
  <c r="Q16" i="67"/>
  <c r="P16" i="67"/>
  <c r="AM15" i="67"/>
  <c r="AL15" i="67"/>
  <c r="AK15" i="67"/>
  <c r="AJ15" i="67"/>
  <c r="AI15" i="67"/>
  <c r="AH15" i="67"/>
  <c r="AG15" i="67"/>
  <c r="AF15" i="67"/>
  <c r="AE15" i="67"/>
  <c r="AD15" i="67"/>
  <c r="AC15" i="67"/>
  <c r="AB15" i="67"/>
  <c r="AA15" i="67"/>
  <c r="Z15" i="67"/>
  <c r="Y15" i="67"/>
  <c r="X15" i="67"/>
  <c r="W15" i="67"/>
  <c r="V15" i="67"/>
  <c r="U15" i="67"/>
  <c r="T15" i="67"/>
  <c r="S15" i="67"/>
  <c r="R15" i="67"/>
  <c r="Q15" i="67"/>
  <c r="P15" i="67"/>
  <c r="AM14" i="67"/>
  <c r="AL14" i="67"/>
  <c r="AK14" i="67"/>
  <c r="AJ14" i="67"/>
  <c r="AI14" i="67"/>
  <c r="AH14" i="67"/>
  <c r="AG14" i="67"/>
  <c r="AF14" i="67"/>
  <c r="AE14" i="67"/>
  <c r="AD14" i="67"/>
  <c r="AC14" i="67"/>
  <c r="AB14" i="67"/>
  <c r="AA14" i="67"/>
  <c r="Z14" i="67"/>
  <c r="Y14" i="67"/>
  <c r="X14" i="67"/>
  <c r="W14" i="67"/>
  <c r="V14" i="67"/>
  <c r="U14" i="67"/>
  <c r="T14" i="67"/>
  <c r="S14" i="67"/>
  <c r="R14" i="67"/>
  <c r="Q14" i="67"/>
  <c r="P14" i="67"/>
  <c r="AM13" i="67"/>
  <c r="AL13" i="67"/>
  <c r="AK13" i="67"/>
  <c r="AJ13" i="67"/>
  <c r="AI13" i="67"/>
  <c r="AH13" i="67"/>
  <c r="AG13" i="67"/>
  <c r="AF13" i="67"/>
  <c r="AE13" i="67"/>
  <c r="AD13" i="67"/>
  <c r="AC13" i="67"/>
  <c r="AB13" i="67"/>
  <c r="AA13" i="67"/>
  <c r="Z13" i="67"/>
  <c r="Y13" i="67"/>
  <c r="X13" i="67"/>
  <c r="W13" i="67"/>
  <c r="V13" i="67"/>
  <c r="U13" i="67"/>
  <c r="T13" i="67"/>
  <c r="S13" i="67"/>
  <c r="R13" i="67"/>
  <c r="Q13" i="67"/>
  <c r="P13" i="67"/>
  <c r="AM12" i="67"/>
  <c r="AL12" i="67"/>
  <c r="AK12" i="67"/>
  <c r="AJ12" i="67"/>
  <c r="AI12" i="67"/>
  <c r="AH12" i="67"/>
  <c r="AG12" i="67"/>
  <c r="AF12" i="67"/>
  <c r="AE12" i="67"/>
  <c r="AD12" i="67"/>
  <c r="AC12" i="67"/>
  <c r="AB12" i="67"/>
  <c r="AA12" i="67"/>
  <c r="Z12" i="67"/>
  <c r="Y12" i="67"/>
  <c r="X12" i="67"/>
  <c r="W12" i="67"/>
  <c r="V12" i="67"/>
  <c r="U12" i="67"/>
  <c r="T12" i="67"/>
  <c r="S12" i="67"/>
  <c r="R12" i="67"/>
  <c r="Q12" i="67"/>
  <c r="P12" i="67"/>
  <c r="AM11" i="67"/>
  <c r="AL11" i="67"/>
  <c r="AK11" i="67"/>
  <c r="AJ11" i="67"/>
  <c r="AI11" i="67"/>
  <c r="AH11" i="67"/>
  <c r="AG11" i="67"/>
  <c r="AF11" i="67"/>
  <c r="AE11" i="67"/>
  <c r="AD11" i="67"/>
  <c r="AC11" i="67"/>
  <c r="AB11" i="67"/>
  <c r="AA11" i="67"/>
  <c r="Z11" i="67"/>
  <c r="Y11" i="67"/>
  <c r="X11" i="67"/>
  <c r="W11" i="67"/>
  <c r="V11" i="67"/>
  <c r="U11" i="67"/>
  <c r="T11" i="67"/>
  <c r="S11" i="67"/>
  <c r="R11" i="67"/>
  <c r="Q11" i="67"/>
  <c r="P11" i="67"/>
  <c r="AM10" i="67"/>
  <c r="AL10" i="67"/>
  <c r="AK10" i="67"/>
  <c r="AJ10" i="67"/>
  <c r="AJ29" i="67"/>
  <c r="AJ31" i="67" s="1"/>
  <c r="AI10" i="67"/>
  <c r="AH10" i="67"/>
  <c r="AG10" i="67"/>
  <c r="AF10" i="67"/>
  <c r="AE10" i="67"/>
  <c r="AD10" i="67"/>
  <c r="AC10" i="67"/>
  <c r="AB10" i="67"/>
  <c r="AA10" i="67"/>
  <c r="Z10" i="67"/>
  <c r="Y10" i="67"/>
  <c r="X10" i="67"/>
  <c r="W10" i="67"/>
  <c r="V10" i="67"/>
  <c r="U10" i="67"/>
  <c r="T10" i="67"/>
  <c r="T29" i="67"/>
  <c r="T31" i="67" s="1"/>
  <c r="S10" i="67"/>
  <c r="R10" i="67"/>
  <c r="R29" i="67" s="1"/>
  <c r="R31" i="67" s="1"/>
  <c r="Q10" i="67"/>
  <c r="P10" i="67"/>
  <c r="AM9" i="67"/>
  <c r="AL9" i="67"/>
  <c r="AL29" i="67"/>
  <c r="AL31" i="67" s="1"/>
  <c r="AK9" i="67"/>
  <c r="AJ9" i="67"/>
  <c r="AI9" i="67"/>
  <c r="AH29" i="67" s="1"/>
  <c r="AH31" i="67" s="1"/>
  <c r="AH9" i="67"/>
  <c r="AG9" i="67"/>
  <c r="AF9" i="67"/>
  <c r="AF29" i="67"/>
  <c r="AF31" i="67" s="1"/>
  <c r="AE9" i="67"/>
  <c r="AD9" i="67"/>
  <c r="AD29" i="67"/>
  <c r="AD31" i="67" s="1"/>
  <c r="AC9" i="67"/>
  <c r="AB9" i="67"/>
  <c r="AB29" i="67" s="1"/>
  <c r="AB31" i="67" s="1"/>
  <c r="AA9" i="67"/>
  <c r="Z9" i="67"/>
  <c r="Z29" i="67" s="1"/>
  <c r="Z31" i="67" s="1"/>
  <c r="Y9" i="67"/>
  <c r="X9" i="67"/>
  <c r="X29" i="67" s="1"/>
  <c r="X31" i="67" s="1"/>
  <c r="W9" i="67"/>
  <c r="V9" i="67"/>
  <c r="V29" i="67"/>
  <c r="V31" i="67" s="1"/>
  <c r="U9" i="67"/>
  <c r="T9" i="67"/>
  <c r="S9" i="67"/>
  <c r="R9" i="67"/>
  <c r="Q9" i="67"/>
  <c r="P9" i="67"/>
  <c r="P29" i="67" s="1"/>
  <c r="P31" i="67" s="1"/>
  <c r="C2" i="67"/>
  <c r="BI37" i="64"/>
  <c r="BB13" i="72"/>
  <c r="BB17" i="71"/>
  <c r="BB21" i="71"/>
  <c r="AP14" i="71"/>
  <c r="AQ13" i="71" s="1"/>
  <c r="BB29" i="71"/>
  <c r="BB23" i="71"/>
  <c r="BB15" i="71"/>
  <c r="Z14" i="72"/>
  <c r="AA13" i="72" s="1"/>
  <c r="BB9" i="72"/>
  <c r="BB29" i="72"/>
  <c r="BC17" i="72"/>
  <c r="BB23" i="72"/>
  <c r="S22" i="74" l="1"/>
  <c r="AE38" i="64"/>
  <c r="AE41" i="64"/>
  <c r="AE35" i="64"/>
  <c r="AH55" i="68"/>
  <c r="AH57" i="68" s="1"/>
  <c r="AE23" i="64"/>
  <c r="R22" i="74"/>
  <c r="T22" i="74" s="1"/>
  <c r="AE31" i="64"/>
  <c r="C15" i="64"/>
  <c r="AE14" i="64"/>
  <c r="S20" i="74"/>
  <c r="R19" i="74"/>
  <c r="AE22" i="64"/>
  <c r="R16" i="74"/>
  <c r="AE13" i="64"/>
  <c r="R17" i="74"/>
  <c r="T17" i="74" s="1"/>
  <c r="AE16" i="64"/>
  <c r="R20" i="74"/>
  <c r="T20" i="74" s="1"/>
  <c r="AE25" i="64"/>
  <c r="CA25" i="64" s="1"/>
  <c r="R18" i="74"/>
  <c r="AE19" i="64"/>
  <c r="S15" i="74"/>
  <c r="S23" i="74"/>
  <c r="D13" i="64"/>
  <c r="AE17" i="64"/>
  <c r="AE26" i="64"/>
  <c r="R23" i="74"/>
  <c r="AE34" i="64"/>
  <c r="S18" i="74"/>
  <c r="D15" i="64"/>
  <c r="R25" i="74"/>
  <c r="AE40" i="64"/>
  <c r="D14" i="64"/>
  <c r="S16" i="74"/>
  <c r="S24" i="74"/>
  <c r="S25" i="74"/>
  <c r="AE20" i="64"/>
  <c r="R21" i="74"/>
  <c r="T21" i="74" s="1"/>
  <c r="AE28" i="64"/>
  <c r="CA28" i="64" s="1"/>
  <c r="AE11" i="64"/>
  <c r="AE29" i="64"/>
  <c r="R24" i="74"/>
  <c r="T24" i="74" s="1"/>
  <c r="AE37" i="64"/>
  <c r="CA37" i="64" s="1"/>
  <c r="S19" i="74"/>
  <c r="AA11" i="64"/>
  <c r="R15" i="74"/>
  <c r="AE10" i="64"/>
  <c r="G71" i="69"/>
  <c r="G73" i="69" s="1"/>
  <c r="J71" i="69"/>
  <c r="K71" i="69"/>
  <c r="L71" i="69"/>
  <c r="M71" i="69"/>
  <c r="N71" i="69"/>
  <c r="R71" i="69"/>
  <c r="O71" i="69"/>
  <c r="H71" i="69"/>
  <c r="P71" i="69"/>
  <c r="Q71" i="69"/>
  <c r="I71" i="69"/>
  <c r="G72" i="69"/>
  <c r="Q9" i="73"/>
  <c r="BJ21" i="73"/>
  <c r="AL25" i="64"/>
  <c r="AL26" i="64" s="1"/>
  <c r="BH21" i="73"/>
  <c r="BG21" i="73"/>
  <c r="C13" i="64"/>
  <c r="C15" i="74"/>
  <c r="F15" i="74" s="1"/>
  <c r="BI21" i="73"/>
  <c r="BE43" i="64"/>
  <c r="X55" i="68"/>
  <c r="X57" i="68" s="1"/>
  <c r="R55" i="68"/>
  <c r="R57" i="68" s="1"/>
  <c r="Z55" i="68"/>
  <c r="Z57" i="68" s="1"/>
  <c r="BI10" i="64"/>
  <c r="BF13" i="64"/>
  <c r="BF10" i="64"/>
  <c r="T55" i="68"/>
  <c r="T57" i="68" s="1"/>
  <c r="AJ55" i="68"/>
  <c r="AJ57" i="68" s="1"/>
  <c r="BI16" i="64"/>
  <c r="BI28" i="64"/>
  <c r="BF19" i="64"/>
  <c r="Y44" i="64"/>
  <c r="BK21" i="73"/>
  <c r="BL21" i="73"/>
  <c r="AZ10" i="73"/>
  <c r="W43" i="64"/>
  <c r="BL14" i="73"/>
  <c r="BF14" i="73"/>
  <c r="BL15" i="73"/>
  <c r="BF15" i="73"/>
  <c r="BL10" i="73"/>
  <c r="BF10" i="73"/>
  <c r="BL18" i="73"/>
  <c r="BF18" i="73"/>
  <c r="BL19" i="73"/>
  <c r="BF19" i="73"/>
  <c r="BL11" i="73"/>
  <c r="BF11" i="73"/>
  <c r="BL12" i="73"/>
  <c r="BF12" i="73"/>
  <c r="BL13" i="73"/>
  <c r="BF13" i="73"/>
  <c r="BL16" i="73"/>
  <c r="BF16" i="73"/>
  <c r="BL20" i="73"/>
  <c r="BF20" i="73"/>
  <c r="BL17" i="73"/>
  <c r="BF17" i="73"/>
  <c r="BL9" i="73"/>
  <c r="BF9" i="73"/>
  <c r="BF25" i="64"/>
  <c r="BF37" i="64"/>
  <c r="BF28" i="64"/>
  <c r="BF40" i="64"/>
  <c r="Z38" i="68"/>
  <c r="Z40" i="68" s="1"/>
  <c r="P38" i="68"/>
  <c r="P40" i="68" s="1"/>
  <c r="BF34" i="64"/>
  <c r="AJ38" i="68"/>
  <c r="AJ40" i="68" s="1"/>
  <c r="T38" i="68"/>
  <c r="T40" i="68" s="1"/>
  <c r="BF16" i="64"/>
  <c r="BI7" i="64"/>
  <c r="V55" i="68"/>
  <c r="V57" i="68" s="1"/>
  <c r="BI31" i="64"/>
  <c r="AD38" i="68"/>
  <c r="AD40" i="68" s="1"/>
  <c r="AF38" i="68"/>
  <c r="AF40" i="68" s="1"/>
  <c r="V38" i="68"/>
  <c r="V40" i="68" s="1"/>
  <c r="BJ37" i="64"/>
  <c r="X38" i="68"/>
  <c r="X40" i="68" s="1"/>
  <c r="BF22" i="64"/>
  <c r="BF7" i="64"/>
  <c r="N38" i="68"/>
  <c r="N40" i="68" s="1"/>
  <c r="CA19" i="64"/>
  <c r="AL19" i="64"/>
  <c r="AL20" i="64" s="1"/>
  <c r="AL7" i="64"/>
  <c r="AL8" i="64" s="1"/>
  <c r="CA34" i="64"/>
  <c r="AL34" i="64"/>
  <c r="AL35" i="64" s="1"/>
  <c r="AB7" i="64"/>
  <c r="AL10" i="64"/>
  <c r="AL40" i="64"/>
  <c r="AL41" i="64" s="1"/>
  <c r="CA16" i="64"/>
  <c r="AL16" i="64"/>
  <c r="AL17" i="64" s="1"/>
  <c r="AL28" i="64"/>
  <c r="AL29" i="64" s="1"/>
  <c r="AL37" i="64"/>
  <c r="AL38" i="64" s="1"/>
  <c r="CA22" i="64"/>
  <c r="AL22" i="64"/>
  <c r="AL23" i="64" s="1"/>
  <c r="AL13" i="64"/>
  <c r="AL14" i="64" s="1"/>
  <c r="AL31" i="64"/>
  <c r="AL32" i="64" s="1"/>
  <c r="BJ13" i="64"/>
  <c r="BJ16" i="64"/>
  <c r="BJ40" i="64"/>
  <c r="BJ7" i="64"/>
  <c r="BJ25" i="64"/>
  <c r="BJ19" i="64"/>
  <c r="AD55" i="68"/>
  <c r="AB55" i="68"/>
  <c r="R38" i="68"/>
  <c r="R40" i="68" s="1"/>
  <c r="BJ10" i="64"/>
  <c r="BI19" i="64"/>
  <c r="AB38" i="68"/>
  <c r="AB40" i="68" s="1"/>
  <c r="AH38" i="68"/>
  <c r="AH40" i="68" s="1"/>
  <c r="AF55" i="68"/>
  <c r="BI40" i="64"/>
  <c r="BJ22" i="64"/>
  <c r="X40" i="64"/>
  <c r="Y45" i="64"/>
  <c r="W44" i="64"/>
  <c r="Z40" i="64"/>
  <c r="Y43" i="64"/>
  <c r="AB10" i="64"/>
  <c r="W45" i="64"/>
  <c r="C18" i="64"/>
  <c r="C14" i="64"/>
  <c r="AH35" i="64"/>
  <c r="CA40" i="64"/>
  <c r="AU40" i="64"/>
  <c r="Q20" i="73" s="1"/>
  <c r="AU22" i="64"/>
  <c r="Q14" i="73" s="1"/>
  <c r="AU25" i="64"/>
  <c r="Q15" i="73" s="1"/>
  <c r="AH32" i="64"/>
  <c r="AU43" i="64"/>
  <c r="Q21" i="73" s="1"/>
  <c r="X37" i="64"/>
  <c r="AU16" i="64"/>
  <c r="Q12" i="73" s="1"/>
  <c r="AH38" i="64"/>
  <c r="AH29" i="64"/>
  <c r="AU34" i="64"/>
  <c r="Q18" i="73" s="1"/>
  <c r="AU10" i="64"/>
  <c r="Q10" i="73" s="1"/>
  <c r="AU28" i="64"/>
  <c r="Q16" i="73" s="1"/>
  <c r="AU37" i="64"/>
  <c r="Q19" i="73" s="1"/>
  <c r="AU31" i="64"/>
  <c r="Q17" i="73" s="1"/>
  <c r="AU19" i="64"/>
  <c r="Q13" i="73" s="1"/>
  <c r="AU13" i="64"/>
  <c r="Q11" i="73" s="1"/>
  <c r="X19" i="64"/>
  <c r="AG26" i="71"/>
  <c r="AC18" i="71"/>
  <c r="V28" i="71"/>
  <c r="AN8" i="71"/>
  <c r="AP8" i="71" s="1"/>
  <c r="AQ7" i="71" s="1"/>
  <c r="E28" i="71"/>
  <c r="AT14" i="71"/>
  <c r="AP28" i="71"/>
  <c r="AQ27" i="71" s="1"/>
  <c r="P28" i="71"/>
  <c r="AJ22" i="72"/>
  <c r="M22" i="72"/>
  <c r="R22" i="72" s="1"/>
  <c r="S21" i="72" s="1"/>
  <c r="G28" i="72"/>
  <c r="J28" i="72" s="1"/>
  <c r="K27" i="72" s="1"/>
  <c r="M14" i="72"/>
  <c r="R14" i="72" s="1"/>
  <c r="S13" i="72" s="1"/>
  <c r="AO18" i="71"/>
  <c r="AT8" i="71"/>
  <c r="I10" i="71"/>
  <c r="BB11" i="71"/>
  <c r="Q12" i="71"/>
  <c r="R12" i="71" s="1"/>
  <c r="S11" i="71" s="1"/>
  <c r="AR14" i="71"/>
  <c r="AX14" i="71" s="1"/>
  <c r="AY13" i="71" s="1"/>
  <c r="G16" i="71"/>
  <c r="Z18" i="71"/>
  <c r="AA17" i="71" s="1"/>
  <c r="X18" i="71"/>
  <c r="AM20" i="71"/>
  <c r="D22" i="71"/>
  <c r="AW22" i="71"/>
  <c r="I28" i="71"/>
  <c r="D20" i="72"/>
  <c r="U22" i="72"/>
  <c r="Y30" i="72"/>
  <c r="AE20" i="72"/>
  <c r="AR30" i="72"/>
  <c r="AV26" i="72"/>
  <c r="AD8" i="72"/>
  <c r="Y10" i="72"/>
  <c r="Z10" i="72" s="1"/>
  <c r="AA9" i="72" s="1"/>
  <c r="AX12" i="72"/>
  <c r="AY11" i="72" s="1"/>
  <c r="AU12" i="72"/>
  <c r="H14" i="72"/>
  <c r="V16" i="72"/>
  <c r="U18" i="72"/>
  <c r="AF20" i="72"/>
  <c r="AK22" i="72"/>
  <c r="AJ24" i="72"/>
  <c r="T28" i="72"/>
  <c r="AT30" i="72"/>
  <c r="AN30" i="71"/>
  <c r="V14" i="71"/>
  <c r="I16" i="71"/>
  <c r="I30" i="71"/>
  <c r="AG20" i="71"/>
  <c r="AC12" i="71"/>
  <c r="E14" i="71"/>
  <c r="AT30" i="71"/>
  <c r="P18" i="71"/>
  <c r="P14" i="71"/>
  <c r="AJ18" i="72"/>
  <c r="G14" i="72"/>
  <c r="J14" i="72" s="1"/>
  <c r="K13" i="72" s="1"/>
  <c r="M30" i="72"/>
  <c r="G10" i="72"/>
  <c r="AR12" i="71"/>
  <c r="BC13" i="71"/>
  <c r="AS14" i="71"/>
  <c r="AO20" i="71"/>
  <c r="AP20" i="71" s="1"/>
  <c r="AQ19" i="71" s="1"/>
  <c r="U24" i="71"/>
  <c r="Z24" i="71" s="1"/>
  <c r="AA23" i="71" s="1"/>
  <c r="AR28" i="71"/>
  <c r="D8" i="72"/>
  <c r="AE8" i="72"/>
  <c r="AD10" i="72"/>
  <c r="I12" i="72"/>
  <c r="J12" i="72" s="1"/>
  <c r="K11" i="72" s="1"/>
  <c r="I14" i="72"/>
  <c r="Y16" i="72"/>
  <c r="X18" i="72"/>
  <c r="AO20" i="72"/>
  <c r="D22" i="72"/>
  <c r="AN24" i="72"/>
  <c r="L26" i="72"/>
  <c r="AK28" i="72"/>
  <c r="AU22" i="72"/>
  <c r="AX22" i="72" s="1"/>
  <c r="AY21" i="72" s="1"/>
  <c r="AT20" i="71"/>
  <c r="I22" i="71"/>
  <c r="AG12" i="71"/>
  <c r="AN10" i="71"/>
  <c r="AN24" i="71"/>
  <c r="V8" i="71"/>
  <c r="E22" i="71"/>
  <c r="E30" i="71"/>
  <c r="J30" i="71" s="1"/>
  <c r="AT16" i="71"/>
  <c r="AX16" i="71" s="1"/>
  <c r="AY15" i="71" s="1"/>
  <c r="P20" i="71"/>
  <c r="P30" i="71"/>
  <c r="G30" i="72"/>
  <c r="M16" i="72"/>
  <c r="AR30" i="71"/>
  <c r="AX30" i="71" s="1"/>
  <c r="AW20" i="71"/>
  <c r="AX20" i="71" s="1"/>
  <c r="AY19" i="71" s="1"/>
  <c r="BA19" i="71" s="1"/>
  <c r="AV25" i="64" s="1"/>
  <c r="I8" i="71"/>
  <c r="T10" i="71"/>
  <c r="AS12" i="71"/>
  <c r="AG18" i="71"/>
  <c r="T22" i="71"/>
  <c r="Z22" i="71" s="1"/>
  <c r="AA21" i="71" s="1"/>
  <c r="AT28" i="71"/>
  <c r="Q30" i="71"/>
  <c r="E18" i="72"/>
  <c r="V20" i="72"/>
  <c r="AF18" i="72"/>
  <c r="AS8" i="72"/>
  <c r="AJ8" i="72"/>
  <c r="AP8" i="72" s="1"/>
  <c r="AQ7" i="72" s="1"/>
  <c r="AR10" i="72"/>
  <c r="O12" i="72"/>
  <c r="Y18" i="72"/>
  <c r="AU20" i="72"/>
  <c r="AX20" i="72" s="1"/>
  <c r="AY19" i="72" s="1"/>
  <c r="E22" i="72"/>
  <c r="AO22" i="72"/>
  <c r="AW24" i="72"/>
  <c r="T26" i="72"/>
  <c r="AU10" i="72"/>
  <c r="AN16" i="71"/>
  <c r="AX10" i="71"/>
  <c r="AY9" i="71" s="1"/>
  <c r="V30" i="71"/>
  <c r="I18" i="71"/>
  <c r="AG8" i="71"/>
  <c r="AG22" i="71"/>
  <c r="AC14" i="71"/>
  <c r="AH14" i="71" s="1"/>
  <c r="AI13" i="71" s="1"/>
  <c r="AC28" i="71"/>
  <c r="E8" i="71"/>
  <c r="E18" i="71"/>
  <c r="AT18" i="71"/>
  <c r="AX18" i="71" s="1"/>
  <c r="AY17" i="71" s="1"/>
  <c r="P22" i="71"/>
  <c r="G20" i="72"/>
  <c r="M18" i="72"/>
  <c r="AH16" i="72"/>
  <c r="AI15" i="72" s="1"/>
  <c r="AC10" i="71"/>
  <c r="AH10" i="71" s="1"/>
  <c r="AI9" i="71" s="1"/>
  <c r="AT12" i="71"/>
  <c r="AX12" i="71" s="1"/>
  <c r="AY11" i="71" s="1"/>
  <c r="AG16" i="71"/>
  <c r="AN18" i="71"/>
  <c r="AP18" i="71" s="1"/>
  <c r="AQ17" i="71" s="1"/>
  <c r="R20" i="71"/>
  <c r="S19" i="71" s="1"/>
  <c r="V22" i="71"/>
  <c r="AM24" i="71"/>
  <c r="AG30" i="71"/>
  <c r="T12" i="72"/>
  <c r="AF14" i="72"/>
  <c r="AF16" i="72"/>
  <c r="AD18" i="72"/>
  <c r="AH18" i="72" s="1"/>
  <c r="AI17" i="72" s="1"/>
  <c r="I22" i="72"/>
  <c r="L24" i="72"/>
  <c r="U26" i="72"/>
  <c r="AU28" i="72"/>
  <c r="AX28" i="72" s="1"/>
  <c r="AY27" i="72" s="1"/>
  <c r="I30" i="72"/>
  <c r="AU8" i="72"/>
  <c r="AC20" i="71"/>
  <c r="AH12" i="71"/>
  <c r="AI11" i="71" s="1"/>
  <c r="AN12" i="71"/>
  <c r="Z14" i="71"/>
  <c r="AA13" i="71" s="1"/>
  <c r="V10" i="71"/>
  <c r="Z28" i="71"/>
  <c r="AA27" i="71" s="1"/>
  <c r="V24" i="71"/>
  <c r="E24" i="71"/>
  <c r="J24" i="71" s="1"/>
  <c r="K23" i="71" s="1"/>
  <c r="AT22" i="71"/>
  <c r="P8" i="71"/>
  <c r="R8" i="71" s="1"/>
  <c r="S7" i="71" s="1"/>
  <c r="AJ20" i="72"/>
  <c r="G22" i="72"/>
  <c r="M10" i="72"/>
  <c r="M20" i="72"/>
  <c r="AS28" i="71"/>
  <c r="U8" i="71"/>
  <c r="Z8" i="71" s="1"/>
  <c r="AA7" i="71" s="1"/>
  <c r="BB13" i="71"/>
  <c r="Q14" i="71"/>
  <c r="R14" i="71" s="1"/>
  <c r="S13" i="71" s="1"/>
  <c r="D18" i="71"/>
  <c r="BC21" i="71"/>
  <c r="AC22" i="71"/>
  <c r="AT24" i="71"/>
  <c r="AX24" i="71" s="1"/>
  <c r="AY23" i="71" s="1"/>
  <c r="AS30" i="71"/>
  <c r="L8" i="72"/>
  <c r="R8" i="72" s="1"/>
  <c r="S7" i="72" s="1"/>
  <c r="X12" i="72"/>
  <c r="AJ14" i="72"/>
  <c r="AJ16" i="72"/>
  <c r="AR18" i="72"/>
  <c r="AX18" i="72" s="1"/>
  <c r="AY17" i="72" s="1"/>
  <c r="G8" i="72"/>
  <c r="T8" i="71"/>
  <c r="Z20" i="71"/>
  <c r="AA19" i="71" s="1"/>
  <c r="V16" i="71"/>
  <c r="AG24" i="71"/>
  <c r="AC16" i="71"/>
  <c r="AC30" i="71"/>
  <c r="P16" i="71"/>
  <c r="P24" i="71"/>
  <c r="AJ12" i="72"/>
  <c r="AJ26" i="72"/>
  <c r="Z8" i="72"/>
  <c r="AA7" i="72" s="1"/>
  <c r="J10" i="72"/>
  <c r="K9" i="72" s="1"/>
  <c r="AH30" i="72"/>
  <c r="G24" i="72"/>
  <c r="M26" i="72"/>
  <c r="AX16" i="72"/>
  <c r="AY15" i="72" s="1"/>
  <c r="I26" i="71"/>
  <c r="J26" i="71" s="1"/>
  <c r="K25" i="71" s="1"/>
  <c r="V20" i="71"/>
  <c r="AC24" i="71"/>
  <c r="AH24" i="71" s="1"/>
  <c r="AI23" i="71" s="1"/>
  <c r="AG28" i="71"/>
  <c r="AC8" i="71"/>
  <c r="G18" i="72"/>
  <c r="M8" i="72"/>
  <c r="AJ28" i="72"/>
  <c r="AK12" i="72"/>
  <c r="V22" i="72"/>
  <c r="AJ30" i="72"/>
  <c r="AH12" i="72"/>
  <c r="AI11" i="72" s="1"/>
  <c r="Z20" i="72"/>
  <c r="AA19" i="72" s="1"/>
  <c r="I14" i="71"/>
  <c r="AH8" i="71"/>
  <c r="AI7" i="71" s="1"/>
  <c r="M24" i="72"/>
  <c r="AH22" i="71"/>
  <c r="AI21" i="71" s="1"/>
  <c r="I12" i="71"/>
  <c r="J12" i="71" s="1"/>
  <c r="K11" i="71" s="1"/>
  <c r="BC15" i="71"/>
  <c r="Z16" i="64"/>
  <c r="Z19" i="64"/>
  <c r="Z22" i="64"/>
  <c r="AH26" i="64"/>
  <c r="Z28" i="64"/>
  <c r="X34" i="64"/>
  <c r="X31" i="64"/>
  <c r="X16" i="64"/>
  <c r="Z13" i="64"/>
  <c r="Z31" i="64"/>
  <c r="Z10" i="64"/>
  <c r="Z37" i="64"/>
  <c r="Z34" i="64"/>
  <c r="Z25" i="64"/>
  <c r="Z7" i="64"/>
  <c r="AH8" i="64"/>
  <c r="X28" i="64"/>
  <c r="X25" i="64"/>
  <c r="X22" i="64"/>
  <c r="AH20" i="64"/>
  <c r="X13" i="64"/>
  <c r="X10" i="64"/>
  <c r="X7" i="64"/>
  <c r="AX8" i="71"/>
  <c r="AY7" i="71" s="1"/>
  <c r="AX22" i="71"/>
  <c r="AY21" i="71" s="1"/>
  <c r="BA21" i="71" s="1"/>
  <c r="AV28" i="64" s="1"/>
  <c r="AX26" i="71"/>
  <c r="AY25" i="71" s="1"/>
  <c r="AP30" i="71"/>
  <c r="AQ29" i="71" s="1"/>
  <c r="AP26" i="71"/>
  <c r="AQ25" i="71" s="1"/>
  <c r="AP24" i="71"/>
  <c r="AQ23" i="71" s="1"/>
  <c r="AP16" i="71"/>
  <c r="AQ15" i="71" s="1"/>
  <c r="AP12" i="71"/>
  <c r="AQ11" i="71" s="1"/>
  <c r="AP10" i="71"/>
  <c r="AQ9" i="71" s="1"/>
  <c r="AH18" i="71"/>
  <c r="AI17" i="71" s="1"/>
  <c r="AH20" i="71"/>
  <c r="AI19" i="71" s="1"/>
  <c r="AH26" i="71"/>
  <c r="AI25" i="71" s="1"/>
  <c r="BC25" i="71"/>
  <c r="AH28" i="71"/>
  <c r="AI27" i="71" s="1"/>
  <c r="Z30" i="71"/>
  <c r="AA29" i="71" s="1"/>
  <c r="Z12" i="71"/>
  <c r="AA11" i="71" s="1"/>
  <c r="Z10" i="71"/>
  <c r="AA9" i="71" s="1"/>
  <c r="R10" i="71"/>
  <c r="S9" i="71" s="1"/>
  <c r="R16" i="71"/>
  <c r="S15" i="71" s="1"/>
  <c r="R18" i="71"/>
  <c r="S17" i="71" s="1"/>
  <c r="R22" i="71"/>
  <c r="S21" i="71" s="1"/>
  <c r="R24" i="71"/>
  <c r="S23" i="71" s="1"/>
  <c r="R26" i="71"/>
  <c r="S25" i="71" s="1"/>
  <c r="R28" i="71"/>
  <c r="S27" i="71" s="1"/>
  <c r="R30" i="71"/>
  <c r="S29" i="71" s="1"/>
  <c r="BC29" i="71"/>
  <c r="J28" i="71"/>
  <c r="K27" i="71" s="1"/>
  <c r="J22" i="71"/>
  <c r="K21" i="71" s="1"/>
  <c r="J20" i="71"/>
  <c r="K19" i="71" s="1"/>
  <c r="J18" i="71"/>
  <c r="K17" i="71" s="1"/>
  <c r="J16" i="71"/>
  <c r="K15" i="71" s="1"/>
  <c r="BC9" i="71"/>
  <c r="AH16" i="71"/>
  <c r="AI15" i="71" s="1"/>
  <c r="BC23" i="71"/>
  <c r="Z16" i="71"/>
  <c r="AA15" i="71" s="1"/>
  <c r="BC11" i="71"/>
  <c r="BB27" i="71"/>
  <c r="BC27" i="71"/>
  <c r="BB19" i="71"/>
  <c r="BC19" i="71"/>
  <c r="BC17" i="71"/>
  <c r="J14" i="71"/>
  <c r="K13" i="71" s="1"/>
  <c r="BB9" i="71"/>
  <c r="J10" i="71"/>
  <c r="K9" i="71" s="1"/>
  <c r="J8" i="71"/>
  <c r="K7" i="71" s="1"/>
  <c r="BC7" i="71"/>
  <c r="BB7" i="71"/>
  <c r="BC9" i="72"/>
  <c r="J22" i="72"/>
  <c r="K21" i="72" s="1"/>
  <c r="J24" i="72"/>
  <c r="K23" i="72" s="1"/>
  <c r="R30" i="72"/>
  <c r="S29" i="72" s="1"/>
  <c r="R28" i="72"/>
  <c r="S27" i="72" s="1"/>
  <c r="BB27" i="72"/>
  <c r="R18" i="72"/>
  <c r="S17" i="72" s="1"/>
  <c r="BB17" i="72"/>
  <c r="R16" i="72"/>
  <c r="S15" i="72" s="1"/>
  <c r="R10" i="72"/>
  <c r="S9" i="72" s="1"/>
  <c r="Z16" i="72"/>
  <c r="AA15" i="72" s="1"/>
  <c r="BC15" i="72"/>
  <c r="Z18" i="72"/>
  <c r="AA17" i="72" s="1"/>
  <c r="Z24" i="72"/>
  <c r="AA23" i="72" s="1"/>
  <c r="Z26" i="72"/>
  <c r="AA25" i="72" s="1"/>
  <c r="Z28" i="72"/>
  <c r="AA27" i="72" s="1"/>
  <c r="Z30" i="72"/>
  <c r="AA29" i="72" s="1"/>
  <c r="AH24" i="72"/>
  <c r="AI23" i="72" s="1"/>
  <c r="AH22" i="72"/>
  <c r="AI21" i="72" s="1"/>
  <c r="AH20" i="72"/>
  <c r="AI19" i="72" s="1"/>
  <c r="AH14" i="72"/>
  <c r="AI13" i="72" s="1"/>
  <c r="AH10" i="72"/>
  <c r="AI9" i="72" s="1"/>
  <c r="AH8" i="72"/>
  <c r="AI7" i="72" s="1"/>
  <c r="AP14" i="72"/>
  <c r="AQ13" i="72" s="1"/>
  <c r="AP16" i="72"/>
  <c r="AQ15" i="72" s="1"/>
  <c r="AP18" i="72"/>
  <c r="AQ17" i="72" s="1"/>
  <c r="AP20" i="72"/>
  <c r="AQ19" i="72" s="1"/>
  <c r="AP24" i="72"/>
  <c r="AQ23" i="72" s="1"/>
  <c r="AP26" i="72"/>
  <c r="AQ25" i="72" s="1"/>
  <c r="AP28" i="72"/>
  <c r="AQ27" i="72" s="1"/>
  <c r="AP30" i="72"/>
  <c r="AQ29" i="72" s="1"/>
  <c r="AX30" i="72"/>
  <c r="AY29" i="72" s="1"/>
  <c r="AX26" i="72"/>
  <c r="AY25" i="72" s="1"/>
  <c r="AX24" i="72"/>
  <c r="AY23" i="72" s="1"/>
  <c r="AX8" i="72"/>
  <c r="AY7" i="72" s="1"/>
  <c r="AX10" i="72"/>
  <c r="AY9" i="72" s="1"/>
  <c r="BC11" i="72"/>
  <c r="BC19" i="72"/>
  <c r="AP22" i="72"/>
  <c r="AQ21" i="72" s="1"/>
  <c r="AP12" i="72"/>
  <c r="AQ11" i="72" s="1"/>
  <c r="AP10" i="72"/>
  <c r="AQ9" i="72" s="1"/>
  <c r="BC21" i="72"/>
  <c r="BC23" i="72"/>
  <c r="AH26" i="72"/>
  <c r="AI25" i="72" s="1"/>
  <c r="AH28" i="72"/>
  <c r="AI27" i="72" s="1"/>
  <c r="AI29" i="72"/>
  <c r="BC27" i="72"/>
  <c r="BC25" i="72"/>
  <c r="Z12" i="72"/>
  <c r="AA11" i="72" s="1"/>
  <c r="R26" i="72"/>
  <c r="S25" i="72" s="1"/>
  <c r="BB25" i="72"/>
  <c r="R24" i="72"/>
  <c r="S23" i="72" s="1"/>
  <c r="BB21" i="72"/>
  <c r="R20" i="72"/>
  <c r="S19" i="72" s="1"/>
  <c r="BB19" i="72"/>
  <c r="R12" i="72"/>
  <c r="S11" i="72" s="1"/>
  <c r="BB7" i="72"/>
  <c r="J26" i="72"/>
  <c r="K25" i="72" s="1"/>
  <c r="J20" i="72"/>
  <c r="K19" i="72" s="1"/>
  <c r="J18" i="72"/>
  <c r="K17" i="72" s="1"/>
  <c r="J16" i="72"/>
  <c r="K15" i="72" s="1"/>
  <c r="BC7" i="72"/>
  <c r="J8" i="72"/>
  <c r="K7" i="72" s="1"/>
  <c r="AL11" i="64" l="1"/>
  <c r="T16" i="74"/>
  <c r="T18" i="74"/>
  <c r="T25" i="74"/>
  <c r="AD57" i="68"/>
  <c r="BJ31" i="64" s="1"/>
  <c r="AF57" i="68"/>
  <c r="BJ34" i="64" s="1"/>
  <c r="AB57" i="68"/>
  <c r="BJ28" i="64" s="1"/>
  <c r="T19" i="74"/>
  <c r="C21" i="64"/>
  <c r="T23" i="74"/>
  <c r="C16" i="64"/>
  <c r="D18" i="64"/>
  <c r="T15" i="74"/>
  <c r="D17" i="64"/>
  <c r="D16" i="64"/>
  <c r="AE43" i="64"/>
  <c r="N73" i="69"/>
  <c r="N72" i="69"/>
  <c r="M73" i="69"/>
  <c r="M72" i="69"/>
  <c r="L73" i="69"/>
  <c r="L72" i="69"/>
  <c r="K73" i="69"/>
  <c r="K72" i="69"/>
  <c r="J73" i="69"/>
  <c r="J72" i="69"/>
  <c r="I73" i="69"/>
  <c r="I72" i="69"/>
  <c r="Q73" i="69"/>
  <c r="Q72" i="69"/>
  <c r="O73" i="69"/>
  <c r="O72" i="69"/>
  <c r="P73" i="69"/>
  <c r="P72" i="69"/>
  <c r="R73" i="69"/>
  <c r="R72" i="69"/>
  <c r="H73" i="69"/>
  <c r="H72" i="69"/>
  <c r="G74" i="69"/>
  <c r="O41" i="68"/>
  <c r="BG7" i="64" s="1"/>
  <c r="BK7" i="64" s="1"/>
  <c r="AE44" i="64"/>
  <c r="AX10" i="64"/>
  <c r="W10" i="73" s="1"/>
  <c r="AQ20" i="64"/>
  <c r="AQ38" i="64"/>
  <c r="AZ11" i="73"/>
  <c r="AA14" i="64"/>
  <c r="AQ10" i="64"/>
  <c r="BV10" i="64" s="1"/>
  <c r="Z43" i="64"/>
  <c r="AQ32" i="64"/>
  <c r="C19" i="64"/>
  <c r="C16" i="74"/>
  <c r="F16" i="74" s="1"/>
  <c r="CA43" i="64"/>
  <c r="AQ29" i="64"/>
  <c r="AQ34" i="64"/>
  <c r="BV34" i="64" s="1"/>
  <c r="AQ8" i="64"/>
  <c r="AQ22" i="64"/>
  <c r="BV22" i="64" s="1"/>
  <c r="AQ14" i="64"/>
  <c r="AQ16" i="64"/>
  <c r="BV16" i="64" s="1"/>
  <c r="CA31" i="64"/>
  <c r="AQ26" i="64"/>
  <c r="AQ40" i="64"/>
  <c r="BV40" i="64" s="1"/>
  <c r="CA13" i="64"/>
  <c r="BA15" i="72"/>
  <c r="AW19" i="64" s="1"/>
  <c r="AD34" i="64"/>
  <c r="AC35" i="64" s="1"/>
  <c r="AD28" i="64"/>
  <c r="AC29" i="64" s="1"/>
  <c r="AY13" i="64"/>
  <c r="AD13" i="64"/>
  <c r="AC14" i="64" s="1"/>
  <c r="AD19" i="64"/>
  <c r="AC20" i="64" s="1"/>
  <c r="AD22" i="64"/>
  <c r="AC23" i="64" s="1"/>
  <c r="AD31" i="64"/>
  <c r="AC32" i="64" s="1"/>
  <c r="AD16" i="64"/>
  <c r="AC17" i="64" s="1"/>
  <c r="BA23" i="71"/>
  <c r="AV31" i="64" s="1"/>
  <c r="AD37" i="64"/>
  <c r="AC38" i="64" s="1"/>
  <c r="AD10" i="64"/>
  <c r="AY10" i="64"/>
  <c r="AD25" i="64"/>
  <c r="AC26" i="64" s="1"/>
  <c r="AD40" i="64"/>
  <c r="AC41" i="64" s="1"/>
  <c r="AD7" i="64"/>
  <c r="AY7" i="64"/>
  <c r="AQ11" i="64"/>
  <c r="CA10" i="64"/>
  <c r="AL43" i="64"/>
  <c r="AL44" i="64" s="1"/>
  <c r="AQ19" i="64"/>
  <c r="BV19" i="64" s="1"/>
  <c r="CA7" i="64"/>
  <c r="AQ41" i="64"/>
  <c r="AQ37" i="64"/>
  <c r="BV37" i="64" s="1"/>
  <c r="AQ17" i="64"/>
  <c r="AQ31" i="64"/>
  <c r="BV31" i="64" s="1"/>
  <c r="AQ13" i="64"/>
  <c r="BV13" i="64" s="1"/>
  <c r="AQ28" i="64"/>
  <c r="BV28" i="64" s="1"/>
  <c r="AQ25" i="64"/>
  <c r="AX7" i="64"/>
  <c r="W9" i="73" s="1"/>
  <c r="AQ35" i="64"/>
  <c r="AQ7" i="64"/>
  <c r="BV7" i="64" s="1"/>
  <c r="AQ23" i="64"/>
  <c r="X43" i="64"/>
  <c r="C17" i="64"/>
  <c r="BA17" i="71"/>
  <c r="AV22" i="64" s="1"/>
  <c r="K29" i="71"/>
  <c r="BA11" i="71"/>
  <c r="AV13" i="64" s="1"/>
  <c r="AY29" i="71"/>
  <c r="AX28" i="71"/>
  <c r="AY27" i="71" s="1"/>
  <c r="BA27" i="71" s="1"/>
  <c r="AV37" i="64" s="1"/>
  <c r="Z22" i="72"/>
  <c r="AA21" i="72" s="1"/>
  <c r="BA21" i="72" s="1"/>
  <c r="AW28" i="64" s="1"/>
  <c r="BA9" i="71"/>
  <c r="AV10" i="64" s="1"/>
  <c r="BA17" i="72"/>
  <c r="AW22" i="64" s="1"/>
  <c r="BA9" i="72"/>
  <c r="AW10" i="64" s="1"/>
  <c r="BA13" i="71"/>
  <c r="AV16" i="64" s="1"/>
  <c r="J30" i="72"/>
  <c r="AH30" i="71"/>
  <c r="BA13" i="72"/>
  <c r="AW16" i="64" s="1"/>
  <c r="BA7" i="71"/>
  <c r="AV7" i="64" s="1"/>
  <c r="BA25" i="71"/>
  <c r="AV34" i="64" s="1"/>
  <c r="BA15" i="71"/>
  <c r="AV19" i="64" s="1"/>
  <c r="BA23" i="72"/>
  <c r="AW31" i="64" s="1"/>
  <c r="BA27" i="72"/>
  <c r="AW37" i="64" s="1"/>
  <c r="BA7" i="72"/>
  <c r="AW7" i="64" s="1"/>
  <c r="BA11" i="72"/>
  <c r="AW13" i="64" s="1"/>
  <c r="BA25" i="72"/>
  <c r="AW34" i="64" s="1"/>
  <c r="BA19" i="72"/>
  <c r="AW25" i="64" s="1"/>
  <c r="BV8" i="64" l="1"/>
  <c r="BV11" i="64"/>
  <c r="AJ7" i="64"/>
  <c r="BJ43" i="64"/>
  <c r="D21" i="64"/>
  <c r="D19" i="64"/>
  <c r="AJ10" i="64"/>
  <c r="D20" i="64"/>
  <c r="C24" i="64"/>
  <c r="H74" i="69"/>
  <c r="Q41" i="68"/>
  <c r="BG10" i="64" s="1"/>
  <c r="BK10" i="64" s="1"/>
  <c r="BM10" i="64" s="1"/>
  <c r="J74" i="69"/>
  <c r="U41" i="68"/>
  <c r="BG16" i="64" s="1"/>
  <c r="BK16" i="64" s="1"/>
  <c r="R74" i="69"/>
  <c r="AK41" i="68"/>
  <c r="BG40" i="64" s="1"/>
  <c r="BK40" i="64" s="1"/>
  <c r="K74" i="69"/>
  <c r="W41" i="68"/>
  <c r="BG19" i="64" s="1"/>
  <c r="BK19" i="64" s="1"/>
  <c r="P74" i="69"/>
  <c r="AG41" i="68"/>
  <c r="BG34" i="64" s="1"/>
  <c r="BK34" i="64" s="1"/>
  <c r="I74" i="69"/>
  <c r="S41" i="68"/>
  <c r="BG13" i="64" s="1"/>
  <c r="BK13" i="64" s="1"/>
  <c r="L74" i="69"/>
  <c r="Y41" i="68"/>
  <c r="BG22" i="64" s="1"/>
  <c r="BK22" i="64" s="1"/>
  <c r="O74" i="69"/>
  <c r="AE41" i="68"/>
  <c r="BG31" i="64" s="1"/>
  <c r="BK31" i="64" s="1"/>
  <c r="M74" i="69"/>
  <c r="AA41" i="68"/>
  <c r="BG25" i="64" s="1"/>
  <c r="BK25" i="64" s="1"/>
  <c r="Q74" i="69"/>
  <c r="AI41" i="68"/>
  <c r="BG37" i="64" s="1"/>
  <c r="BK37" i="64" s="1"/>
  <c r="N74" i="69"/>
  <c r="AC41" i="68"/>
  <c r="BG28" i="64" s="1"/>
  <c r="BK28" i="64" s="1"/>
  <c r="BM7" i="64"/>
  <c r="AQ43" i="64"/>
  <c r="BV43" i="64" s="1"/>
  <c r="AZ12" i="73"/>
  <c r="AA17" i="64"/>
  <c r="C17" i="74"/>
  <c r="F17" i="74" s="1"/>
  <c r="C22" i="64"/>
  <c r="AY16" i="64"/>
  <c r="T17" i="73"/>
  <c r="AC11" i="64"/>
  <c r="K10" i="73" s="1"/>
  <c r="H10" i="73" s="1"/>
  <c r="AC8" i="64"/>
  <c r="AQ44" i="64"/>
  <c r="T12" i="73"/>
  <c r="AB13" i="64"/>
  <c r="CA14" i="64"/>
  <c r="T10" i="73"/>
  <c r="K11" i="73"/>
  <c r="H11" i="73" s="1"/>
  <c r="T9" i="73"/>
  <c r="C20" i="64"/>
  <c r="T16" i="73"/>
  <c r="K29" i="72"/>
  <c r="BA29" i="72" s="1"/>
  <c r="T14" i="73"/>
  <c r="AI29" i="71"/>
  <c r="BA29" i="71" s="1"/>
  <c r="AV40" i="64" s="1"/>
  <c r="BV25" i="64"/>
  <c r="T13" i="73"/>
  <c r="T19" i="73"/>
  <c r="T11" i="73"/>
  <c r="T18" i="73"/>
  <c r="T15" i="73"/>
  <c r="AR7" i="64" l="1"/>
  <c r="D23" i="64"/>
  <c r="C27" i="64"/>
  <c r="D22" i="64"/>
  <c r="D24" i="64"/>
  <c r="BM13" i="64"/>
  <c r="AJ13" i="64"/>
  <c r="BG43" i="64"/>
  <c r="BK43" i="64" s="1"/>
  <c r="BL7" i="64"/>
  <c r="AD2" i="77" s="1"/>
  <c r="AR10" i="64"/>
  <c r="C18" i="74"/>
  <c r="F18" i="74" s="1"/>
  <c r="AA20" i="64"/>
  <c r="C25" i="64"/>
  <c r="AZ13" i="73"/>
  <c r="AY19" i="64"/>
  <c r="BW10" i="64"/>
  <c r="BW11" i="64" s="1"/>
  <c r="D10" i="73" s="1"/>
  <c r="F10" i="73" s="1"/>
  <c r="AF10" i="73" s="1"/>
  <c r="CA11" i="64"/>
  <c r="K9" i="73"/>
  <c r="BW7" i="64"/>
  <c r="BW8" i="64" s="1"/>
  <c r="D9" i="73" s="1"/>
  <c r="CA8" i="64"/>
  <c r="CB14" i="64"/>
  <c r="CB13" i="64"/>
  <c r="AB16" i="64"/>
  <c r="CA17" i="64"/>
  <c r="AX13" i="64"/>
  <c r="BV14" i="64" s="1"/>
  <c r="AW40" i="64"/>
  <c r="T20" i="73" s="1"/>
  <c r="K12" i="73"/>
  <c r="H12" i="73" s="1"/>
  <c r="C23" i="64"/>
  <c r="AV10" i="73"/>
  <c r="AG2" i="77" l="1"/>
  <c r="AE2" i="77"/>
  <c r="AF2" i="77"/>
  <c r="BA10" i="64"/>
  <c r="BA7" i="64"/>
  <c r="H9" i="73"/>
  <c r="AV9" i="73" s="1"/>
  <c r="D27" i="64"/>
  <c r="D25" i="64"/>
  <c r="C30" i="64"/>
  <c r="D26" i="64"/>
  <c r="AR13" i="64"/>
  <c r="AJ43" i="64"/>
  <c r="AJ16" i="64"/>
  <c r="BM16" i="64"/>
  <c r="BL10" i="64"/>
  <c r="AD3" i="77" s="1"/>
  <c r="C19" i="74"/>
  <c r="F19" i="74" s="1"/>
  <c r="AA23" i="64"/>
  <c r="AX16" i="64"/>
  <c r="C28" i="64"/>
  <c r="AZ14" i="73"/>
  <c r="AY22" i="64"/>
  <c r="CB11" i="64"/>
  <c r="CB10" i="64"/>
  <c r="CB8" i="64"/>
  <c r="CB7" i="64"/>
  <c r="F9" i="73"/>
  <c r="AF9" i="73" s="1"/>
  <c r="G10" i="73"/>
  <c r="AG10" i="73" s="1"/>
  <c r="W11" i="73"/>
  <c r="BW13" i="64"/>
  <c r="BW14" i="64" s="1"/>
  <c r="D11" i="73" s="1"/>
  <c r="F11" i="73" s="1"/>
  <c r="AF11" i="73" s="1"/>
  <c r="CA20" i="64"/>
  <c r="CB17" i="64"/>
  <c r="CB16" i="64"/>
  <c r="AB19" i="64"/>
  <c r="K13" i="73"/>
  <c r="H13" i="73" s="1"/>
  <c r="C26" i="64"/>
  <c r="AR16" i="64" l="1"/>
  <c r="BA13" i="64"/>
  <c r="G11" i="73"/>
  <c r="AG11" i="73" s="1"/>
  <c r="BV17" i="64"/>
  <c r="BW16" i="64" s="1"/>
  <c r="BW17" i="64" s="1"/>
  <c r="D12" i="73" s="1"/>
  <c r="F12" i="73" s="1"/>
  <c r="AF12" i="73" s="1"/>
  <c r="D29" i="64"/>
  <c r="C33" i="64"/>
  <c r="D28" i="64"/>
  <c r="D30" i="64"/>
  <c r="BL13" i="64"/>
  <c r="AD4" i="77" s="1"/>
  <c r="BM19" i="64"/>
  <c r="AJ19" i="64"/>
  <c r="BL16" i="64"/>
  <c r="AD5" i="77" s="1"/>
  <c r="W12" i="73"/>
  <c r="C20" i="74"/>
  <c r="F20" i="74" s="1"/>
  <c r="AA26" i="64"/>
  <c r="C31" i="64"/>
  <c r="E11" i="73"/>
  <c r="AN11" i="73" s="1"/>
  <c r="AU11" i="73" s="1"/>
  <c r="AZ15" i="73"/>
  <c r="AY25" i="64"/>
  <c r="G9" i="73"/>
  <c r="AG9" i="73" s="1"/>
  <c r="E10" i="73"/>
  <c r="AN10" i="73" s="1"/>
  <c r="AU10" i="73" s="1"/>
  <c r="CA23" i="64"/>
  <c r="CB20" i="64"/>
  <c r="CB19" i="64"/>
  <c r="AV11" i="73"/>
  <c r="AV12" i="73"/>
  <c r="AB22" i="64"/>
  <c r="K14" i="73"/>
  <c r="H14" i="73" s="1"/>
  <c r="C29" i="64"/>
  <c r="AX19" i="64"/>
  <c r="BV20" i="64" s="1"/>
  <c r="AR19" i="64" l="1"/>
  <c r="BA16" i="64"/>
  <c r="G12" i="73"/>
  <c r="AG12" i="73" s="1"/>
  <c r="AM11" i="73"/>
  <c r="AT11" i="73" s="1"/>
  <c r="AL10" i="73"/>
  <c r="AS10" i="73" s="1"/>
  <c r="D32" i="64"/>
  <c r="D33" i="64"/>
  <c r="D31" i="64"/>
  <c r="C36" i="64"/>
  <c r="BM22" i="64"/>
  <c r="AJ22" i="64"/>
  <c r="BL19" i="64"/>
  <c r="AD6" i="77" s="1"/>
  <c r="AJ11" i="73"/>
  <c r="AQ11" i="73" s="1"/>
  <c r="AI11" i="73"/>
  <c r="AP11" i="73" s="1"/>
  <c r="C21" i="74"/>
  <c r="F21" i="74" s="1"/>
  <c r="AA29" i="64"/>
  <c r="AL11" i="73"/>
  <c r="AS11" i="73" s="1"/>
  <c r="AK11" i="73"/>
  <c r="AR11" i="73" s="1"/>
  <c r="C34" i="64"/>
  <c r="AZ16" i="73"/>
  <c r="AY28" i="64"/>
  <c r="E9" i="73"/>
  <c r="AN9" i="73" s="1"/>
  <c r="AU9" i="73" s="1"/>
  <c r="AM10" i="73"/>
  <c r="AT10" i="73" s="1"/>
  <c r="E12" i="73"/>
  <c r="AN12" i="73" s="1"/>
  <c r="AU12" i="73" s="1"/>
  <c r="AJ10" i="73"/>
  <c r="AQ10" i="73" s="1"/>
  <c r="AI10" i="73"/>
  <c r="AP10" i="73" s="1"/>
  <c r="AK10" i="73"/>
  <c r="AR10" i="73" s="1"/>
  <c r="CA26" i="64"/>
  <c r="CB23" i="64"/>
  <c r="CB22" i="64"/>
  <c r="C32" i="64"/>
  <c r="AB25" i="64"/>
  <c r="K15" i="73"/>
  <c r="H15" i="73" s="1"/>
  <c r="AX22" i="64"/>
  <c r="BV23" i="64" s="1"/>
  <c r="W13" i="73"/>
  <c r="BW19" i="64"/>
  <c r="BW20" i="64" s="1"/>
  <c r="D13" i="73" s="1"/>
  <c r="AR22" i="64" l="1"/>
  <c r="BA19" i="64"/>
  <c r="F13" i="73"/>
  <c r="AF13" i="73" s="1"/>
  <c r="AI12" i="73"/>
  <c r="AP12" i="73" s="1"/>
  <c r="AL9" i="73"/>
  <c r="AS9" i="73" s="1"/>
  <c r="AM9" i="73"/>
  <c r="AT9" i="73" s="1"/>
  <c r="D35" i="64"/>
  <c r="C39" i="64"/>
  <c r="D34" i="64"/>
  <c r="D36" i="64"/>
  <c r="BM25" i="64"/>
  <c r="AJ25" i="64"/>
  <c r="BL22" i="64"/>
  <c r="AD7" i="77" s="1"/>
  <c r="C22" i="74"/>
  <c r="F22" i="74" s="1"/>
  <c r="AA32" i="64"/>
  <c r="AW11" i="73"/>
  <c r="AE11" i="73" s="1"/>
  <c r="AD11" i="73" s="1"/>
  <c r="C37" i="64"/>
  <c r="AI9" i="73"/>
  <c r="AP9" i="73" s="1"/>
  <c r="AZ17" i="73"/>
  <c r="AY31" i="64"/>
  <c r="AJ9" i="73"/>
  <c r="AQ9" i="73" s="1"/>
  <c r="AK9" i="73"/>
  <c r="AR9" i="73" s="1"/>
  <c r="AJ12" i="73"/>
  <c r="AQ12" i="73" s="1"/>
  <c r="AK12" i="73"/>
  <c r="AR12" i="73" s="1"/>
  <c r="AL12" i="73"/>
  <c r="AS12" i="73" s="1"/>
  <c r="AM12" i="73"/>
  <c r="AT12" i="73" s="1"/>
  <c r="AW10" i="73"/>
  <c r="AE10" i="73" s="1"/>
  <c r="AD10" i="73" s="1"/>
  <c r="CB26" i="64"/>
  <c r="CB25" i="64"/>
  <c r="CA29" i="64"/>
  <c r="W14" i="73"/>
  <c r="BW22" i="64"/>
  <c r="BW23" i="64" s="1"/>
  <c r="D14" i="73" s="1"/>
  <c r="AV13" i="73"/>
  <c r="AX25" i="64"/>
  <c r="BV26" i="64" s="1"/>
  <c r="AB28" i="64"/>
  <c r="K16" i="73"/>
  <c r="H16" i="73" s="1"/>
  <c r="C35" i="64"/>
  <c r="AR25" i="64" l="1"/>
  <c r="E13" i="73"/>
  <c r="BA22" i="64"/>
  <c r="G13" i="73"/>
  <c r="AG13" i="73" s="1"/>
  <c r="F14" i="73"/>
  <c r="AF14" i="73" s="1"/>
  <c r="D38" i="64"/>
  <c r="D39" i="64"/>
  <c r="D37" i="64"/>
  <c r="C42" i="64"/>
  <c r="BM28" i="64"/>
  <c r="AJ28" i="64"/>
  <c r="BL25" i="64"/>
  <c r="AD8" i="77" s="1"/>
  <c r="C23" i="74"/>
  <c r="F23" i="74" s="1"/>
  <c r="AA35" i="64"/>
  <c r="C40" i="64"/>
  <c r="AZ18" i="73"/>
  <c r="AY34" i="64"/>
  <c r="AW9" i="73"/>
  <c r="AE9" i="73" s="1"/>
  <c r="AD9" i="73" s="1"/>
  <c r="AW12" i="73"/>
  <c r="AE12" i="73" s="1"/>
  <c r="AD12" i="73" s="1"/>
  <c r="CB29" i="64"/>
  <c r="CB28" i="64"/>
  <c r="CA32" i="64"/>
  <c r="W15" i="73"/>
  <c r="BW25" i="64"/>
  <c r="BW26" i="64" s="1"/>
  <c r="D15" i="73" s="1"/>
  <c r="AB31" i="64"/>
  <c r="K17" i="73"/>
  <c r="H17" i="73" s="1"/>
  <c r="C38" i="64"/>
  <c r="AX28" i="64"/>
  <c r="BV29" i="64" s="1"/>
  <c r="AV14" i="73"/>
  <c r="AR28" i="64" l="1"/>
  <c r="AN13" i="73"/>
  <c r="AU13" i="73" s="1"/>
  <c r="AJ13" i="73"/>
  <c r="AQ13" i="73" s="1"/>
  <c r="AI13" i="73"/>
  <c r="AP13" i="73" s="1"/>
  <c r="AW13" i="73" s="1"/>
  <c r="AE13" i="73" s="1"/>
  <c r="AD13" i="73" s="1"/>
  <c r="AM13" i="73"/>
  <c r="AT13" i="73" s="1"/>
  <c r="AL13" i="73"/>
  <c r="AS13" i="73" s="1"/>
  <c r="AK13" i="73"/>
  <c r="AR13" i="73" s="1"/>
  <c r="BA25" i="64"/>
  <c r="G14" i="73"/>
  <c r="AG14" i="73" s="1"/>
  <c r="F15" i="73"/>
  <c r="AF15" i="73" s="1"/>
  <c r="E14" i="73"/>
  <c r="D41" i="64"/>
  <c r="C45" i="64"/>
  <c r="D40" i="64"/>
  <c r="D43" i="64"/>
  <c r="D42" i="64"/>
  <c r="BM31" i="64"/>
  <c r="AJ31" i="64"/>
  <c r="BL28" i="64"/>
  <c r="AD9" i="77" s="1"/>
  <c r="C24" i="74"/>
  <c r="F24" i="74" s="1"/>
  <c r="AA38" i="64"/>
  <c r="C43" i="64"/>
  <c r="AZ19" i="73"/>
  <c r="AY37" i="64"/>
  <c r="CA35" i="64"/>
  <c r="CB32" i="64"/>
  <c r="CB31" i="64"/>
  <c r="W16" i="73"/>
  <c r="BW28" i="64"/>
  <c r="BW29" i="64" s="1"/>
  <c r="D16" i="73" s="1"/>
  <c r="AV15" i="73"/>
  <c r="AX31" i="64"/>
  <c r="BV32" i="64" s="1"/>
  <c r="AB34" i="64"/>
  <c r="K18" i="73"/>
  <c r="H18" i="73" s="1"/>
  <c r="C41" i="64"/>
  <c r="AR31" i="64" l="1"/>
  <c r="BA28" i="64"/>
  <c r="G15" i="73"/>
  <c r="AG15" i="73" s="1"/>
  <c r="F16" i="73"/>
  <c r="G16" i="73" s="1"/>
  <c r="AG16" i="73" s="1"/>
  <c r="AN14" i="73"/>
  <c r="AU14" i="73" s="1"/>
  <c r="AJ14" i="73"/>
  <c r="AQ14" i="73" s="1"/>
  <c r="AK14" i="73"/>
  <c r="AR14" i="73" s="1"/>
  <c r="AM14" i="73"/>
  <c r="AT14" i="73" s="1"/>
  <c r="AL14" i="73"/>
  <c r="AS14" i="73" s="1"/>
  <c r="AI14" i="73"/>
  <c r="AP14" i="73" s="1"/>
  <c r="AW14" i="73" s="1"/>
  <c r="AE14" i="73" s="1"/>
  <c r="AD14" i="73" s="1"/>
  <c r="E15" i="73"/>
  <c r="D44" i="64"/>
  <c r="D45" i="64"/>
  <c r="BM34" i="64"/>
  <c r="AJ34" i="64"/>
  <c r="BL31" i="64"/>
  <c r="AD10" i="77" s="1"/>
  <c r="C25" i="74"/>
  <c r="F25" i="74" s="1"/>
  <c r="AA41" i="64"/>
  <c r="AZ20" i="73"/>
  <c r="AY40" i="64"/>
  <c r="CA38" i="64"/>
  <c r="CB34" i="64"/>
  <c r="CB35" i="64"/>
  <c r="AB37" i="64"/>
  <c r="K19" i="73"/>
  <c r="H19" i="73" s="1"/>
  <c r="AV16" i="73"/>
  <c r="W17" i="73"/>
  <c r="AV17" i="73" s="1"/>
  <c r="BW31" i="64"/>
  <c r="BW32" i="64" s="1"/>
  <c r="D17" i="73" s="1"/>
  <c r="AX34" i="64"/>
  <c r="BV35" i="64" s="1"/>
  <c r="C44" i="64"/>
  <c r="AA44" i="64" s="1"/>
  <c r="AR34" i="64" l="1"/>
  <c r="BA31" i="64"/>
  <c r="F17" i="73"/>
  <c r="AF17" i="73" s="1"/>
  <c r="AN15" i="73"/>
  <c r="AU15" i="73" s="1"/>
  <c r="AM15" i="73"/>
  <c r="AT15" i="73" s="1"/>
  <c r="AJ15" i="73"/>
  <c r="AQ15" i="73" s="1"/>
  <c r="AK15" i="73"/>
  <c r="AR15" i="73" s="1"/>
  <c r="AI15" i="73"/>
  <c r="AP15" i="73" s="1"/>
  <c r="AW15" i="73" s="1"/>
  <c r="AE15" i="73" s="1"/>
  <c r="AD15" i="73" s="1"/>
  <c r="AL15" i="73"/>
  <c r="AS15" i="73" s="1"/>
  <c r="AF16" i="73"/>
  <c r="E16" i="73"/>
  <c r="BM37" i="64"/>
  <c r="AJ37" i="64"/>
  <c r="BL34" i="64"/>
  <c r="AD11" i="77" s="1"/>
  <c r="AZ21" i="73"/>
  <c r="AY43" i="64"/>
  <c r="AB40" i="64"/>
  <c r="K20" i="73"/>
  <c r="H20" i="73" s="1"/>
  <c r="CA41" i="64"/>
  <c r="CB38" i="64"/>
  <c r="CB37" i="64"/>
  <c r="W18" i="73"/>
  <c r="BW34" i="64"/>
  <c r="BW35" i="64" s="1"/>
  <c r="D18" i="73" s="1"/>
  <c r="AX37" i="64"/>
  <c r="BV38" i="64" s="1"/>
  <c r="E17" i="73" l="1"/>
  <c r="AN17" i="73" s="1"/>
  <c r="AU17" i="73" s="1"/>
  <c r="AR37" i="64"/>
  <c r="BL37" i="64" s="1"/>
  <c r="AD12" i="77" s="1"/>
  <c r="BA34" i="64"/>
  <c r="AL17" i="73"/>
  <c r="AS17" i="73" s="1"/>
  <c r="AK17" i="73"/>
  <c r="AR17" i="73" s="1"/>
  <c r="F18" i="73"/>
  <c r="AF18" i="73" s="1"/>
  <c r="AI17" i="73"/>
  <c r="AP17" i="73" s="1"/>
  <c r="AW17" i="73" s="1"/>
  <c r="AE17" i="73" s="1"/>
  <c r="AD17" i="73" s="1"/>
  <c r="G17" i="73"/>
  <c r="AG17" i="73" s="1"/>
  <c r="AN16" i="73"/>
  <c r="AU16" i="73" s="1"/>
  <c r="AL16" i="73"/>
  <c r="AS16" i="73" s="1"/>
  <c r="AM16" i="73"/>
  <c r="AT16" i="73" s="1"/>
  <c r="AK16" i="73"/>
  <c r="AR16" i="73" s="1"/>
  <c r="AI16" i="73"/>
  <c r="AP16" i="73" s="1"/>
  <c r="AW16" i="73" s="1"/>
  <c r="AE16" i="73" s="1"/>
  <c r="AD16" i="73" s="1"/>
  <c r="AJ16" i="73"/>
  <c r="AQ16" i="73" s="1"/>
  <c r="AM17" i="73"/>
  <c r="AT17" i="73" s="1"/>
  <c r="BM40" i="64"/>
  <c r="AJ40" i="64"/>
  <c r="AX40" i="64"/>
  <c r="CB41" i="64"/>
  <c r="CB40" i="64"/>
  <c r="AB43" i="64"/>
  <c r="CA44" i="64"/>
  <c r="K21" i="73"/>
  <c r="H21" i="73" s="1"/>
  <c r="W19" i="73"/>
  <c r="BW37" i="64"/>
  <c r="BW38" i="64" s="1"/>
  <c r="D19" i="73" s="1"/>
  <c r="AV18" i="73"/>
  <c r="AJ17" i="73" l="1"/>
  <c r="AQ17" i="73" s="1"/>
  <c r="BA37" i="64"/>
  <c r="G18" i="73"/>
  <c r="AG18" i="73" s="1"/>
  <c r="F19" i="73"/>
  <c r="AF19" i="73" s="1"/>
  <c r="E18" i="73"/>
  <c r="BV41" i="64"/>
  <c r="BW40" i="64" s="1"/>
  <c r="BW41" i="64" s="1"/>
  <c r="D20" i="73" s="1"/>
  <c r="F20" i="73" s="1"/>
  <c r="AF20" i="73" s="1"/>
  <c r="W20" i="73"/>
  <c r="AV20" i="73" s="1"/>
  <c r="AR43" i="64"/>
  <c r="BA43" i="64" s="1"/>
  <c r="BM43" i="64"/>
  <c r="AR40" i="64"/>
  <c r="AX43" i="64"/>
  <c r="CB43" i="64"/>
  <c r="CB44" i="64"/>
  <c r="AV19" i="73"/>
  <c r="BA40" i="64" l="1"/>
  <c r="E19" i="73"/>
  <c r="AJ19" i="73" s="1"/>
  <c r="AQ19" i="73" s="1"/>
  <c r="AN18" i="73"/>
  <c r="AU18" i="73" s="1"/>
  <c r="AI18" i="73"/>
  <c r="AP18" i="73" s="1"/>
  <c r="AW18" i="73" s="1"/>
  <c r="AE18" i="73" s="1"/>
  <c r="AD18" i="73" s="1"/>
  <c r="AM18" i="73"/>
  <c r="AT18" i="73" s="1"/>
  <c r="AJ18" i="73"/>
  <c r="AQ18" i="73" s="1"/>
  <c r="AK18" i="73"/>
  <c r="AR18" i="73" s="1"/>
  <c r="AL18" i="73"/>
  <c r="AS18" i="73" s="1"/>
  <c r="G20" i="73"/>
  <c r="AG20" i="73" s="1"/>
  <c r="G19" i="73"/>
  <c r="AG19" i="73" s="1"/>
  <c r="BV44" i="64"/>
  <c r="BW43" i="64" s="1"/>
  <c r="BW44" i="64" s="1"/>
  <c r="BL40" i="64"/>
  <c r="AD13" i="77" s="1"/>
  <c r="BL43" i="64"/>
  <c r="W21" i="73"/>
  <c r="E20" i="73"/>
  <c r="AN20" i="73" s="1"/>
  <c r="AU20" i="73" s="1"/>
  <c r="AN19" i="73" l="1"/>
  <c r="AU19" i="73" s="1"/>
  <c r="AM19" i="73"/>
  <c r="AT19" i="73" s="1"/>
  <c r="AI19" i="73"/>
  <c r="AP19" i="73" s="1"/>
  <c r="AW19" i="73" s="1"/>
  <c r="AE19" i="73" s="1"/>
  <c r="AD19" i="73" s="1"/>
  <c r="AL19" i="73"/>
  <c r="AS19" i="73" s="1"/>
  <c r="AK19" i="73"/>
  <c r="AR19" i="73" s="1"/>
  <c r="D21" i="73"/>
  <c r="AI20" i="73"/>
  <c r="AP20" i="73" s="1"/>
  <c r="AM20" i="73"/>
  <c r="AT20" i="73" s="1"/>
  <c r="AL20" i="73"/>
  <c r="AS20" i="73" s="1"/>
  <c r="AK20" i="73"/>
  <c r="AR20" i="73" s="1"/>
  <c r="AJ20" i="73"/>
  <c r="AQ20" i="73" s="1"/>
  <c r="F21" i="73" l="1"/>
  <c r="AF21" i="73" s="1"/>
  <c r="O49" i="64" s="1"/>
  <c r="W51" i="64"/>
  <c r="W52" i="64" s="1"/>
  <c r="W53" i="64" s="1"/>
  <c r="V51" i="64"/>
  <c r="V52" i="64" s="1"/>
  <c r="V53" i="64" s="1"/>
  <c r="U51" i="64"/>
  <c r="U52" i="64" s="1"/>
  <c r="U53" i="64" s="1"/>
  <c r="X51" i="64"/>
  <c r="X52" i="64" s="1"/>
  <c r="X53" i="64" s="1"/>
  <c r="T51" i="64"/>
  <c r="T52" i="64" s="1"/>
  <c r="T53" i="64" s="1"/>
  <c r="V49" i="64"/>
  <c r="G21" i="73"/>
  <c r="AG21" i="73" s="1"/>
  <c r="Q49" i="64" s="1"/>
  <c r="AV21" i="73"/>
  <c r="AW20" i="73"/>
  <c r="AE20" i="73" s="1"/>
  <c r="AD20" i="73" s="1"/>
  <c r="E21" i="73" l="1"/>
  <c r="AN21" i="73" l="1"/>
  <c r="AU21" i="73" s="1"/>
  <c r="AK21" i="73"/>
  <c r="AR21" i="73" s="1"/>
  <c r="AJ21" i="73"/>
  <c r="AQ21" i="73" s="1"/>
  <c r="AL21" i="73"/>
  <c r="AS21" i="73" s="1"/>
  <c r="AM21" i="73"/>
  <c r="AT21" i="73" s="1"/>
  <c r="AI21" i="73"/>
  <c r="AP21" i="73" s="1"/>
  <c r="AW21" i="73" l="1"/>
  <c r="AE21" i="73" s="1"/>
  <c r="AD21" i="73" l="1"/>
  <c r="M49" i="6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Jyumpei Watanabe</author>
  </authors>
  <commentList>
    <comment ref="AI8" authorId="0" shapeId="0" xr:uid="{677C79C1-3A12-4E26-B997-5CCCC4B6DBF9}">
      <text>
        <r>
          <rPr>
            <b/>
            <sz val="9"/>
            <color indexed="81"/>
            <rFont val="MS P ゴシック"/>
            <family val="3"/>
            <charset val="128"/>
          </rPr>
          <t>（③+…）のパターン</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Kyoto</author>
    <author>kyoto</author>
    <author>Jyumpei Watanabe</author>
    <author>tanaka</author>
    <author>なかたに</author>
  </authors>
  <commentList>
    <comment ref="AK3" authorId="0" shapeId="0" xr:uid="{19337D90-020E-4E1B-BED4-BC1702CAA797}">
      <text>
        <r>
          <rPr>
            <b/>
            <sz val="11"/>
            <color indexed="81"/>
            <rFont val="BIZ UDPゴシック"/>
            <family val="3"/>
            <charset val="128"/>
          </rPr>
          <t>国において年齢別配置基準の見直しが行われたことを受けて1号児童の配置基準を定める条例を改正しましたが、保育・教育の提供に支障がある場合、当分の間は適用しない経過措置があります。そのため、⑥と⑥´が一致しないことがありますが、⑥´未満でも、⑥以上であれば、直ちに配置不足となるものではありません。</t>
        </r>
      </text>
    </comment>
    <comment ref="BE3" authorId="1" shapeId="0" xr:uid="{00000000-0006-0000-0000-000004000000}">
      <text>
        <r>
          <rPr>
            <sz val="10"/>
            <color indexed="81"/>
            <rFont val="ＭＳ Ｐゴシック"/>
            <family val="3"/>
            <charset val="128"/>
          </rPr>
          <t>・幼稚園教諭免許又は保育士資格保有者が対象
・療育支援加算の補助職員(保育士資格有り)も対象</t>
        </r>
      </text>
    </comment>
    <comment ref="C4" authorId="2" shapeId="0" xr:uid="{7BABC83E-E96D-444E-828D-61CF5831088B}">
      <text>
        <r>
          <rPr>
            <b/>
            <sz val="9"/>
            <color indexed="10"/>
            <rFont val="MS P ゴシック"/>
            <family val="3"/>
            <charset val="128"/>
          </rPr>
          <t xml:space="preserve">利用定員の変更があった場合は、数式を壊して、
数値を直接入力して下さい。
</t>
        </r>
        <r>
          <rPr>
            <b/>
            <sz val="9"/>
            <color indexed="81"/>
            <rFont val="MS P ゴシック"/>
            <family val="3"/>
            <charset val="128"/>
          </rPr>
          <t xml:space="preserve">
</t>
        </r>
        <r>
          <rPr>
            <sz val="9"/>
            <color indexed="81"/>
            <rFont val="MS P ゴシック"/>
            <family val="3"/>
            <charset val="128"/>
          </rPr>
          <t>例）6月1日付で定員変更⇒6月分の定員を修正
（以降の月は、前月数値を自動引用されます）</t>
        </r>
      </text>
    </comment>
    <comment ref="D4" authorId="2" shapeId="0" xr:uid="{5907F17E-6A91-4B8A-902D-2DED3715F7E5}">
      <text>
        <r>
          <rPr>
            <b/>
            <sz val="9"/>
            <color indexed="81"/>
            <rFont val="MS P ゴシック"/>
            <family val="3"/>
            <charset val="128"/>
          </rPr>
          <t>同左</t>
        </r>
      </text>
    </comment>
    <comment ref="AS4" authorId="1" shapeId="0" xr:uid="{8168C58F-8202-47B2-ABDB-B5B67BB3E13B}">
      <text>
        <r>
          <rPr>
            <b/>
            <u/>
            <sz val="11"/>
            <color indexed="10"/>
            <rFont val="ＭＳ Ｐゴシック"/>
            <family val="3"/>
            <charset val="128"/>
          </rPr>
          <t>１号児童分、２・３号児童分ごとに、</t>
        </r>
        <r>
          <rPr>
            <b/>
            <sz val="11"/>
            <color indexed="81"/>
            <rFont val="ＭＳ Ｐゴシック"/>
            <family val="3"/>
            <charset val="128"/>
          </rPr>
          <t>少数点第1位まで入力してください。　
区分1⇒1、区分2⇒0.6、区分3⇒0.5、区分4⇒0.3、区分5⇒0.2
※認定されている月ごとに記載してください。（例：６月に入所し、同月から区分１が適用→６月から１を記載）</t>
        </r>
        <r>
          <rPr>
            <b/>
            <sz val="9"/>
            <color indexed="81"/>
            <rFont val="ＭＳ Ｐゴシック"/>
            <family val="3"/>
            <charset val="128"/>
          </rPr>
          <t xml:space="preserve">
</t>
        </r>
      </text>
    </comment>
    <comment ref="BH4" authorId="3" shapeId="0" xr:uid="{00000000-0006-0000-0000-00000B000000}">
      <text>
        <r>
          <rPr>
            <b/>
            <sz val="11"/>
            <color indexed="81"/>
            <rFont val="MS P ゴシック"/>
            <family val="3"/>
            <charset val="128"/>
          </rPr>
          <t>【教育補助者】</t>
        </r>
        <r>
          <rPr>
            <sz val="11"/>
            <color indexed="81"/>
            <rFont val="MS P ゴシック"/>
            <family val="3"/>
            <charset val="128"/>
          </rPr>
          <t xml:space="preserve">
　幼稚園教諭の免許状を有するが教諭等の発令を受けていない者
　※⑦チーム保育加配人数の範囲内で職員としてカウントできます。</t>
        </r>
      </text>
    </comment>
    <comment ref="BM4" authorId="0" shapeId="0" xr:uid="{08393987-C5F8-4FD5-B2D0-9B5802EF81B0}">
      <text>
        <r>
          <rPr>
            <b/>
            <u/>
            <sz val="11"/>
            <color indexed="10"/>
            <rFont val="BIZ UDPゴシック"/>
            <family val="3"/>
            <charset val="128"/>
          </rPr>
          <t xml:space="preserve">
この欄だけがマイナス値の場合について、直ちに減算の対象となるわけではありません。
（⑥´上のメモ参照）</t>
        </r>
      </text>
    </comment>
    <comment ref="BO4" authorId="4" shapeId="0" xr:uid="{00000000-0006-0000-0000-00000A000000}">
      <text>
        <r>
          <rPr>
            <b/>
            <sz val="8"/>
            <color indexed="81"/>
            <rFont val="MS P ゴシック"/>
            <family val="3"/>
            <charset val="128"/>
          </rPr>
          <t>実施している場合は，以下の数字を入力。
〇週5日：2.0、〇週4日：1.6、〇週3日：1.2、〇週2日：0.8、〇週1日：0.4
※保育園と一体的に実施し、本体保育の保育士による支援が受けられる場合は、以下
○週5日：1.0、〇週4日：0.8、〇週3日：0.6、〇週2日：0.4、〇週1日：0.2　</t>
        </r>
      </text>
    </comment>
    <comment ref="BL5" authorId="0" shapeId="0" xr:uid="{604E00AD-6001-4AD6-980B-5B699A162C1A}">
      <text>
        <r>
          <rPr>
            <b/>
            <u/>
            <sz val="11"/>
            <color indexed="10"/>
            <rFont val="BIZ UDPゴシック"/>
            <family val="3"/>
            <charset val="128"/>
          </rPr>
          <t>【注意】
この欄は、現在の実配置数が、必置職員数（条例で定める配置基準）や給付費の加算要件を満たしているかを示しています。
マイナスの場合は、配置基準を満たしていないか、給付費の加算の適用ができません。
※人件費等補助金の補助算定職員数との関連を示したものではありません。これについては、本表の下部を御確認ください。</t>
        </r>
      </text>
    </comment>
    <comment ref="BG6" authorId="0" shapeId="0" xr:uid="{00000000-0006-0000-0000-00000C000000}">
      <text>
        <r>
          <rPr>
            <b/>
            <sz val="9"/>
            <color indexed="81"/>
            <rFont val="MS P ゴシック"/>
            <family val="3"/>
            <charset val="128"/>
          </rPr>
          <t>教職員としてみなすことのできる保健師、看護師又は准看護師を含む。</t>
        </r>
      </text>
    </comment>
    <comment ref="J7" authorId="1" shapeId="0" xr:uid="{E1121B11-7740-4185-84AE-B1C1309C338D}">
      <text>
        <r>
          <rPr>
            <b/>
            <sz val="10"/>
            <color indexed="81"/>
            <rFont val="ＭＳ Ｐゴシック"/>
            <family val="3"/>
            <charset val="128"/>
          </rPr>
          <t>満3歳児を除く。</t>
        </r>
      </text>
    </comment>
    <comment ref="S7" authorId="1" shapeId="0" xr:uid="{CE2FCFDF-1830-4605-BA5A-94DD70F07D8D}">
      <text>
        <r>
          <rPr>
            <b/>
            <sz val="10"/>
            <color indexed="81"/>
            <rFont val="ＭＳ Ｐゴシック"/>
            <family val="3"/>
            <charset val="128"/>
          </rPr>
          <t>満3歳児を除く。</t>
        </r>
      </text>
    </comment>
    <comment ref="G9" authorId="1" shapeId="0" xr:uid="{36AD28CD-D088-4830-B660-B1578CA06D25}">
      <text>
        <r>
          <rPr>
            <b/>
            <sz val="9"/>
            <color indexed="81"/>
            <rFont val="ＭＳ Ｐゴシック"/>
            <family val="3"/>
            <charset val="128"/>
          </rPr>
          <t>令和5年8</t>
        </r>
        <r>
          <rPr>
            <b/>
            <sz val="9"/>
            <color indexed="12"/>
            <rFont val="ＭＳ Ｐゴシック"/>
            <family val="3"/>
            <charset val="128"/>
          </rPr>
          <t>月3日</t>
        </r>
        <r>
          <rPr>
            <b/>
            <sz val="9"/>
            <color indexed="81"/>
            <rFont val="ＭＳ Ｐゴシック"/>
            <family val="3"/>
            <charset val="128"/>
          </rPr>
          <t>から
令和6年4</t>
        </r>
        <r>
          <rPr>
            <b/>
            <sz val="9"/>
            <color indexed="12"/>
            <rFont val="ＭＳ Ｐゴシック"/>
            <family val="3"/>
            <charset val="128"/>
          </rPr>
          <t>月1日</t>
        </r>
        <r>
          <rPr>
            <b/>
            <sz val="9"/>
            <color indexed="81"/>
            <rFont val="ＭＳ Ｐゴシック"/>
            <family val="3"/>
            <charset val="128"/>
          </rPr>
          <t>までの間に
生まれた児童数</t>
        </r>
      </text>
    </comment>
    <comment ref="P9" authorId="1" shapeId="0" xr:uid="{F5DCD4C0-275F-4712-896E-EB2065288D14}">
      <text>
        <r>
          <rPr>
            <b/>
            <sz val="9"/>
            <color indexed="81"/>
            <rFont val="ＭＳ Ｐゴシック"/>
            <family val="3"/>
            <charset val="128"/>
          </rPr>
          <t>令和5年8</t>
        </r>
        <r>
          <rPr>
            <b/>
            <sz val="9"/>
            <color indexed="12"/>
            <rFont val="ＭＳ Ｐゴシック"/>
            <family val="3"/>
            <charset val="128"/>
          </rPr>
          <t>月3日</t>
        </r>
        <r>
          <rPr>
            <b/>
            <sz val="9"/>
            <color indexed="81"/>
            <rFont val="ＭＳ Ｐゴシック"/>
            <family val="3"/>
            <charset val="128"/>
          </rPr>
          <t>から
令和6年4</t>
        </r>
        <r>
          <rPr>
            <b/>
            <sz val="9"/>
            <color indexed="12"/>
            <rFont val="ＭＳ Ｐゴシック"/>
            <family val="3"/>
            <charset val="128"/>
          </rPr>
          <t>月1日</t>
        </r>
        <r>
          <rPr>
            <b/>
            <sz val="9"/>
            <color indexed="81"/>
            <rFont val="ＭＳ Ｐゴシック"/>
            <family val="3"/>
            <charset val="128"/>
          </rPr>
          <t>までの間に
生まれた児童数</t>
        </r>
      </text>
    </comment>
    <comment ref="R53" authorId="2" shapeId="0" xr:uid="{2177CEB5-3BD7-4288-9D02-6B850E26A0FF}">
      <text>
        <r>
          <rPr>
            <sz val="9"/>
            <color indexed="81"/>
            <rFont val="MS P ゴシック"/>
            <family val="3"/>
            <charset val="128"/>
          </rPr>
          <t>10月から雇用開始なら、「10」を選択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K12" authorId="0" shapeId="0" xr:uid="{A6F23572-1A1A-4F06-A520-95D8648C5F85}">
      <text>
        <r>
          <rPr>
            <b/>
            <sz val="9"/>
            <color indexed="81"/>
            <rFont val="MS P ゴシック"/>
            <family val="3"/>
            <charset val="128"/>
          </rPr>
          <t>Kyoto:</t>
        </r>
        <r>
          <rPr>
            <sz val="9"/>
            <color indexed="81"/>
            <rFont val="MS P ゴシック"/>
            <family val="3"/>
            <charset val="128"/>
          </rPr>
          <t xml:space="preserve">
1・2号の利用定員が36人以上300人以下の施設が対象</t>
        </r>
      </text>
    </comment>
    <comment ref="M12" authorId="0" shapeId="0" xr:uid="{DCB7D9AC-38D8-4E43-A2E0-BB25B8BB075E}">
      <text>
        <r>
          <rPr>
            <sz val="9"/>
            <color indexed="81"/>
            <rFont val="MS P ゴシック"/>
            <family val="3"/>
            <charset val="128"/>
          </rPr>
          <t>主幹保育教諭等を専任化するための代替保育教諭等として非常勤講師等を充てることが可能です。ただし、本園・分園ごとに、2名の専任化が必要な場合（＝１号子どもと２号子どものどちらもがいる場合）につき1名が上限。
該当する非常勤講師等がいない場合は「0」を選択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小林</author>
  </authors>
  <commentList>
    <comment ref="C7" authorId="0" shapeId="0" xr:uid="{00000000-0006-0000-0100-000001000000}">
      <text>
        <r>
          <rPr>
            <b/>
            <sz val="9"/>
            <color indexed="81"/>
            <rFont val="MS P ゴシック"/>
            <family val="3"/>
            <charset val="128"/>
          </rPr>
          <t>本園の標準時間利用児童の内訳を入力してください。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小林</author>
  </authors>
  <commentList>
    <comment ref="C7" authorId="0" shapeId="0" xr:uid="{00000000-0006-0000-0200-000001000000}">
      <text>
        <r>
          <rPr>
            <b/>
            <sz val="9"/>
            <color indexed="81"/>
            <rFont val="MS P ゴシック"/>
            <family val="3"/>
            <charset val="128"/>
          </rPr>
          <t>本園の標準時間利用児童の内訳を入力してください。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Kyoto</author>
    <author>nakajo</author>
    <author>tanaka-y</author>
    <author>Sai</author>
    <author>SUZUKI</author>
  </authors>
  <commentList>
    <comment ref="B6" authorId="0" shapeId="0" xr:uid="{00000000-0006-0000-0300-000001000000}">
      <text>
        <r>
          <rPr>
            <b/>
            <sz val="18"/>
            <color indexed="10"/>
            <rFont val="MS P ゴシック"/>
            <family val="3"/>
            <charset val="128"/>
          </rPr>
          <t>本園に専従の常勤保育士以外の職員は入力しないでください。
（他の保育所又は社会福祉施設等と兼務している常勤保育士は、本シートではなく、様式３に入力してください）
また、園長は含めません。</t>
        </r>
      </text>
    </comment>
    <comment ref="G6" authorId="0" shapeId="0" xr:uid="{00000000-0006-0000-0300-000002000000}">
      <text>
        <r>
          <rPr>
            <b/>
            <sz val="12"/>
            <color indexed="81"/>
            <rFont val="MS P ゴシック"/>
            <family val="3"/>
            <charset val="128"/>
          </rPr>
          <t>勤務した月について○を入力してください。</t>
        </r>
      </text>
    </comment>
    <comment ref="D7" authorId="0" shapeId="0" xr:uid="{F213B684-81A1-4C63-B01D-653014C8480E}">
      <text>
        <r>
          <rPr>
            <b/>
            <sz val="12"/>
            <color indexed="81"/>
            <rFont val="MS P ゴシック"/>
            <family val="3"/>
            <charset val="128"/>
          </rPr>
          <t>令和６年度までは保育士資格又は幼稚園教諭普通免許状保有のみで可。</t>
        </r>
      </text>
    </comment>
    <comment ref="E7" authorId="0" shapeId="0" xr:uid="{83BC9F23-6EF3-4943-9939-B4504B5A1AF2}">
      <text>
        <r>
          <rPr>
            <b/>
            <sz val="12"/>
            <color indexed="81"/>
            <rFont val="MS P ゴシック"/>
            <family val="3"/>
            <charset val="128"/>
          </rPr>
          <t>令和６年度までは保育士資格を有していなくても可。</t>
        </r>
      </text>
    </comment>
    <comment ref="F7" authorId="0" shapeId="0" xr:uid="{00000000-0006-0000-0300-000005000000}">
      <text>
        <r>
          <rPr>
            <b/>
            <sz val="12"/>
            <color indexed="81"/>
            <rFont val="MS P ゴシック"/>
            <family val="3"/>
            <charset val="128"/>
          </rPr>
          <t>小学校教諭または養護教諭に係る普通免許状を有している指定研修修了者は京都市に対して事前の届出が必要です。※令和６年度までの特例措置</t>
        </r>
      </text>
    </comment>
    <comment ref="B8" authorId="1" shapeId="0" xr:uid="{1F4C6B64-D493-4ED0-8012-B81E2B31E8F0}">
      <text>
        <r>
          <rPr>
            <b/>
            <sz val="16"/>
            <color indexed="81"/>
            <rFont val="MS P ゴシック"/>
            <family val="3"/>
            <charset val="128"/>
          </rPr>
          <t>【誰でも通園コメント】
誰でも通園として配置された職員は、様式３（非専従の常勤＋非常勤）シートに記載してください。</t>
        </r>
      </text>
    </comment>
    <comment ref="D63" authorId="2" shapeId="0" xr:uid="{00000000-0006-0000-0300-000006000000}">
      <text>
        <r>
          <rPr>
            <b/>
            <sz val="12"/>
            <color indexed="81"/>
            <rFont val="MS P ゴシック"/>
            <family val="3"/>
            <charset val="128"/>
          </rPr>
          <t>乳児３名以下の場合は、以下の２要件を満たす認定こども園に限り、これらの職員を１人（常勤換算後）に限って保育士とみなすことができる。
①勤務経験が概ね３年に満たない看護師等については、子育て支援員研修の受講（又は直近の研修を受講予定）していること
②看護師等が保育士と合同の組・グループを編成し、原則として同一の乳児室など同一空間内で保育を行うこと</t>
        </r>
      </text>
    </comment>
    <comment ref="G63" authorId="0" shapeId="0" xr:uid="{00000000-0006-0000-0300-000007000000}">
      <text>
        <r>
          <rPr>
            <b/>
            <sz val="12"/>
            <color indexed="81"/>
            <rFont val="MS P ゴシック"/>
            <family val="3"/>
            <charset val="128"/>
          </rPr>
          <t>各月の</t>
        </r>
        <r>
          <rPr>
            <b/>
            <sz val="12"/>
            <color indexed="10"/>
            <rFont val="MS P ゴシック"/>
            <family val="3"/>
            <charset val="128"/>
          </rPr>
          <t>勤務時間数</t>
        </r>
        <r>
          <rPr>
            <b/>
            <sz val="12"/>
            <color indexed="81"/>
            <rFont val="MS P ゴシック"/>
            <family val="3"/>
            <charset val="128"/>
          </rPr>
          <t>を入力してください。
（常勤の場合、就業規則で定める常勤職員の１箇月の勤務時間数）</t>
        </r>
      </text>
    </comment>
    <comment ref="G74" authorId="3" shapeId="0" xr:uid="{A2B4AF9B-1CE9-43E8-A903-DF9506185DF4}">
      <text>
        <r>
          <rPr>
            <b/>
            <sz val="12"/>
            <color indexed="81"/>
            <rFont val="MS P ゴシック"/>
            <family val="3"/>
            <charset val="128"/>
          </rPr>
          <t>「注」が表示される場合
　表示される月の乳児の初日児童数が３名以下なので、保育士とみなす看護師等の勤務経験が概ね３年に満たない場合、子育て支援員研修を受講（又は直近の研修を受講予定）している必要があります。
　別途ご案内する、受講状況に関する所定の手続きをしてください。</t>
        </r>
      </text>
    </comment>
    <comment ref="A76" authorId="4" shapeId="0" xr:uid="{11FE624B-645D-411E-93A3-86ACD0979D7F}">
      <text>
        <r>
          <rPr>
            <b/>
            <sz val="26"/>
            <color indexed="81"/>
            <rFont val="MS P ゴシック"/>
            <family val="3"/>
            <charset val="128"/>
          </rPr>
          <t>本欄は、人件費等補助金上の職員算定にのみ使用する欄です。
心理士の配置数は、保育士等の配置基準の算定には含められません。（＝本欄で算定された職員数は、様式１のBK列には影響しません。）</t>
        </r>
      </text>
    </comment>
    <comment ref="G77" authorId="0" shapeId="0" xr:uid="{4A4EB43C-D7F1-4F9C-87BD-438A8DE8C1B4}">
      <text>
        <r>
          <rPr>
            <b/>
            <sz val="12"/>
            <color indexed="81"/>
            <rFont val="MS P ゴシック"/>
            <family val="3"/>
            <charset val="128"/>
          </rPr>
          <t>各月の</t>
        </r>
        <r>
          <rPr>
            <b/>
            <sz val="12"/>
            <color indexed="10"/>
            <rFont val="MS P ゴシック"/>
            <family val="3"/>
            <charset val="128"/>
          </rPr>
          <t>勤務時間数</t>
        </r>
        <r>
          <rPr>
            <b/>
            <sz val="12"/>
            <color indexed="81"/>
            <rFont val="MS P ゴシック"/>
            <family val="3"/>
            <charset val="128"/>
          </rPr>
          <t>を入力してください。
（常勤の場合、就業規則で定める常勤職員の１箇月の勤務時間数）</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中谷</author>
    <author>kyoto</author>
  </authors>
  <commentList>
    <comment ref="B5" authorId="0" shapeId="0" xr:uid="{1ECFA815-400E-49AF-B7DD-E563687F74A3}">
      <text>
        <r>
          <rPr>
            <b/>
            <sz val="16"/>
            <color indexed="10"/>
            <rFont val="MS P ゴシック"/>
            <family val="3"/>
            <charset val="128"/>
          </rPr>
          <t>他の保育所又は社会福祉施設等と兼務</t>
        </r>
        <r>
          <rPr>
            <b/>
            <sz val="16"/>
            <color indexed="81"/>
            <rFont val="MS P ゴシック"/>
            <family val="3"/>
            <charset val="128"/>
          </rPr>
          <t>している常勤保育士は、</t>
        </r>
        <r>
          <rPr>
            <b/>
            <sz val="16"/>
            <color indexed="10"/>
            <rFont val="MS P ゴシック"/>
            <family val="3"/>
            <charset val="128"/>
          </rPr>
          <t>本保育所の勤務時間数だけを水色網掛け箇所（Ｎ列～ＡＫ列）に直接入力</t>
        </r>
        <r>
          <rPr>
            <b/>
            <sz val="16"/>
            <color indexed="81"/>
            <rFont val="MS P ゴシック"/>
            <family val="3"/>
            <charset val="128"/>
          </rPr>
          <t>してください。
※</t>
        </r>
        <r>
          <rPr>
            <b/>
            <sz val="16"/>
            <color indexed="10"/>
            <rFont val="MS P ゴシック"/>
            <family val="3"/>
            <charset val="128"/>
          </rPr>
          <t>他の保育所又は社会福祉施設等の勤務時間は含まない</t>
        </r>
        <r>
          <rPr>
            <b/>
            <sz val="16"/>
            <color indexed="81"/>
            <rFont val="MS P ゴシック"/>
            <family val="3"/>
            <charset val="128"/>
          </rPr>
          <t>でください。</t>
        </r>
      </text>
    </comment>
    <comment ref="L5" authorId="1" shapeId="0" xr:uid="{00000000-0006-0000-0400-000001000000}">
      <text>
        <r>
          <rPr>
            <b/>
            <sz val="12"/>
            <color indexed="81"/>
            <rFont val="ＭＳ Ｐゴシック"/>
            <family val="3"/>
            <charset val="128"/>
          </rPr>
          <t>雇用契約等における1箇月あたりの勤務時間を入力してください。
変形労働時間を採用されている場合は、各月の勤務時間を直接入力してください。</t>
        </r>
      </text>
    </comment>
    <comment ref="L39" authorId="1" shapeId="0" xr:uid="{6FA9AFEA-C078-4584-8C2D-39856B0C8CC5}">
      <text>
        <r>
          <rPr>
            <b/>
            <sz val="12"/>
            <color indexed="81"/>
            <rFont val="ＭＳ Ｐゴシック"/>
            <family val="3"/>
            <charset val="128"/>
          </rPr>
          <t>目安：１６４～１７３時間程度
　例）就業規則において週40時間と規定されている場合
　　　40時間×52週（年間の週間数）÷12月（年間の月数）＝173時間（小数点第1位四捨五入）</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C6" authorId="0" shapeId="0" xr:uid="{00000000-0006-0000-0700-000001000000}">
      <text>
        <r>
          <rPr>
            <b/>
            <sz val="12"/>
            <color indexed="81"/>
            <rFont val="ＭＳ Ｐゴシック"/>
            <family val="3"/>
            <charset val="128"/>
          </rPr>
          <t>以前からの継続雇用の場合は，平成27年4月～と入力してください。</t>
        </r>
      </text>
    </comment>
    <comment ref="A30" authorId="0" shapeId="0" xr:uid="{00000000-0006-0000-0700-000002000000}">
      <text>
        <r>
          <rPr>
            <b/>
            <sz val="12"/>
            <color indexed="81"/>
            <rFont val="ＭＳ Ｐゴシック"/>
            <family val="3"/>
            <charset val="128"/>
          </rPr>
          <t>目安：１６４～１７３時間程度
　例）就業規則において週40時間と規定されている場合
　　　40時間×52週（年間の週間数）÷12月（年間の月数）＝173時間（小数点第1位四捨五入）</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<sst xmlns="http://schemas.openxmlformats.org/spreadsheetml/2006/main" count="1453" uniqueCount="408">
  <si>
    <t>３歳児</t>
    <rPh sb="1" eb="2">
      <t>サイ</t>
    </rPh>
    <rPh sb="2" eb="3">
      <t>ジ</t>
    </rPh>
    <phoneticPr fontId="2"/>
  </si>
  <si>
    <t>対象月</t>
    <rPh sb="0" eb="2">
      <t>タイショウ</t>
    </rPh>
    <rPh sb="2" eb="3">
      <t>ツキ</t>
    </rPh>
    <phoneticPr fontId="2"/>
  </si>
  <si>
    <t>５月</t>
    <rPh sb="1" eb="2">
      <t>ツキ</t>
    </rPh>
    <phoneticPr fontId="2"/>
  </si>
  <si>
    <t>６月</t>
    <rPh sb="1" eb="2">
      <t>ツキ</t>
    </rPh>
    <phoneticPr fontId="2"/>
  </si>
  <si>
    <t>７月</t>
    <rPh sb="1" eb="2">
      <t>ツキ</t>
    </rPh>
    <phoneticPr fontId="2"/>
  </si>
  <si>
    <t>８月</t>
    <rPh sb="1" eb="2">
      <t>ツキ</t>
    </rPh>
    <phoneticPr fontId="2"/>
  </si>
  <si>
    <t>９月</t>
    <rPh sb="1" eb="2">
      <t>ツキ</t>
    </rPh>
    <phoneticPr fontId="2"/>
  </si>
  <si>
    <t>１０月</t>
    <rPh sb="2" eb="3">
      <t>ツキ</t>
    </rPh>
    <phoneticPr fontId="2"/>
  </si>
  <si>
    <t>１１月</t>
    <rPh sb="2" eb="3">
      <t>ツキ</t>
    </rPh>
    <phoneticPr fontId="2"/>
  </si>
  <si>
    <t>１２月</t>
    <rPh sb="2" eb="3">
      <t>ツキ</t>
    </rPh>
    <phoneticPr fontId="2"/>
  </si>
  <si>
    <t>３月</t>
    <rPh sb="1" eb="2">
      <t>ツキ</t>
    </rPh>
    <phoneticPr fontId="2"/>
  </si>
  <si>
    <t>４月</t>
    <rPh sb="1" eb="2">
      <t>ツキ</t>
    </rPh>
    <phoneticPr fontId="2"/>
  </si>
  <si>
    <t>１月</t>
    <rPh sb="1" eb="2">
      <t>ツキ</t>
    </rPh>
    <phoneticPr fontId="2"/>
  </si>
  <si>
    <t>番号</t>
    <rPh sb="0" eb="2">
      <t>バンゴウ</t>
    </rPh>
    <phoneticPr fontId="2"/>
  </si>
  <si>
    <t>時間数合計（Ａ）</t>
    <rPh sb="0" eb="3">
      <t>ジカンスウ</t>
    </rPh>
    <rPh sb="3" eb="5">
      <t>ゴウケイ</t>
    </rPh>
    <phoneticPr fontId="2"/>
  </si>
  <si>
    <t>２月</t>
  </si>
  <si>
    <t>一時預かり事業</t>
    <rPh sb="0" eb="2">
      <t>イチジ</t>
    </rPh>
    <rPh sb="2" eb="3">
      <t>アズ</t>
    </rPh>
    <rPh sb="5" eb="7">
      <t>ジギョウ</t>
    </rPh>
    <phoneticPr fontId="2"/>
  </si>
  <si>
    <t>２歳児</t>
    <rPh sb="1" eb="3">
      <t>サイジ</t>
    </rPh>
    <phoneticPr fontId="2"/>
  </si>
  <si>
    <t>４歳児</t>
    <rPh sb="1" eb="3">
      <t>サイジ</t>
    </rPh>
    <phoneticPr fontId="2"/>
  </si>
  <si>
    <t>５歳児</t>
    <rPh sb="1" eb="3">
      <t>サイジ</t>
    </rPh>
    <phoneticPr fontId="2"/>
  </si>
  <si>
    <t>０歳児</t>
    <rPh sb="1" eb="3">
      <t>サイジ</t>
    </rPh>
    <phoneticPr fontId="2"/>
  </si>
  <si>
    <t>時間</t>
    <rPh sb="0" eb="2">
      <t>ジカン</t>
    </rPh>
    <phoneticPr fontId="2"/>
  </si>
  <si>
    <t>分</t>
    <rPh sb="0" eb="1">
      <t>ブン</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</si>
  <si>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</si>
  <si>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</si>
  <si>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</si>
  <si>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</si>
  <si>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</si>
  <si>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</si>
  <si>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</si>
  <si>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</si>
  <si>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</si>
  <si>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</si>
  <si>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</si>
  <si>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</si>
  <si>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</si>
  <si>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</si>
  <si>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</si>
  <si>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</si>
  <si>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</si>
  <si>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</si>
  <si>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</si>
  <si>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</si>
  <si>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標準時間対応</t>
    <rPh sb="0" eb="2">
      <t>ヒョウジュン</t>
    </rPh>
    <rPh sb="2" eb="4">
      <t>ジカン</t>
    </rPh>
    <rPh sb="4" eb="6">
      <t>タイオウ</t>
    </rPh>
    <phoneticPr fontId="2"/>
  </si>
  <si>
    <t>過不足</t>
    <rPh sb="0" eb="3">
      <t>カブソク</t>
    </rPh>
    <phoneticPr fontId="2"/>
  </si>
  <si>
    <t>雇用期間</t>
    <rPh sb="0" eb="2">
      <t>コヨウ</t>
    </rPh>
    <rPh sb="2" eb="4">
      <t>キカン</t>
    </rPh>
    <phoneticPr fontId="2"/>
  </si>
  <si>
    <t>月</t>
    <rPh sb="0" eb="1">
      <t>ガツ</t>
    </rPh>
    <phoneticPr fontId="2"/>
  </si>
  <si>
    <t>～</t>
    <phoneticPr fontId="2"/>
  </si>
  <si>
    <t>月</t>
    <rPh sb="0" eb="1">
      <t>ツキ</t>
    </rPh>
    <phoneticPr fontId="2"/>
  </si>
  <si>
    <t>年</t>
    <rPh sb="0" eb="1">
      <t>ネン</t>
    </rPh>
    <phoneticPr fontId="2"/>
  </si>
  <si>
    <t>○</t>
    <phoneticPr fontId="2"/>
  </si>
  <si>
    <t>保育園名</t>
    <phoneticPr fontId="2"/>
  </si>
  <si>
    <t>※水色の部分は計算式が入っているため，入力できません。</t>
    <phoneticPr fontId="2"/>
  </si>
  <si>
    <t>【非常勤の保育士】</t>
    <phoneticPr fontId="2"/>
  </si>
  <si>
    <t>番号</t>
    <phoneticPr fontId="2"/>
  </si>
  <si>
    <t>保育士</t>
    <phoneticPr fontId="2"/>
  </si>
  <si>
    <t>雇用期間</t>
    <phoneticPr fontId="2"/>
  </si>
  <si>
    <t>1月あたりの平均勤務時間</t>
    <phoneticPr fontId="2"/>
  </si>
  <si>
    <t>時間</t>
    <phoneticPr fontId="2"/>
  </si>
  <si>
    <t>分</t>
    <phoneticPr fontId="2"/>
  </si>
  <si>
    <t>平成</t>
    <phoneticPr fontId="2"/>
  </si>
  <si>
    <t>年</t>
    <phoneticPr fontId="2"/>
  </si>
  <si>
    <t>月</t>
    <phoneticPr fontId="2"/>
  </si>
  <si>
    <t>時間数合計（Ａ）</t>
    <phoneticPr fontId="2"/>
  </si>
  <si>
    <t>就業規則で定める常勤職員の1ヶ月の労働時間数（Ｂ）</t>
    <phoneticPr fontId="2"/>
  </si>
  <si>
    <t>常勤者換算（Ａ／Ｂ）（小数点２位を切り捨て　例： 1.46⇒1.4）</t>
    <phoneticPr fontId="2"/>
  </si>
  <si>
    <t>(単位:人）</t>
    <rPh sb="1" eb="3">
      <t>タンイ</t>
    </rPh>
    <rPh sb="4" eb="5">
      <t>ニン</t>
    </rPh>
    <phoneticPr fontId="2"/>
  </si>
  <si>
    <t>他市町村児童がいる場合は「○」を入力してください。</t>
    <rPh sb="0" eb="1">
      <t>タ</t>
    </rPh>
    <rPh sb="1" eb="4">
      <t>シチョウソン</t>
    </rPh>
    <rPh sb="4" eb="6">
      <t>ジドウ</t>
    </rPh>
    <rPh sb="9" eb="11">
      <t>バアイ</t>
    </rPh>
    <rPh sb="16" eb="18">
      <t>ニュウリョク</t>
    </rPh>
    <phoneticPr fontId="2"/>
  </si>
  <si>
    <t>就業規則で定める常勤職員の1箇月の勤務時間数（Ｂ）</t>
    <rPh sb="0" eb="2">
      <t>シュウギョウ</t>
    </rPh>
    <rPh sb="2" eb="4">
      <t>キソク</t>
    </rPh>
    <rPh sb="5" eb="6">
      <t>サダ</t>
    </rPh>
    <rPh sb="8" eb="10">
      <t>ジョウキン</t>
    </rPh>
    <rPh sb="10" eb="12">
      <t>ショクイン</t>
    </rPh>
    <rPh sb="14" eb="15">
      <t>カ</t>
    </rPh>
    <rPh sb="15" eb="16">
      <t>ゲツ</t>
    </rPh>
    <rPh sb="17" eb="19">
      <t>キンム</t>
    </rPh>
    <rPh sb="19" eb="22">
      <t>ジカンスウ</t>
    </rPh>
    <phoneticPr fontId="2"/>
  </si>
  <si>
    <t>1箇月あたりの勤務時間</t>
    <rPh sb="1" eb="2">
      <t>カ</t>
    </rPh>
    <rPh sb="2" eb="3">
      <t>ガツ</t>
    </rPh>
    <rPh sb="7" eb="9">
      <t>キンム</t>
    </rPh>
    <rPh sb="9" eb="11">
      <t>ジカン</t>
    </rPh>
    <phoneticPr fontId="2"/>
  </si>
  <si>
    <t>勤　　務　　時　　間</t>
    <rPh sb="0" eb="1">
      <t>ツトム</t>
    </rPh>
    <rPh sb="3" eb="4">
      <t>ツトム</t>
    </rPh>
    <rPh sb="6" eb="7">
      <t>トキ</t>
    </rPh>
    <rPh sb="9" eb="10">
      <t>アイダ</t>
    </rPh>
    <phoneticPr fontId="2"/>
  </si>
  <si>
    <t>1号</t>
    <rPh sb="1" eb="2">
      <t>ゴウ</t>
    </rPh>
    <phoneticPr fontId="2"/>
  </si>
  <si>
    <t>2号</t>
    <rPh sb="1" eb="2">
      <t>ゴウ</t>
    </rPh>
    <phoneticPr fontId="2"/>
  </si>
  <si>
    <t>3号</t>
    <rPh sb="1" eb="2">
      <t>ゴウ</t>
    </rPh>
    <phoneticPr fontId="2"/>
  </si>
  <si>
    <t>満3歳児</t>
    <rPh sb="0" eb="1">
      <t>マン</t>
    </rPh>
    <rPh sb="2" eb="4">
      <t>サイジ</t>
    </rPh>
    <phoneticPr fontId="2"/>
  </si>
  <si>
    <t>②</t>
    <phoneticPr fontId="2"/>
  </si>
  <si>
    <t>③</t>
    <phoneticPr fontId="2"/>
  </si>
  <si>
    <t>①</t>
    <phoneticPr fontId="2"/>
  </si>
  <si>
    <t>4月</t>
    <rPh sb="1" eb="2">
      <t>ガツ</t>
    </rPh>
    <phoneticPr fontId="2"/>
  </si>
  <si>
    <t>支給認定区分</t>
    <rPh sb="0" eb="2">
      <t>シキュウ</t>
    </rPh>
    <rPh sb="2" eb="4">
      <t>ニンテイ</t>
    </rPh>
    <rPh sb="4" eb="6">
      <t>クブン</t>
    </rPh>
    <phoneticPr fontId="2"/>
  </si>
  <si>
    <t>施設名</t>
    <rPh sb="0" eb="2">
      <t>シセツ</t>
    </rPh>
    <rPh sb="2" eb="3">
      <t>メイ</t>
    </rPh>
    <phoneticPr fontId="2"/>
  </si>
  <si>
    <t>教職員</t>
    <rPh sb="0" eb="3">
      <t>キョウショクイン</t>
    </rPh>
    <phoneticPr fontId="2"/>
  </si>
  <si>
    <t>チーム保育加配</t>
    <rPh sb="3" eb="5">
      <t>ホイク</t>
    </rPh>
    <rPh sb="5" eb="7">
      <t>カハイ</t>
    </rPh>
    <phoneticPr fontId="2"/>
  </si>
  <si>
    <t>主幹保育教諭等</t>
    <rPh sb="0" eb="2">
      <t>シュカン</t>
    </rPh>
    <rPh sb="2" eb="4">
      <t>ホイク</t>
    </rPh>
    <rPh sb="4" eb="6">
      <t>キョウユ</t>
    </rPh>
    <rPh sb="6" eb="7">
      <t>トウ</t>
    </rPh>
    <phoneticPr fontId="2"/>
  </si>
  <si>
    <t>当該施設に勤務する職員数
（各月初日時点）</t>
    <rPh sb="2" eb="4">
      <t>シセツ</t>
    </rPh>
    <rPh sb="18" eb="20">
      <t>ジテン</t>
    </rPh>
    <phoneticPr fontId="2"/>
  </si>
  <si>
    <t>非常勤</t>
    <rPh sb="0" eb="3">
      <t>ヒジョウキン</t>
    </rPh>
    <phoneticPr fontId="2"/>
  </si>
  <si>
    <t>教育補助者</t>
    <rPh sb="0" eb="2">
      <t>キョウイク</t>
    </rPh>
    <rPh sb="2" eb="5">
      <t>ホジョシャ</t>
    </rPh>
    <phoneticPr fontId="2"/>
  </si>
  <si>
    <t>常勤</t>
    <rPh sb="0" eb="2">
      <t>ジョウキン</t>
    </rPh>
    <phoneticPr fontId="2"/>
  </si>
  <si>
    <t>教育補助者のうち常勤換算後の数</t>
    <rPh sb="0" eb="2">
      <t>キョウイク</t>
    </rPh>
    <rPh sb="2" eb="5">
      <t>ホジョシャ</t>
    </rPh>
    <rPh sb="8" eb="10">
      <t>ジョウキン</t>
    </rPh>
    <rPh sb="10" eb="12">
      <t>カンサン</t>
    </rPh>
    <rPh sb="12" eb="13">
      <t>ゴ</t>
    </rPh>
    <rPh sb="14" eb="15">
      <t>カズ</t>
    </rPh>
    <phoneticPr fontId="2"/>
  </si>
  <si>
    <t>園長の兼務状況（非専任の場合は必要教職員数に+1される）</t>
    <rPh sb="0" eb="2">
      <t>エンチョウ</t>
    </rPh>
    <rPh sb="3" eb="5">
      <t>ケンム</t>
    </rPh>
    <rPh sb="5" eb="7">
      <t>ジョウキョウ</t>
    </rPh>
    <rPh sb="8" eb="9">
      <t>ヒ</t>
    </rPh>
    <rPh sb="9" eb="11">
      <t>センニン</t>
    </rPh>
    <rPh sb="12" eb="14">
      <t>バアイ</t>
    </rPh>
    <rPh sb="15" eb="17">
      <t>ヒツヨウ</t>
    </rPh>
    <rPh sb="17" eb="20">
      <t>キョウショクイン</t>
    </rPh>
    <rPh sb="20" eb="21">
      <t>スウ</t>
    </rPh>
    <phoneticPr fontId="2"/>
  </si>
  <si>
    <t>【非常勤の教育補助者】</t>
    <rPh sb="1" eb="4">
      <t>ヒジョウキン</t>
    </rPh>
    <rPh sb="5" eb="7">
      <t>キョウイク</t>
    </rPh>
    <rPh sb="7" eb="10">
      <t>ホジョシャ</t>
    </rPh>
    <phoneticPr fontId="2"/>
  </si>
  <si>
    <t>1歳児加配</t>
    <rPh sb="1" eb="3">
      <t>サイジ</t>
    </rPh>
    <rPh sb="3" eb="5">
      <t>カハイ</t>
    </rPh>
    <phoneticPr fontId="2"/>
  </si>
  <si>
    <t>１歳児
合計</t>
    <rPh sb="1" eb="3">
      <t>サイジ</t>
    </rPh>
    <rPh sb="4" eb="6">
      <t>ゴウケイ</t>
    </rPh>
    <phoneticPr fontId="2"/>
  </si>
  <si>
    <t>④</t>
  </si>
  <si>
    <t>③</t>
  </si>
  <si>
    <t>～</t>
    <phoneticPr fontId="2"/>
  </si>
  <si>
    <t>教職員等の合計（ただし教育補助者は⑦チーム保育加配数が上限）</t>
    <rPh sb="0" eb="3">
      <t>キョウショクイン</t>
    </rPh>
    <rPh sb="3" eb="4">
      <t>トウ</t>
    </rPh>
    <rPh sb="5" eb="6">
      <t>ゴウ</t>
    </rPh>
    <rPh sb="6" eb="7">
      <t>ケイ</t>
    </rPh>
    <rPh sb="11" eb="13">
      <t>キョウイク</t>
    </rPh>
    <rPh sb="13" eb="16">
      <t>ホジョシャ</t>
    </rPh>
    <rPh sb="21" eb="23">
      <t>ホイク</t>
    </rPh>
    <rPh sb="23" eb="25">
      <t>カハイ</t>
    </rPh>
    <rPh sb="25" eb="26">
      <t>スウ</t>
    </rPh>
    <rPh sb="27" eb="29">
      <t>ジョウゲン</t>
    </rPh>
    <phoneticPr fontId="2"/>
  </si>
  <si>
    <t>施設名</t>
    <rPh sb="0" eb="1">
      <t>シ</t>
    </rPh>
    <rPh sb="1" eb="2">
      <t>セツ</t>
    </rPh>
    <phoneticPr fontId="2"/>
  </si>
  <si>
    <t>保育教諭
（氏名）</t>
    <rPh sb="0" eb="2">
      <t>ホイク</t>
    </rPh>
    <rPh sb="2" eb="4">
      <t>キョウユ</t>
    </rPh>
    <rPh sb="6" eb="8">
      <t>シメイ</t>
    </rPh>
    <phoneticPr fontId="2"/>
  </si>
  <si>
    <t>教育補助者
（氏名）</t>
    <rPh sb="0" eb="2">
      <t>キョウイク</t>
    </rPh>
    <rPh sb="2" eb="5">
      <t>ホジョシャ</t>
    </rPh>
    <rPh sb="7" eb="9">
      <t>シメイ</t>
    </rPh>
    <phoneticPr fontId="2"/>
  </si>
  <si>
    <t>保育士（氏名）</t>
    <rPh sb="0" eb="3">
      <t>ホイクシ</t>
    </rPh>
    <rPh sb="4" eb="6">
      <t>シメイ</t>
    </rPh>
    <phoneticPr fontId="2"/>
  </si>
  <si>
    <t>資格内容</t>
    <rPh sb="0" eb="2">
      <t>シカク</t>
    </rPh>
    <rPh sb="2" eb="4">
      <t>ナイヨウ</t>
    </rPh>
    <phoneticPr fontId="2"/>
  </si>
  <si>
    <t>勤　　務　　実　　績</t>
    <rPh sb="0" eb="1">
      <t>ツトム</t>
    </rPh>
    <rPh sb="3" eb="4">
      <t>ツトム</t>
    </rPh>
    <rPh sb="6" eb="7">
      <t>ジツ</t>
    </rPh>
    <rPh sb="9" eb="10">
      <t>セキ</t>
    </rPh>
    <phoneticPr fontId="2"/>
  </si>
  <si>
    <t>小学校教諭
又は養護教諭</t>
    <rPh sb="0" eb="3">
      <t>ショウガッコウ</t>
    </rPh>
    <rPh sb="3" eb="5">
      <t>キョウユ</t>
    </rPh>
    <rPh sb="6" eb="7">
      <t>マタ</t>
    </rPh>
    <rPh sb="8" eb="10">
      <t>ヨウゴ</t>
    </rPh>
    <rPh sb="10" eb="12">
      <t>キョウユ</t>
    </rPh>
    <phoneticPr fontId="2"/>
  </si>
  <si>
    <t>常勤職員数合計</t>
    <rPh sb="0" eb="2">
      <t>ジョウキン</t>
    </rPh>
    <rPh sb="2" eb="4">
      <t>ショクイン</t>
    </rPh>
    <rPh sb="4" eb="5">
      <t>スウ</t>
    </rPh>
    <rPh sb="5" eb="7">
      <t>ゴウケイ</t>
    </rPh>
    <phoneticPr fontId="2"/>
  </si>
  <si>
    <t>助保育教諭</t>
    <rPh sb="0" eb="1">
      <t>ジョ</t>
    </rPh>
    <rPh sb="1" eb="3">
      <t>ホイク</t>
    </rPh>
    <rPh sb="3" eb="5">
      <t>キョウユ</t>
    </rPh>
    <phoneticPr fontId="2"/>
  </si>
  <si>
    <t>施設名</t>
    <rPh sb="0" eb="1">
      <t>シ</t>
    </rPh>
    <rPh sb="1" eb="2">
      <t>セツ</t>
    </rPh>
    <rPh sb="2" eb="3">
      <t>メイ</t>
    </rPh>
    <phoneticPr fontId="2"/>
  </si>
  <si>
    <t>【保健師・看護師・准看護師】</t>
    <rPh sb="1" eb="3">
      <t>ホケン</t>
    </rPh>
    <rPh sb="3" eb="4">
      <t>シ</t>
    </rPh>
    <rPh sb="5" eb="7">
      <t>カンゴ</t>
    </rPh>
    <rPh sb="7" eb="8">
      <t>シ</t>
    </rPh>
    <rPh sb="9" eb="10">
      <t>ジュン</t>
    </rPh>
    <rPh sb="10" eb="12">
      <t>カンゴ</t>
    </rPh>
    <rPh sb="12" eb="13">
      <t>シ</t>
    </rPh>
    <phoneticPr fontId="2"/>
  </si>
  <si>
    <t>氏　名</t>
    <rPh sb="0" eb="1">
      <t>シ</t>
    </rPh>
    <rPh sb="2" eb="3">
      <t>メイ</t>
    </rPh>
    <phoneticPr fontId="2"/>
  </si>
  <si>
    <t>就業規則で定める常勤職員の１箇月の勤務時間数</t>
    <rPh sb="0" eb="2">
      <t>シュウギョウ</t>
    </rPh>
    <rPh sb="2" eb="4">
      <t>キソク</t>
    </rPh>
    <rPh sb="5" eb="6">
      <t>サダ</t>
    </rPh>
    <rPh sb="8" eb="10">
      <t>ジョウキン</t>
    </rPh>
    <rPh sb="10" eb="12">
      <t>ショクイン</t>
    </rPh>
    <rPh sb="14" eb="15">
      <t>カ</t>
    </rPh>
    <rPh sb="15" eb="16">
      <t>ゲツ</t>
    </rPh>
    <rPh sb="17" eb="19">
      <t>キンム</t>
    </rPh>
    <rPh sb="19" eb="21">
      <t>ジカン</t>
    </rPh>
    <rPh sb="21" eb="22">
      <t>スウ</t>
    </rPh>
    <phoneticPr fontId="2"/>
  </si>
  <si>
    <t>保健師</t>
    <rPh sb="0" eb="2">
      <t>ホケン</t>
    </rPh>
    <rPh sb="2" eb="3">
      <t>シ</t>
    </rPh>
    <phoneticPr fontId="2"/>
  </si>
  <si>
    <t>看護師</t>
    <rPh sb="0" eb="2">
      <t>カンゴ</t>
    </rPh>
    <rPh sb="2" eb="3">
      <t>シ</t>
    </rPh>
    <phoneticPr fontId="2"/>
  </si>
  <si>
    <t>准看護師</t>
    <rPh sb="0" eb="1">
      <t>ジュン</t>
    </rPh>
    <rPh sb="1" eb="3">
      <t>カンゴ</t>
    </rPh>
    <rPh sb="3" eb="4">
      <t>シ</t>
    </rPh>
    <phoneticPr fontId="2"/>
  </si>
  <si>
    <t>職員数合計</t>
    <rPh sb="0" eb="2">
      <t>ショクイン</t>
    </rPh>
    <rPh sb="2" eb="3">
      <t>スウ</t>
    </rPh>
    <rPh sb="3" eb="4">
      <t>ゴウ</t>
    </rPh>
    <rPh sb="4" eb="5">
      <t>ケイ</t>
    </rPh>
    <phoneticPr fontId="2"/>
  </si>
  <si>
    <t>学級編制調整加配加算</t>
    <rPh sb="0" eb="2">
      <t>ガッキュウ</t>
    </rPh>
    <rPh sb="2" eb="4">
      <t>ヘンセイ</t>
    </rPh>
    <rPh sb="4" eb="6">
      <t>チョウセイ</t>
    </rPh>
    <rPh sb="6" eb="8">
      <t>カハイ</t>
    </rPh>
    <rPh sb="8" eb="10">
      <t>カサン</t>
    </rPh>
    <phoneticPr fontId="2"/>
  </si>
  <si>
    <t xml:space="preserve">
入所児童数（本園）</t>
    <rPh sb="1" eb="3">
      <t>ニュウショ</t>
    </rPh>
    <rPh sb="3" eb="5">
      <t>ジドウ</t>
    </rPh>
    <rPh sb="5" eb="6">
      <t>スウ</t>
    </rPh>
    <rPh sb="7" eb="8">
      <t>ホン</t>
    </rPh>
    <rPh sb="8" eb="9">
      <t>エン</t>
    </rPh>
    <phoneticPr fontId="2"/>
  </si>
  <si>
    <t xml:space="preserve">
入所児童数（分園）</t>
    <rPh sb="1" eb="3">
      <t>ニュウショ</t>
    </rPh>
    <rPh sb="3" eb="5">
      <t>ジドウ</t>
    </rPh>
    <rPh sb="5" eb="6">
      <t>スウ</t>
    </rPh>
    <rPh sb="7" eb="9">
      <t>ブンエン</t>
    </rPh>
    <phoneticPr fontId="2"/>
  </si>
  <si>
    <t>合計
（本園）</t>
    <rPh sb="0" eb="1">
      <t>ゴウ</t>
    </rPh>
    <rPh sb="1" eb="2">
      <t>ケイ</t>
    </rPh>
    <rPh sb="4" eb="5">
      <t>ホン</t>
    </rPh>
    <rPh sb="5" eb="6">
      <t>エン</t>
    </rPh>
    <phoneticPr fontId="2"/>
  </si>
  <si>
    <t>合計
（分園）</t>
    <rPh sb="0" eb="1">
      <t>ゴウ</t>
    </rPh>
    <rPh sb="1" eb="2">
      <t>ケイ</t>
    </rPh>
    <rPh sb="4" eb="6">
      <t>ブンエン</t>
    </rPh>
    <phoneticPr fontId="2"/>
  </si>
  <si>
    <t>（４桁コード）</t>
    <rPh sb="2" eb="3">
      <t>ケタ</t>
    </rPh>
    <phoneticPr fontId="2"/>
  </si>
  <si>
    <t>（4桁コード）</t>
    <rPh sb="2" eb="3">
      <t>ケタ</t>
    </rPh>
    <phoneticPr fontId="2"/>
  </si>
  <si>
    <t>4桁コード</t>
    <rPh sb="1" eb="2">
      <t>ケタ</t>
    </rPh>
    <phoneticPr fontId="2"/>
  </si>
  <si>
    <t>うち1歳児加配対象児童数</t>
    <rPh sb="3" eb="5">
      <t>サイジ</t>
    </rPh>
    <rPh sb="5" eb="7">
      <t>カハイ</t>
    </rPh>
    <rPh sb="7" eb="9">
      <t>タイショウ</t>
    </rPh>
    <rPh sb="9" eb="11">
      <t>ジドウ</t>
    </rPh>
    <rPh sb="11" eb="12">
      <t>スウ</t>
    </rPh>
    <phoneticPr fontId="2"/>
  </si>
  <si>
    <t>２・３号</t>
    <rPh sb="3" eb="4">
      <t>ゴウ</t>
    </rPh>
    <phoneticPr fontId="2"/>
  </si>
  <si>
    <t>国制度給付費における加算</t>
    <phoneticPr fontId="2"/>
  </si>
  <si>
    <t>標準対応休憩保育士</t>
    <rPh sb="0" eb="2">
      <t>ヒョウジュン</t>
    </rPh>
    <rPh sb="2" eb="4">
      <t>タイオウ</t>
    </rPh>
    <rPh sb="4" eb="6">
      <t>キュウケイ</t>
    </rPh>
    <rPh sb="6" eb="8">
      <t>ホイク</t>
    </rPh>
    <rPh sb="8" eb="9">
      <t>シ</t>
    </rPh>
    <phoneticPr fontId="2"/>
  </si>
  <si>
    <t>0歳児</t>
    <rPh sb="1" eb="3">
      <t>サイジ</t>
    </rPh>
    <phoneticPr fontId="2"/>
  </si>
  <si>
    <t>1歳児</t>
    <rPh sb="1" eb="3">
      <t>サイジ</t>
    </rPh>
    <phoneticPr fontId="2"/>
  </si>
  <si>
    <t>2歳児</t>
    <rPh sb="1" eb="3">
      <t>サイジ</t>
    </rPh>
    <phoneticPr fontId="2"/>
  </si>
  <si>
    <t>3歳児</t>
    <rPh sb="1" eb="3">
      <t>サイジ</t>
    </rPh>
    <phoneticPr fontId="2"/>
  </si>
  <si>
    <t>4歳児</t>
    <rPh sb="1" eb="3">
      <t>サイジ</t>
    </rPh>
    <phoneticPr fontId="2"/>
  </si>
  <si>
    <t>5歳児</t>
    <rPh sb="1" eb="3">
      <t>サイジ</t>
    </rPh>
    <phoneticPr fontId="2"/>
  </si>
  <si>
    <t>標準保育時間対応</t>
  </si>
  <si>
    <t>0,1歳児の標準時間利用児の有無</t>
    <rPh sb="3" eb="4">
      <t>サイ</t>
    </rPh>
    <rPh sb="4" eb="5">
      <t>ジ</t>
    </rPh>
    <rPh sb="6" eb="8">
      <t>ヒョウジュン</t>
    </rPh>
    <rPh sb="8" eb="10">
      <t>ジカン</t>
    </rPh>
    <rPh sb="10" eb="12">
      <t>リヨウ</t>
    </rPh>
    <rPh sb="12" eb="13">
      <t>ジ</t>
    </rPh>
    <rPh sb="14" eb="16">
      <t>ウム</t>
    </rPh>
    <phoneticPr fontId="2"/>
  </si>
  <si>
    <t>標準時間利用児童の人数</t>
    <rPh sb="0" eb="2">
      <t>ヒョウジュン</t>
    </rPh>
    <rPh sb="2" eb="4">
      <t>ジカン</t>
    </rPh>
    <rPh sb="4" eb="6">
      <t>リヨウ</t>
    </rPh>
    <rPh sb="6" eb="8">
      <t>ジドウ</t>
    </rPh>
    <rPh sb="9" eb="11">
      <t>ニンズウ</t>
    </rPh>
    <phoneticPr fontId="2"/>
  </si>
  <si>
    <t>8.5時間</t>
    <rPh sb="3" eb="5">
      <t>ジカン</t>
    </rPh>
    <phoneticPr fontId="2"/>
  </si>
  <si>
    <t>9時間</t>
    <rPh sb="1" eb="3">
      <t>ジカン</t>
    </rPh>
    <phoneticPr fontId="2"/>
  </si>
  <si>
    <t>9.5時間</t>
    <rPh sb="3" eb="5">
      <t>ジカン</t>
    </rPh>
    <phoneticPr fontId="2"/>
  </si>
  <si>
    <t>10時間</t>
    <rPh sb="2" eb="4">
      <t>ジカン</t>
    </rPh>
    <phoneticPr fontId="2"/>
  </si>
  <si>
    <t>10.5時間</t>
    <rPh sb="4" eb="6">
      <t>ジカン</t>
    </rPh>
    <phoneticPr fontId="2"/>
  </si>
  <si>
    <t>11時間</t>
    <rPh sb="2" eb="4">
      <t>ジカン</t>
    </rPh>
    <phoneticPr fontId="2"/>
  </si>
  <si>
    <t>計</t>
    <rPh sb="0" eb="1">
      <t>ケイ</t>
    </rPh>
    <phoneticPr fontId="2"/>
  </si>
  <si>
    <t>必要職員数</t>
    <rPh sb="0" eb="5">
      <t>ヒツヨウショクインスウ</t>
    </rPh>
    <phoneticPr fontId="2"/>
  </si>
  <si>
    <t>利用人数</t>
    <rPh sb="0" eb="2">
      <t>リヨウ</t>
    </rPh>
    <rPh sb="2" eb="4">
      <t>ニンズウ</t>
    </rPh>
    <phoneticPr fontId="2"/>
  </si>
  <si>
    <t>割合</t>
    <rPh sb="0" eb="2">
      <t>ワリアイ</t>
    </rPh>
    <phoneticPr fontId="2"/>
  </si>
  <si>
    <t>５月</t>
  </si>
  <si>
    <t>６月</t>
  </si>
  <si>
    <t>７月</t>
  </si>
  <si>
    <t>８月</t>
  </si>
  <si>
    <t>９月</t>
  </si>
  <si>
    <t>１０月</t>
  </si>
  <si>
    <t>１１月</t>
  </si>
  <si>
    <t>１２月</t>
  </si>
  <si>
    <t>１月</t>
  </si>
  <si>
    <t>３月</t>
  </si>
  <si>
    <t>平均</t>
    <rPh sb="0" eb="2">
      <t>ヘイキン</t>
    </rPh>
    <phoneticPr fontId="2"/>
  </si>
  <si>
    <t>本市独自事業実施に要する保育士等数</t>
    <rPh sb="0" eb="2">
      <t>ホンシ</t>
    </rPh>
    <rPh sb="2" eb="4">
      <t>ドクジ</t>
    </rPh>
    <phoneticPr fontId="2"/>
  </si>
  <si>
    <t>４桁コード</t>
    <rPh sb="1" eb="2">
      <t>ケタ</t>
    </rPh>
    <phoneticPr fontId="2"/>
  </si>
  <si>
    <t>国基準＋
条例基準</t>
    <rPh sb="0" eb="1">
      <t>クニ</t>
    </rPh>
    <rPh sb="1" eb="3">
      <t>キジュン</t>
    </rPh>
    <rPh sb="5" eb="7">
      <t>ジョウレイ</t>
    </rPh>
    <rPh sb="7" eb="9">
      <t>キジュン</t>
    </rPh>
    <phoneticPr fontId="2"/>
  </si>
  <si>
    <t>障害児</t>
    <rPh sb="0" eb="2">
      <t>ショウガイ</t>
    </rPh>
    <rPh sb="2" eb="3">
      <t>ジ</t>
    </rPh>
    <phoneticPr fontId="2"/>
  </si>
  <si>
    <t>１歳児</t>
    <rPh sb="1" eb="3">
      <t>サイジ</t>
    </rPh>
    <phoneticPr fontId="2"/>
  </si>
  <si>
    <t>休憩対応</t>
    <rPh sb="0" eb="2">
      <t>キュウケイ</t>
    </rPh>
    <rPh sb="2" eb="4">
      <t>タイオウ</t>
    </rPh>
    <phoneticPr fontId="2"/>
  </si>
  <si>
    <t>標準時間休憩</t>
    <rPh sb="0" eb="2">
      <t>ヒョウジュン</t>
    </rPh>
    <rPh sb="2" eb="4">
      <t>ジカン</t>
    </rPh>
    <rPh sb="4" eb="6">
      <t>キュウケイ</t>
    </rPh>
    <phoneticPr fontId="2"/>
  </si>
  <si>
    <t>４月</t>
    <rPh sb="1" eb="2">
      <t>ガツ</t>
    </rPh>
    <phoneticPr fontId="2"/>
  </si>
  <si>
    <t>５月</t>
    <rPh sb="1" eb="2">
      <t>ガツ</t>
    </rPh>
    <phoneticPr fontId="2"/>
  </si>
  <si>
    <t>６月</t>
    <rPh sb="1" eb="2">
      <t>ガツ</t>
    </rPh>
    <phoneticPr fontId="2"/>
  </si>
  <si>
    <t>Ａ</t>
    <phoneticPr fontId="2"/>
  </si>
  <si>
    <t>実配置＞最大配置</t>
    <rPh sb="0" eb="1">
      <t>ジツ</t>
    </rPh>
    <rPh sb="1" eb="3">
      <t>ハイチ</t>
    </rPh>
    <rPh sb="4" eb="6">
      <t>サイダイ</t>
    </rPh>
    <rPh sb="6" eb="8">
      <t>ハイチ</t>
    </rPh>
    <phoneticPr fontId="2"/>
  </si>
  <si>
    <t>Ｂ</t>
    <phoneticPr fontId="2"/>
  </si>
  <si>
    <t>①＋②＜実配置＜最大配置</t>
    <rPh sb="4" eb="5">
      <t>ジツ</t>
    </rPh>
    <rPh sb="5" eb="7">
      <t>ハイチ</t>
    </rPh>
    <rPh sb="8" eb="10">
      <t>サイダイ</t>
    </rPh>
    <rPh sb="10" eb="12">
      <t>ハイチ</t>
    </rPh>
    <phoneticPr fontId="2"/>
  </si>
  <si>
    <t>Ｃ</t>
    <phoneticPr fontId="2"/>
  </si>
  <si>
    <t>実配置＜①＋②</t>
    <rPh sb="0" eb="1">
      <t>ジツ</t>
    </rPh>
    <rPh sb="1" eb="3">
      <t>ハイチ</t>
    </rPh>
    <phoneticPr fontId="2"/>
  </si>
  <si>
    <t>認定別</t>
    <rPh sb="0" eb="2">
      <t>ニンテイ</t>
    </rPh>
    <rPh sb="2" eb="3">
      <t>ベツ</t>
    </rPh>
    <phoneticPr fontId="2"/>
  </si>
  <si>
    <t>標準保育時間対応
（分園分）</t>
    <rPh sb="0" eb="2">
      <t>ヒョウジュン</t>
    </rPh>
    <rPh sb="2" eb="4">
      <t>ホイク</t>
    </rPh>
    <rPh sb="4" eb="6">
      <t>ジカン</t>
    </rPh>
    <rPh sb="6" eb="8">
      <t>タイオウ</t>
    </rPh>
    <rPh sb="10" eb="11">
      <t>ブン</t>
    </rPh>
    <rPh sb="11" eb="12">
      <t>エン</t>
    </rPh>
    <rPh sb="12" eb="13">
      <t>ブン</t>
    </rPh>
    <phoneticPr fontId="2"/>
  </si>
  <si>
    <t>標準保育時間対応
（本園分）</t>
    <rPh sb="0" eb="2">
      <t>ヒョウジュン</t>
    </rPh>
    <rPh sb="2" eb="4">
      <t>ホイク</t>
    </rPh>
    <rPh sb="4" eb="6">
      <t>ジカン</t>
    </rPh>
    <rPh sb="6" eb="8">
      <t>タイオウ</t>
    </rPh>
    <rPh sb="10" eb="11">
      <t>ホン</t>
    </rPh>
    <rPh sb="11" eb="12">
      <t>エン</t>
    </rPh>
    <rPh sb="12" eb="13">
      <t>ブン</t>
    </rPh>
    <phoneticPr fontId="2"/>
  </si>
  <si>
    <t>様式ver.</t>
    <rPh sb="0" eb="2">
      <t>ヨウシキ</t>
    </rPh>
    <phoneticPr fontId="40"/>
  </si>
  <si>
    <t>利用定員（本園）</t>
    <rPh sb="5" eb="6">
      <t>ホン</t>
    </rPh>
    <rPh sb="6" eb="7">
      <t>エン</t>
    </rPh>
    <phoneticPr fontId="2"/>
  </si>
  <si>
    <t>利用定員（分園）</t>
    <rPh sb="5" eb="7">
      <t>ブンエン</t>
    </rPh>
    <phoneticPr fontId="2"/>
  </si>
  <si>
    <t>2号・3号の利用定員が90人以下の場合</t>
    <rPh sb="1" eb="2">
      <t>ゴウ</t>
    </rPh>
    <rPh sb="4" eb="5">
      <t>ゴウ</t>
    </rPh>
    <rPh sb="13" eb="14">
      <t>ニン</t>
    </rPh>
    <rPh sb="14" eb="16">
      <t>イカ</t>
    </rPh>
    <rPh sb="17" eb="19">
      <t>バアイ</t>
    </rPh>
    <phoneticPr fontId="2"/>
  </si>
  <si>
    <t>年度平均</t>
    <rPh sb="0" eb="2">
      <t>ネンド</t>
    </rPh>
    <rPh sb="2" eb="4">
      <t>ヘイキン</t>
    </rPh>
    <phoneticPr fontId="2"/>
  </si>
  <si>
    <t>＜新補助集計用＞</t>
    <rPh sb="1" eb="2">
      <t>シン</t>
    </rPh>
    <rPh sb="2" eb="4">
      <t>ホジョ</t>
    </rPh>
    <rPh sb="4" eb="6">
      <t>シュウケイ</t>
    </rPh>
    <rPh sb="6" eb="7">
      <t>ヨウ</t>
    </rPh>
    <phoneticPr fontId="2"/>
  </si>
  <si>
    <t>＜条例基準集計用＞</t>
    <rPh sb="1" eb="3">
      <t>ジョウレイ</t>
    </rPh>
    <rPh sb="3" eb="5">
      <t>キジュン</t>
    </rPh>
    <rPh sb="5" eb="7">
      <t>シュウケイ</t>
    </rPh>
    <rPh sb="7" eb="8">
      <t>ヨウ</t>
    </rPh>
    <phoneticPr fontId="2"/>
  </si>
  <si>
    <t>必要職員数
【市基準】</t>
    <rPh sb="0" eb="2">
      <t>ヒツヨウ</t>
    </rPh>
    <rPh sb="2" eb="5">
      <t>ショクインスウ</t>
    </rPh>
    <phoneticPr fontId="2"/>
  </si>
  <si>
    <t>常勤換算後
実配置数
ア</t>
    <rPh sb="0" eb="2">
      <t>ジョウキン</t>
    </rPh>
    <rPh sb="2" eb="4">
      <t>カンサン</t>
    </rPh>
    <rPh sb="4" eb="5">
      <t>ゴ</t>
    </rPh>
    <rPh sb="6" eb="7">
      <t>ジツ</t>
    </rPh>
    <rPh sb="7" eb="9">
      <t>ハイチ</t>
    </rPh>
    <rPh sb="9" eb="10">
      <t>スウ</t>
    </rPh>
    <phoneticPr fontId="2"/>
  </si>
  <si>
    <t>補助算定時
の職員数
（※２）</t>
    <rPh sb="0" eb="2">
      <t>ホジョ</t>
    </rPh>
    <rPh sb="2" eb="4">
      <t>サンテイ</t>
    </rPh>
    <rPh sb="4" eb="5">
      <t>ジ</t>
    </rPh>
    <rPh sb="7" eb="9">
      <t>ショクイン</t>
    </rPh>
    <rPh sb="9" eb="10">
      <t>スウ</t>
    </rPh>
    <phoneticPr fontId="2"/>
  </si>
  <si>
    <r>
      <t xml:space="preserve">各月初日入所児童数
</t>
    </r>
    <r>
      <rPr>
        <b/>
        <sz val="10"/>
        <color rgb="FFFF0000"/>
        <rFont val="ＭＳ Ｐゴシック"/>
        <family val="3"/>
        <charset val="128"/>
      </rPr>
      <t>（利用定員内外及び他市町村児童を含む。私的契約児は含まない。）</t>
    </r>
    <rPh sb="0" eb="2">
      <t>カクツキ</t>
    </rPh>
    <rPh sb="2" eb="4">
      <t>ショニチ</t>
    </rPh>
    <rPh sb="4" eb="6">
      <t>ニュウショ</t>
    </rPh>
    <rPh sb="6" eb="9">
      <t>ジドウスウ</t>
    </rPh>
    <rPh sb="15" eb="17">
      <t>ナイガイ</t>
    </rPh>
    <rPh sb="17" eb="18">
      <t>オヨ</t>
    </rPh>
    <rPh sb="19" eb="20">
      <t>タ</t>
    </rPh>
    <rPh sb="20" eb="23">
      <t>シチョウソン</t>
    </rPh>
    <rPh sb="23" eb="25">
      <t>ジドウ</t>
    </rPh>
    <rPh sb="26" eb="27">
      <t>フク</t>
    </rPh>
    <rPh sb="29" eb="31">
      <t>シテキ</t>
    </rPh>
    <rPh sb="31" eb="33">
      <t>ケイヤク</t>
    </rPh>
    <rPh sb="33" eb="34">
      <t>ジ</t>
    </rPh>
    <rPh sb="35" eb="36">
      <t>フク</t>
    </rPh>
    <phoneticPr fontId="2"/>
  </si>
  <si>
    <t>(給付関係）</t>
    <rPh sb="1" eb="5">
      <t>キュウフカンケイ</t>
    </rPh>
    <phoneticPr fontId="2"/>
  </si>
  <si>
    <t>１号
児童分</t>
    <rPh sb="1" eb="2">
      <t>ゴウ</t>
    </rPh>
    <rPh sb="3" eb="5">
      <t>ジドウ</t>
    </rPh>
    <rPh sb="5" eb="6">
      <t>ブン</t>
    </rPh>
    <phoneticPr fontId="2"/>
  </si>
  <si>
    <t>２・３号
児童分</t>
    <phoneticPr fontId="2"/>
  </si>
  <si>
    <t>障害児加配</t>
    <rPh sb="0" eb="3">
      <t>ショウガイジ</t>
    </rPh>
    <rPh sb="3" eb="5">
      <t>カハイ</t>
    </rPh>
    <phoneticPr fontId="2"/>
  </si>
  <si>
    <t>１号分</t>
    <phoneticPr fontId="2"/>
  </si>
  <si>
    <t>２・３号分</t>
    <phoneticPr fontId="2"/>
  </si>
  <si>
    <t>１号分</t>
    <rPh sb="1" eb="2">
      <t>ゴウ</t>
    </rPh>
    <rPh sb="2" eb="3">
      <t>ブン</t>
    </rPh>
    <phoneticPr fontId="2"/>
  </si>
  <si>
    <t>２・３号分</t>
    <rPh sb="3" eb="4">
      <t>ゴウ</t>
    </rPh>
    <rPh sb="4" eb="5">
      <t>ブン</t>
    </rPh>
    <phoneticPr fontId="2"/>
  </si>
  <si>
    <t>⑤</t>
  </si>
  <si>
    <t>⑥</t>
  </si>
  <si>
    <t>⑦</t>
    <phoneticPr fontId="2"/>
  </si>
  <si>
    <t>⑧</t>
    <phoneticPr fontId="2"/>
  </si>
  <si>
    <t>⑩</t>
    <phoneticPr fontId="2"/>
  </si>
  <si>
    <t>補助算定時の職員数（保育士等分）</t>
    <rPh sb="0" eb="2">
      <t>ホジョ</t>
    </rPh>
    <rPh sb="2" eb="4">
      <t>サンテイ</t>
    </rPh>
    <rPh sb="4" eb="5">
      <t>ジ</t>
    </rPh>
    <rPh sb="6" eb="8">
      <t>ショクイン</t>
    </rPh>
    <rPh sb="8" eb="9">
      <t>スウ</t>
    </rPh>
    <rPh sb="10" eb="13">
      <t>ホイクシ</t>
    </rPh>
    <rPh sb="13" eb="14">
      <t>トウ</t>
    </rPh>
    <rPh sb="14" eb="15">
      <t>ブン</t>
    </rPh>
    <phoneticPr fontId="2"/>
  </si>
  <si>
    <t>判定（保育士等分）</t>
    <phoneticPr fontId="2"/>
  </si>
  <si>
    <t>③+⑤</t>
    <phoneticPr fontId="2"/>
  </si>
  <si>
    <t>③+⑤+⑥</t>
    <phoneticPr fontId="2"/>
  </si>
  <si>
    <t>③+⑤+⑥+⑦</t>
    <phoneticPr fontId="2"/>
  </si>
  <si>
    <t>③+⑤+⑥+⑦+⑧</t>
    <phoneticPr fontId="2"/>
  </si>
  <si>
    <t>最大配置数</t>
    <rPh sb="0" eb="5">
      <t>サイダイハイチスウ</t>
    </rPh>
    <phoneticPr fontId="2"/>
  </si>
  <si>
    <t>引用値</t>
    <phoneticPr fontId="2"/>
  </si>
  <si>
    <t>利用定員</t>
    <rPh sb="0" eb="2">
      <t>リヨウ</t>
    </rPh>
    <rPh sb="2" eb="4">
      <t>テイイン</t>
    </rPh>
    <phoneticPr fontId="2"/>
  </si>
  <si>
    <t>０歳・標準</t>
    <rPh sb="1" eb="2">
      <t>サイ</t>
    </rPh>
    <rPh sb="3" eb="5">
      <t>ヒョウジュン</t>
    </rPh>
    <phoneticPr fontId="2"/>
  </si>
  <si>
    <t>１歳・標準</t>
    <rPh sb="1" eb="2">
      <t>サイ</t>
    </rPh>
    <rPh sb="3" eb="5">
      <t>ヒョウジュン</t>
    </rPh>
    <phoneticPr fontId="2"/>
  </si>
  <si>
    <t>２歳・標準</t>
    <rPh sb="1" eb="2">
      <t>サイ</t>
    </rPh>
    <rPh sb="3" eb="5">
      <t>ヒョウジュン</t>
    </rPh>
    <phoneticPr fontId="2"/>
  </si>
  <si>
    <t>３歳・標準</t>
    <rPh sb="1" eb="2">
      <t>サイ</t>
    </rPh>
    <rPh sb="3" eb="5">
      <t>ヒョウジュン</t>
    </rPh>
    <phoneticPr fontId="2"/>
  </si>
  <si>
    <t>４歳・標準</t>
    <rPh sb="1" eb="2">
      <t>サイ</t>
    </rPh>
    <rPh sb="3" eb="5">
      <t>ヒョウジュン</t>
    </rPh>
    <phoneticPr fontId="2"/>
  </si>
  <si>
    <t>５歳・標準</t>
    <rPh sb="1" eb="2">
      <t>サイ</t>
    </rPh>
    <rPh sb="3" eb="5">
      <t>ヒョウジュン</t>
    </rPh>
    <phoneticPr fontId="2"/>
  </si>
  <si>
    <t>０歳・短</t>
    <rPh sb="1" eb="2">
      <t>サイ</t>
    </rPh>
    <rPh sb="3" eb="4">
      <t>タン</t>
    </rPh>
    <phoneticPr fontId="2"/>
  </si>
  <si>
    <t>１歳・短</t>
    <rPh sb="1" eb="2">
      <t>サイ</t>
    </rPh>
    <rPh sb="3" eb="4">
      <t>タン</t>
    </rPh>
    <phoneticPr fontId="2"/>
  </si>
  <si>
    <t>２歳・短</t>
    <rPh sb="1" eb="2">
      <t>サイ</t>
    </rPh>
    <rPh sb="3" eb="4">
      <t>タン</t>
    </rPh>
    <phoneticPr fontId="2"/>
  </si>
  <si>
    <t>３歳・短</t>
    <rPh sb="1" eb="2">
      <t>サイ</t>
    </rPh>
    <rPh sb="3" eb="4">
      <t>タン</t>
    </rPh>
    <phoneticPr fontId="2"/>
  </si>
  <si>
    <t>４歳・短</t>
    <rPh sb="1" eb="2">
      <t>サイ</t>
    </rPh>
    <rPh sb="3" eb="4">
      <t>タン</t>
    </rPh>
    <phoneticPr fontId="2"/>
  </si>
  <si>
    <t>５歳・短</t>
    <rPh sb="1" eb="2">
      <t>サイ</t>
    </rPh>
    <rPh sb="3" eb="4">
      <t>タン</t>
    </rPh>
    <phoneticPr fontId="2"/>
  </si>
  <si>
    <t>クエリ抽出用</t>
    <rPh sb="3" eb="6">
      <t>チュウシュツヨウ</t>
    </rPh>
    <phoneticPr fontId="2"/>
  </si>
  <si>
    <t>１号分</t>
    <phoneticPr fontId="2"/>
  </si>
  <si>
    <t>２・３号分</t>
    <phoneticPr fontId="2"/>
  </si>
  <si>
    <t>最大配置数
イ</t>
    <rPh sb="0" eb="2">
      <t>サイダイ</t>
    </rPh>
    <rPh sb="2" eb="4">
      <t>ハイチ</t>
    </rPh>
    <rPh sb="4" eb="5">
      <t>スウ</t>
    </rPh>
    <phoneticPr fontId="2"/>
  </si>
  <si>
    <t>＜原則、２・３号のみ＞（※1）</t>
    <rPh sb="1" eb="3">
      <t>ゲンソク</t>
    </rPh>
    <rPh sb="7" eb="8">
      <t>ゴウ</t>
    </rPh>
    <phoneticPr fontId="2"/>
  </si>
  <si>
    <r>
      <t>①－（</t>
    </r>
    <r>
      <rPr>
        <u/>
        <sz val="11"/>
        <rFont val="ＭＳ Ｐゴシック"/>
        <family val="3"/>
        <charset val="128"/>
      </rPr>
      <t>③+・・・</t>
    </r>
    <r>
      <rPr>
        <sz val="11"/>
        <rFont val="ＭＳ Ｐゴシック"/>
        <family val="3"/>
        <charset val="128"/>
      </rPr>
      <t>）</t>
    </r>
    <phoneticPr fontId="2"/>
  </si>
  <si>
    <t>最大保育士数
(人件費補助金分)</t>
    <rPh sb="0" eb="2">
      <t>サイダイ</t>
    </rPh>
    <rPh sb="2" eb="5">
      <t>ホイクシ</t>
    </rPh>
    <rPh sb="5" eb="6">
      <t>スウ</t>
    </rPh>
    <phoneticPr fontId="2"/>
  </si>
  <si>
    <t>「人件費等補助金」及び「障害児加配補助金」の算定に係る職員数について</t>
    <rPh sb="1" eb="4">
      <t>ジンケンヒ</t>
    </rPh>
    <rPh sb="4" eb="5">
      <t>トウ</t>
    </rPh>
    <rPh sb="5" eb="8">
      <t>ホジョキン</t>
    </rPh>
    <rPh sb="9" eb="10">
      <t>オヨ</t>
    </rPh>
    <rPh sb="12" eb="14">
      <t>ショウガイ</t>
    </rPh>
    <rPh sb="14" eb="15">
      <t>ジ</t>
    </rPh>
    <rPh sb="15" eb="17">
      <t>カハイ</t>
    </rPh>
    <rPh sb="17" eb="20">
      <t>ホジョキン</t>
    </rPh>
    <rPh sb="22" eb="24">
      <t>サンテイ</t>
    </rPh>
    <rPh sb="25" eb="26">
      <t>カカ</t>
    </rPh>
    <rPh sb="27" eb="29">
      <t>ショクイン</t>
    </rPh>
    <rPh sb="29" eb="30">
      <t>スウ</t>
    </rPh>
    <phoneticPr fontId="2"/>
  </si>
  <si>
    <t>障害児補助金分</t>
    <rPh sb="0" eb="2">
      <t>ショウガイ</t>
    </rPh>
    <rPh sb="2" eb="3">
      <t>ジ</t>
    </rPh>
    <rPh sb="3" eb="6">
      <t>ホジョキン</t>
    </rPh>
    <rPh sb="6" eb="7">
      <t>ブン</t>
    </rPh>
    <phoneticPr fontId="2"/>
  </si>
  <si>
    <t>「人件費等補助金」及び「障害児加配補助金」の算定対象となる本市独自の加配保育士等数</t>
    <rPh sb="1" eb="4">
      <t>ジンケンヒ</t>
    </rPh>
    <rPh sb="4" eb="5">
      <t>トウ</t>
    </rPh>
    <rPh sb="5" eb="8">
      <t>ホジョキン</t>
    </rPh>
    <rPh sb="9" eb="10">
      <t>オヨ</t>
    </rPh>
    <rPh sb="12" eb="14">
      <t>ショウガイ</t>
    </rPh>
    <rPh sb="14" eb="15">
      <t>ジ</t>
    </rPh>
    <rPh sb="15" eb="17">
      <t>カハイ</t>
    </rPh>
    <rPh sb="17" eb="20">
      <t>ホジョキン</t>
    </rPh>
    <rPh sb="22" eb="24">
      <t>サンテイ</t>
    </rPh>
    <rPh sb="24" eb="26">
      <t>タイショウ</t>
    </rPh>
    <rPh sb="29" eb="31">
      <t>ホンシ</t>
    </rPh>
    <rPh sb="31" eb="33">
      <t>ドクジ</t>
    </rPh>
    <rPh sb="34" eb="36">
      <t>カハイ</t>
    </rPh>
    <rPh sb="36" eb="39">
      <t>ホイクシ</t>
    </rPh>
    <rPh sb="39" eb="40">
      <t>トウ</t>
    </rPh>
    <rPh sb="40" eb="41">
      <t>スウ</t>
    </rPh>
    <phoneticPr fontId="2"/>
  </si>
  <si>
    <r>
      <rPr>
        <b/>
        <sz val="8"/>
        <rFont val="ＭＳ Ｐゴシック"/>
        <family val="3"/>
        <charset val="128"/>
      </rPr>
      <t>常勤専従保育士</t>
    </r>
    <r>
      <rPr>
        <sz val="8"/>
        <rFont val="ＭＳ Ｐゴシック"/>
        <family val="3"/>
        <charset val="128"/>
      </rPr>
      <t xml:space="preserve">
（園長は含めない。）</t>
    </r>
    <rPh sb="0" eb="2">
      <t>ジョウキン</t>
    </rPh>
    <rPh sb="2" eb="4">
      <t>センジュウ</t>
    </rPh>
    <rPh sb="4" eb="7">
      <t>ホイクシ</t>
    </rPh>
    <rPh sb="9" eb="11">
      <t>エンチョウ</t>
    </rPh>
    <rPh sb="12" eb="13">
      <t>フク</t>
    </rPh>
    <phoneticPr fontId="2"/>
  </si>
  <si>
    <t>常勤非専従・非常勤保育士</t>
    <rPh sb="0" eb="2">
      <t>ジョウキン</t>
    </rPh>
    <rPh sb="2" eb="3">
      <t>ヒ</t>
    </rPh>
    <rPh sb="3" eb="5">
      <t>センジュウ</t>
    </rPh>
    <rPh sb="6" eb="9">
      <t>ヒジョウキン</t>
    </rPh>
    <rPh sb="9" eb="12">
      <t>ホイクシ</t>
    </rPh>
    <phoneticPr fontId="2"/>
  </si>
  <si>
    <t>うち常勤換算後の数</t>
    <phoneticPr fontId="2"/>
  </si>
  <si>
    <t>【非専従の常勤保育士及び非常勤の保育教諭】</t>
    <rPh sb="1" eb="2">
      <t>ヒ</t>
    </rPh>
    <rPh sb="2" eb="4">
      <t>センジュウ</t>
    </rPh>
    <rPh sb="5" eb="7">
      <t>ジョウキン</t>
    </rPh>
    <rPh sb="7" eb="9">
      <t>ホイク</t>
    </rPh>
    <rPh sb="9" eb="10">
      <t>シ</t>
    </rPh>
    <rPh sb="10" eb="11">
      <t>オヨ</t>
    </rPh>
    <rPh sb="12" eb="15">
      <t>ヒジョウキン</t>
    </rPh>
    <rPh sb="16" eb="18">
      <t>ホイク</t>
    </rPh>
    <rPh sb="18" eb="20">
      <t>キョウユ</t>
    </rPh>
    <phoneticPr fontId="2"/>
  </si>
  <si>
    <t>人件費
補助金分</t>
    <rPh sb="0" eb="3">
      <t>ジンケンヒ</t>
    </rPh>
    <rPh sb="4" eb="7">
      <t>ホジョキン</t>
    </rPh>
    <rPh sb="7" eb="8">
      <t>ブン</t>
    </rPh>
    <phoneticPr fontId="2"/>
  </si>
  <si>
    <r>
      <t>【常勤の</t>
    </r>
    <r>
      <rPr>
        <b/>
        <sz val="18"/>
        <color rgb="FFFF0000"/>
        <rFont val="ＭＳ Ｐゴシック"/>
        <family val="3"/>
        <charset val="128"/>
      </rPr>
      <t>専従</t>
    </r>
    <r>
      <rPr>
        <b/>
        <sz val="18"/>
        <rFont val="ＭＳ Ｐゴシック"/>
        <family val="3"/>
        <charset val="128"/>
      </rPr>
      <t>保育士】</t>
    </r>
    <rPh sb="1" eb="3">
      <t>ジョウキン</t>
    </rPh>
    <rPh sb="4" eb="6">
      <t>センジュウ</t>
    </rPh>
    <rPh sb="6" eb="9">
      <t>ホイクシ</t>
    </rPh>
    <phoneticPr fontId="2"/>
  </si>
  <si>
    <t>副園長、教頭、主観保育教諭、指導保育教諭、保育教諭及び講師</t>
    <rPh sb="0" eb="3">
      <t>フクエンチョウ</t>
    </rPh>
    <rPh sb="4" eb="6">
      <t>キョウトウ</t>
    </rPh>
    <rPh sb="7" eb="9">
      <t>シュカン</t>
    </rPh>
    <rPh sb="9" eb="11">
      <t>ホイク</t>
    </rPh>
    <rPh sb="11" eb="13">
      <t>キョウユ</t>
    </rPh>
    <rPh sb="14" eb="16">
      <t>シドウ</t>
    </rPh>
    <rPh sb="16" eb="18">
      <t>ホイク</t>
    </rPh>
    <rPh sb="18" eb="20">
      <t>キョウユ</t>
    </rPh>
    <rPh sb="21" eb="23">
      <t>ホイク</t>
    </rPh>
    <rPh sb="23" eb="25">
      <t>キョウユ</t>
    </rPh>
    <rPh sb="25" eb="26">
      <t>オヨ</t>
    </rPh>
    <rPh sb="27" eb="29">
      <t>コウシ</t>
    </rPh>
    <phoneticPr fontId="2"/>
  </si>
  <si>
    <t>分園における２・３号の標準時間利用児童の内訳を入力してください！（本園分は様式１-１に入力し、こちらには入力しないでください！）</t>
    <rPh sb="0" eb="2">
      <t>ブンエン</t>
    </rPh>
    <rPh sb="9" eb="10">
      <t>ゴウ</t>
    </rPh>
    <rPh sb="11" eb="13">
      <t>ヒョウジュン</t>
    </rPh>
    <rPh sb="13" eb="15">
      <t>ジカン</t>
    </rPh>
    <rPh sb="15" eb="17">
      <t>リヨウ</t>
    </rPh>
    <rPh sb="17" eb="19">
      <t>ジドウ</t>
    </rPh>
    <rPh sb="20" eb="22">
      <t>ウチワケ</t>
    </rPh>
    <rPh sb="23" eb="25">
      <t>ニュウリョク</t>
    </rPh>
    <rPh sb="33" eb="34">
      <t>ホン</t>
    </rPh>
    <rPh sb="34" eb="35">
      <t>エン</t>
    </rPh>
    <rPh sb="35" eb="36">
      <t>ブン</t>
    </rPh>
    <rPh sb="37" eb="39">
      <t>ヨウシキ</t>
    </rPh>
    <rPh sb="43" eb="45">
      <t>ニュウリョク</t>
    </rPh>
    <rPh sb="52" eb="54">
      <t>ニュウリョク</t>
    </rPh>
    <phoneticPr fontId="2"/>
  </si>
  <si>
    <t>※水色の部分は計算式が入っているため、入力できません。</t>
    <rPh sb="1" eb="3">
      <t>ミズイロ</t>
    </rPh>
    <rPh sb="4" eb="6">
      <t>ブブン</t>
    </rPh>
    <rPh sb="7" eb="9">
      <t>ケイサン</t>
    </rPh>
    <rPh sb="9" eb="10">
      <t>シキ</t>
    </rPh>
    <rPh sb="11" eb="12">
      <t>ハイ</t>
    </rPh>
    <rPh sb="19" eb="21">
      <t>ニュウリョク</t>
    </rPh>
    <phoneticPr fontId="2"/>
  </si>
  <si>
    <r>
      <t>本園における</t>
    </r>
    <r>
      <rPr>
        <b/>
        <u/>
        <sz val="14"/>
        <rFont val="ＭＳ Ｐゴシック"/>
        <family val="3"/>
        <charset val="128"/>
      </rPr>
      <t>２・３号</t>
    </r>
    <r>
      <rPr>
        <b/>
        <sz val="14"/>
        <rFont val="ＭＳ Ｐゴシック"/>
        <family val="3"/>
        <charset val="128"/>
      </rPr>
      <t>の標準時間利用児童の内訳を入力してください！（分園分は様式１-２に入力し、こちらには入力しないでください！）</t>
    </r>
    <rPh sb="0" eb="2">
      <t>ホンエン</t>
    </rPh>
    <rPh sb="9" eb="10">
      <t>ゴウ</t>
    </rPh>
    <rPh sb="11" eb="13">
      <t>ヒョウジュン</t>
    </rPh>
    <rPh sb="13" eb="15">
      <t>ジカン</t>
    </rPh>
    <rPh sb="15" eb="17">
      <t>リヨウ</t>
    </rPh>
    <rPh sb="17" eb="19">
      <t>ジドウ</t>
    </rPh>
    <rPh sb="20" eb="22">
      <t>ウチワケ</t>
    </rPh>
    <rPh sb="23" eb="25">
      <t>ニュウリョク</t>
    </rPh>
    <rPh sb="33" eb="35">
      <t>ブンエン</t>
    </rPh>
    <rPh sb="35" eb="36">
      <t>ブン</t>
    </rPh>
    <rPh sb="37" eb="39">
      <t>ヨウシキ</t>
    </rPh>
    <rPh sb="43" eb="45">
      <t>ニュウリョク</t>
    </rPh>
    <rPh sb="52" eb="54">
      <t>ニュウリョク</t>
    </rPh>
    <phoneticPr fontId="2"/>
  </si>
  <si>
    <t>【補助算定職員数（人件費等補助金関係）】</t>
    <rPh sb="1" eb="3">
      <t>ホジョ</t>
    </rPh>
    <rPh sb="3" eb="5">
      <t>サンテイ</t>
    </rPh>
    <rPh sb="5" eb="8">
      <t>ショクインスウ</t>
    </rPh>
    <rPh sb="9" eb="12">
      <t>ジンケンヒ</t>
    </rPh>
    <rPh sb="12" eb="13">
      <t>トウ</t>
    </rPh>
    <rPh sb="13" eb="16">
      <t>ホジョキン</t>
    </rPh>
    <rPh sb="16" eb="18">
      <t>カンケイ</t>
    </rPh>
    <phoneticPr fontId="2"/>
  </si>
  <si>
    <t>【過不足（人件費等補助金関係）】</t>
    <rPh sb="1" eb="4">
      <t>カフソク</t>
    </rPh>
    <rPh sb="5" eb="8">
      <t>ジンケンヒ</t>
    </rPh>
    <rPh sb="8" eb="9">
      <t>トウ</t>
    </rPh>
    <rPh sb="9" eb="12">
      <t>ホジョキン</t>
    </rPh>
    <rPh sb="12" eb="14">
      <t>カンケイ</t>
    </rPh>
    <phoneticPr fontId="2"/>
  </si>
  <si>
    <t>※人件費等補助金の補助算定職員数は、年間平均で算出します。</t>
    <phoneticPr fontId="2"/>
  </si>
  <si>
    <t>職種別補助金</t>
    <rPh sb="0" eb="3">
      <t>ショクシュベツ</t>
    </rPh>
    <rPh sb="3" eb="6">
      <t>ホジョキン</t>
    </rPh>
    <phoneticPr fontId="2"/>
  </si>
  <si>
    <t>障害児（１号）</t>
    <rPh sb="0" eb="2">
      <t>ショウガイ</t>
    </rPh>
    <rPh sb="2" eb="3">
      <t>ジ</t>
    </rPh>
    <rPh sb="5" eb="6">
      <t>ゴウ</t>
    </rPh>
    <phoneticPr fontId="2"/>
  </si>
  <si>
    <t>障害児（２・３号）</t>
    <rPh sb="0" eb="2">
      <t>ショウガイ</t>
    </rPh>
    <rPh sb="2" eb="3">
      <t>ジ</t>
    </rPh>
    <rPh sb="7" eb="8">
      <t>ゴウ</t>
    </rPh>
    <phoneticPr fontId="2"/>
  </si>
  <si>
    <t>　また、補助算定職員数は、補助上限に影響します。</t>
    <phoneticPr fontId="2"/>
  </si>
  <si>
    <r>
      <t>マイナスの場合、表示されている人数まで追加で雇用しても、人件費等補助金の算定対象になります。
ただし、</t>
    </r>
    <r>
      <rPr>
        <b/>
        <u/>
        <sz val="11"/>
        <color rgb="FFFF0000"/>
        <rFont val="ＭＳ Ｐゴシック"/>
        <family val="3"/>
        <charset val="128"/>
      </rPr>
      <t>実配置数の増減で変わるのは「保育士等の補助上限」であり、直ちに補助金は増えません。</t>
    </r>
    <r>
      <rPr>
        <sz val="11"/>
        <rFont val="ＭＳ Ｐゴシック"/>
        <family val="3"/>
        <charset val="128"/>
      </rPr>
      <t xml:space="preserve">
補助金額は、補助上限のほか、各園の人件費総額、給付費収入によって変わります。御留意ください。</t>
    </r>
    <phoneticPr fontId="2"/>
  </si>
  <si>
    <r>
      <t xml:space="preserve">【補助算定の状況（加配適用状況）】
</t>
    </r>
    <r>
      <rPr>
        <sz val="11"/>
        <rFont val="ＭＳ Ｐゴシック"/>
        <family val="3"/>
        <charset val="128"/>
      </rPr>
      <t>※○が増えると、補助算定職員数が増え、保育士等の人件費等補助金の補助上限が上がります。
※補助上限は補助算定職員数×単価で計算します。</t>
    </r>
    <rPh sb="1" eb="3">
      <t>ホジョ</t>
    </rPh>
    <rPh sb="3" eb="5">
      <t>サンテイ</t>
    </rPh>
    <rPh sb="6" eb="8">
      <t>ジョウキョウ</t>
    </rPh>
    <rPh sb="9" eb="11">
      <t>カハイ</t>
    </rPh>
    <rPh sb="11" eb="13">
      <t>テキヨウ</t>
    </rPh>
    <rPh sb="13" eb="15">
      <t>ジョウキョウ</t>
    </rPh>
    <rPh sb="21" eb="22">
      <t>フ</t>
    </rPh>
    <rPh sb="26" eb="28">
      <t>ホジョ</t>
    </rPh>
    <rPh sb="28" eb="30">
      <t>サンテイ</t>
    </rPh>
    <rPh sb="30" eb="33">
      <t>ショクインスウ</t>
    </rPh>
    <rPh sb="34" eb="35">
      <t>フ</t>
    </rPh>
    <rPh sb="37" eb="40">
      <t>ホイクシ</t>
    </rPh>
    <rPh sb="40" eb="41">
      <t>トウ</t>
    </rPh>
    <rPh sb="42" eb="45">
      <t>ジンケンヒ</t>
    </rPh>
    <rPh sb="45" eb="46">
      <t>トウ</t>
    </rPh>
    <rPh sb="46" eb="49">
      <t>ホジョキン</t>
    </rPh>
    <rPh sb="50" eb="52">
      <t>ホジョ</t>
    </rPh>
    <rPh sb="52" eb="54">
      <t>ジョウゲン</t>
    </rPh>
    <rPh sb="55" eb="56">
      <t>ア</t>
    </rPh>
    <rPh sb="63" eb="65">
      <t>ホジョ</t>
    </rPh>
    <rPh sb="65" eb="67">
      <t>ジョウゲン</t>
    </rPh>
    <rPh sb="68" eb="70">
      <t>ホジョ</t>
    </rPh>
    <rPh sb="70" eb="72">
      <t>サンテイ</t>
    </rPh>
    <rPh sb="72" eb="75">
      <t>ショクインスウ</t>
    </rPh>
    <rPh sb="76" eb="78">
      <t>タンカ</t>
    </rPh>
    <rPh sb="79" eb="81">
      <t>ケイサン</t>
    </rPh>
    <phoneticPr fontId="2"/>
  </si>
  <si>
    <t>障害児
加配</t>
    <rPh sb="0" eb="3">
      <t>ショウガイジ</t>
    </rPh>
    <rPh sb="4" eb="6">
      <t>カハイ</t>
    </rPh>
    <phoneticPr fontId="2"/>
  </si>
  <si>
    <t>1歳児
加配</t>
    <rPh sb="1" eb="3">
      <t>サイジ</t>
    </rPh>
    <rPh sb="4" eb="6">
      <t>カハイ</t>
    </rPh>
    <phoneticPr fontId="2"/>
  </si>
  <si>
    <t>標準保育
時間対応</t>
    <phoneticPr fontId="2"/>
  </si>
  <si>
    <t>休憩
保育士
（利用定員90超）</t>
    <phoneticPr fontId="2"/>
  </si>
  <si>
    <t>標準対応休憩
保育士</t>
    <phoneticPr fontId="2"/>
  </si>
  <si>
    <t>①上記【補助算定職員数】の算定に含まれている加配</t>
    <rPh sb="1" eb="3">
      <t>ジョウキ</t>
    </rPh>
    <rPh sb="4" eb="6">
      <t>ホジョ</t>
    </rPh>
    <rPh sb="6" eb="8">
      <t>サンテイ</t>
    </rPh>
    <rPh sb="8" eb="10">
      <t>ショクイン</t>
    </rPh>
    <rPh sb="10" eb="11">
      <t>スウ</t>
    </rPh>
    <rPh sb="13" eb="15">
      <t>サンテイ</t>
    </rPh>
    <rPh sb="16" eb="17">
      <t>フク</t>
    </rPh>
    <rPh sb="22" eb="24">
      <t>カハイ</t>
    </rPh>
    <phoneticPr fontId="2"/>
  </si>
  <si>
    <t>②各加配を算定に含めるために必要な実配置数（年間平均）</t>
    <rPh sb="1" eb="2">
      <t>カク</t>
    </rPh>
    <rPh sb="2" eb="4">
      <t>カハイ</t>
    </rPh>
    <rPh sb="5" eb="7">
      <t>サンテイ</t>
    </rPh>
    <rPh sb="8" eb="9">
      <t>フク</t>
    </rPh>
    <rPh sb="14" eb="16">
      <t>ヒツヨウ</t>
    </rPh>
    <rPh sb="17" eb="18">
      <t>ジツ</t>
    </rPh>
    <rPh sb="18" eb="20">
      <t>ハイチ</t>
    </rPh>
    <rPh sb="20" eb="21">
      <t>スウ</t>
    </rPh>
    <rPh sb="22" eb="24">
      <t>ネンカン</t>
    </rPh>
    <rPh sb="24" eb="26">
      <t>ヘイキンネンヘイキン</t>
    </rPh>
    <phoneticPr fontId="2"/>
  </si>
  <si>
    <r>
      <t xml:space="preserve">③今後配置必要実配置数
</t>
    </r>
    <r>
      <rPr>
        <sz val="10"/>
        <rFont val="ＭＳ Ｐゴシック"/>
        <family val="3"/>
        <charset val="128"/>
      </rPr>
      <t>※②を満たすために新たな職員の雇用を検討されている場合は、何月からの雇用を想定されているかを黄色マーカー（R53セル）にて選択のうえご覧ください。</t>
    </r>
    <rPh sb="79" eb="80">
      <t>ラン</t>
    </rPh>
    <phoneticPr fontId="2"/>
  </si>
  <si>
    <t>雇用
開始月</t>
    <phoneticPr fontId="2"/>
  </si>
  <si>
    <t>職員数合計（常勤換算値、小数点第２位まで表示）</t>
    <phoneticPr fontId="2"/>
  </si>
  <si>
    <t>常勤換算Ａ／Ｂ（小数点第２位まで表示）</t>
    <phoneticPr fontId="2"/>
  </si>
  <si>
    <t>【このシートについて】</t>
    <phoneticPr fontId="2"/>
  </si>
  <si>
    <t>対象月</t>
    <rPh sb="0" eb="2">
      <t>タイショウ</t>
    </rPh>
    <rPh sb="2" eb="3">
      <t>ゲツ</t>
    </rPh>
    <phoneticPr fontId="2"/>
  </si>
  <si>
    <t>備考（エラーがあると表示されます）</t>
    <rPh sb="0" eb="2">
      <t>ビコウ</t>
    </rPh>
    <rPh sb="10" eb="12">
      <t>ヒョウジ</t>
    </rPh>
    <phoneticPr fontId="2"/>
  </si>
  <si>
    <t>職員数</t>
    <rPh sb="0" eb="3">
      <t>ショクインスウ</t>
    </rPh>
    <phoneticPr fontId="2"/>
  </si>
  <si>
    <t>上限※</t>
    <rPh sb="0" eb="2">
      <t>ジョウゲン</t>
    </rPh>
    <phoneticPr fontId="2"/>
  </si>
  <si>
    <t>5月</t>
  </si>
  <si>
    <t>6月</t>
  </si>
  <si>
    <t>7月</t>
  </si>
  <si>
    <t>8月</t>
  </si>
  <si>
    <t>9月</t>
  </si>
  <si>
    <t>10月</t>
  </si>
  <si>
    <t>11月</t>
  </si>
  <si>
    <t>12月</t>
  </si>
  <si>
    <t>1月</t>
  </si>
  <si>
    <t>2月</t>
  </si>
  <si>
    <t>3月</t>
  </si>
  <si>
    <t>※1号+2号の利用定員が</t>
    <rPh sb="2" eb="3">
      <t>ゴウ</t>
    </rPh>
    <rPh sb="5" eb="6">
      <t>ゴウ</t>
    </rPh>
    <rPh sb="7" eb="9">
      <t>リヨウ</t>
    </rPh>
    <rPh sb="9" eb="11">
      <t>テイイン</t>
    </rPh>
    <phoneticPr fontId="2"/>
  </si>
  <si>
    <t>45人以下</t>
    <rPh sb="2" eb="3">
      <t>ニン</t>
    </rPh>
    <rPh sb="3" eb="5">
      <t>イカ</t>
    </rPh>
    <phoneticPr fontId="2"/>
  </si>
  <si>
    <t>46～150人</t>
    <rPh sb="6" eb="7">
      <t>ニン</t>
    </rPh>
    <phoneticPr fontId="2"/>
  </si>
  <si>
    <t>151～240人</t>
    <rPh sb="7" eb="8">
      <t>ニン</t>
    </rPh>
    <phoneticPr fontId="2"/>
  </si>
  <si>
    <t>241～270人</t>
    <rPh sb="7" eb="8">
      <t>ニン</t>
    </rPh>
    <phoneticPr fontId="2"/>
  </si>
  <si>
    <t>271～300人</t>
    <rPh sb="7" eb="8">
      <t>ニン</t>
    </rPh>
    <phoneticPr fontId="2"/>
  </si>
  <si>
    <t>301～450人</t>
    <rPh sb="7" eb="8">
      <t>ニン</t>
    </rPh>
    <phoneticPr fontId="2"/>
  </si>
  <si>
    <t>451人～</t>
    <rPh sb="3" eb="4">
      <t>ニン</t>
    </rPh>
    <phoneticPr fontId="2"/>
  </si>
  <si>
    <r>
      <t xml:space="preserve">（参考）
条例基準上の必要教職員数
</t>
    </r>
    <r>
      <rPr>
        <sz val="8.5"/>
        <rFont val="ＭＳ Ｐゴシック"/>
        <family val="3"/>
        <charset val="128"/>
      </rPr>
      <t>（加算は満３歳児のみ考慮）</t>
    </r>
    <rPh sb="1" eb="3">
      <t>サンコウ</t>
    </rPh>
    <rPh sb="5" eb="7">
      <t>ジョウレイ</t>
    </rPh>
    <rPh sb="7" eb="9">
      <t>キジュン</t>
    </rPh>
    <rPh sb="13" eb="16">
      <t>キョウショクイン</t>
    </rPh>
    <rPh sb="24" eb="26">
      <t>サイジ</t>
    </rPh>
    <phoneticPr fontId="2"/>
  </si>
  <si>
    <r>
      <t xml:space="preserve">必要
教職員数
【年齢別
配置
基準】
</t>
    </r>
    <r>
      <rPr>
        <sz val="8.5"/>
        <rFont val="ＭＳ Ｐゴシック"/>
        <family val="3"/>
        <charset val="128"/>
      </rPr>
      <t>(歳児別の加算を考慮)</t>
    </r>
    <r>
      <rPr>
        <b/>
        <sz val="8.5"/>
        <rFont val="ＭＳ Ｐゴシック"/>
        <family val="3"/>
        <charset val="128"/>
      </rPr>
      <t xml:space="preserve">
②～⑤</t>
    </r>
    <r>
      <rPr>
        <b/>
        <sz val="9"/>
        <rFont val="ＭＳ Ｐゴシック"/>
        <family val="3"/>
        <charset val="128"/>
      </rPr>
      <t>の合計</t>
    </r>
    <rPh sb="36" eb="38">
      <t>ゴウケイ</t>
    </rPh>
    <phoneticPr fontId="2"/>
  </si>
  <si>
    <t>年齢別配置基準
※　4歳以上児、3歳児、満3歳児の加算取得状況に応じ、2・3号児童の条例基準部分補助金対象分を含む</t>
    <rPh sb="0" eb="2">
      <t>ネンレイ</t>
    </rPh>
    <rPh sb="2" eb="3">
      <t>ベツ</t>
    </rPh>
    <rPh sb="3" eb="5">
      <t>ハイチ</t>
    </rPh>
    <rPh sb="5" eb="7">
      <t>キジュン</t>
    </rPh>
    <rPh sb="11" eb="14">
      <t>サイイジョウ</t>
    </rPh>
    <rPh sb="14" eb="15">
      <t>ジ</t>
    </rPh>
    <rPh sb="17" eb="19">
      <t>サイジ</t>
    </rPh>
    <rPh sb="20" eb="21">
      <t>マン</t>
    </rPh>
    <rPh sb="22" eb="24">
      <t>サイジ</t>
    </rPh>
    <rPh sb="25" eb="27">
      <t>カサン</t>
    </rPh>
    <rPh sb="27" eb="29">
      <t>シュトク</t>
    </rPh>
    <rPh sb="29" eb="31">
      <t>ジョウキョウ</t>
    </rPh>
    <rPh sb="32" eb="33">
      <t>オウ</t>
    </rPh>
    <rPh sb="38" eb="39">
      <t>ゴウ</t>
    </rPh>
    <rPh sb="39" eb="41">
      <t>ジドウ</t>
    </rPh>
    <rPh sb="42" eb="44">
      <t>ジョウレイ</t>
    </rPh>
    <rPh sb="44" eb="46">
      <t>キジュン</t>
    </rPh>
    <rPh sb="46" eb="48">
      <t>ブブン</t>
    </rPh>
    <rPh sb="48" eb="51">
      <t>ホジョキン</t>
    </rPh>
    <rPh sb="51" eb="53">
      <t>タイショウ</t>
    </rPh>
    <rPh sb="53" eb="54">
      <t>フン</t>
    </rPh>
    <rPh sb="55" eb="56">
      <t>フク</t>
    </rPh>
    <phoneticPr fontId="2"/>
  </si>
  <si>
    <r>
      <t>必要
教職員数
【年齢別
配置基準</t>
    </r>
    <r>
      <rPr>
        <u/>
        <sz val="8.5"/>
        <rFont val="ＭＳ Ｐゴシック"/>
        <family val="3"/>
        <charset val="128"/>
      </rPr>
      <t>（歳児別の加算を考慮）</t>
    </r>
    <r>
      <rPr>
        <b/>
        <u/>
        <sz val="8.5"/>
        <rFont val="ＭＳ Ｐゴシック"/>
        <family val="3"/>
        <charset val="128"/>
      </rPr>
      <t xml:space="preserve">
+国加配】
⑥～⑨</t>
    </r>
    <r>
      <rPr>
        <b/>
        <u/>
        <sz val="9"/>
        <rFont val="ＭＳ Ｐゴシック"/>
        <family val="3"/>
        <charset val="128"/>
      </rPr>
      <t>の合計</t>
    </r>
    <rPh sb="0" eb="2">
      <t>ヒツヨウ</t>
    </rPh>
    <rPh sb="3" eb="5">
      <t>キョウショク</t>
    </rPh>
    <rPh sb="6" eb="7">
      <t>スウ</t>
    </rPh>
    <rPh sb="10" eb="12">
      <t>ネンレイ</t>
    </rPh>
    <rPh sb="12" eb="13">
      <t>ベツ</t>
    </rPh>
    <rPh sb="14" eb="16">
      <t>ハイチ</t>
    </rPh>
    <rPh sb="16" eb="18">
      <t>キジュン</t>
    </rPh>
    <rPh sb="31" eb="32">
      <t>クニ</t>
    </rPh>
    <rPh sb="32" eb="34">
      <t>カハイ</t>
    </rPh>
    <rPh sb="41" eb="43">
      <t>ゴウケイ</t>
    </rPh>
    <phoneticPr fontId="2"/>
  </si>
  <si>
    <t>休憩保育士（利用定員90超）※90以下の場合は②で加配</t>
    <phoneticPr fontId="2"/>
  </si>
  <si>
    <r>
      <t xml:space="preserve">条例基準に基づく必要職員数との差
【C-（⑥´+⑦+⑧+⑨）】
</t>
    </r>
    <r>
      <rPr>
        <sz val="10"/>
        <rFont val="ＭＳ Ｐゴシック"/>
        <family val="3"/>
        <charset val="128"/>
      </rPr>
      <t>コメント
参照</t>
    </r>
    <r>
      <rPr>
        <b/>
        <sz val="10"/>
        <rFont val="ＭＳ Ｐゴシック"/>
        <family val="3"/>
        <charset val="128"/>
      </rPr>
      <t xml:space="preserve">
</t>
    </r>
    <rPh sb="37" eb="39">
      <t>サンショウ</t>
    </rPh>
    <phoneticPr fontId="2"/>
  </si>
  <si>
    <r>
      <t xml:space="preserve">必要
職員数
との差
</t>
    </r>
    <r>
      <rPr>
        <b/>
        <sz val="10"/>
        <rFont val="BIZ UDPゴシック"/>
        <family val="3"/>
        <charset val="128"/>
      </rPr>
      <t>【Ｃ－Ａ】</t>
    </r>
    <r>
      <rPr>
        <b/>
        <sz val="10"/>
        <rFont val="ＭＳ Ｐゴシック"/>
        <family val="3"/>
        <charset val="128"/>
      </rPr>
      <t xml:space="preserve">
</t>
    </r>
    <r>
      <rPr>
        <sz val="10"/>
        <rFont val="ＭＳ Ｐゴシック"/>
        <family val="3"/>
        <charset val="128"/>
      </rPr>
      <t>コメント
参照</t>
    </r>
    <rPh sb="0" eb="2">
      <t>ヒツヨウ</t>
    </rPh>
    <rPh sb="22" eb="24">
      <t>サンショウ</t>
    </rPh>
    <phoneticPr fontId="2"/>
  </si>
  <si>
    <t>必要
主幹保育教諭数</t>
    <rPh sb="0" eb="2">
      <t>ヒツヨウ</t>
    </rPh>
    <rPh sb="3" eb="5">
      <t>シュカン</t>
    </rPh>
    <rPh sb="5" eb="7">
      <t>ホイク</t>
    </rPh>
    <rPh sb="7" eb="9">
      <t>キョウユ</t>
    </rPh>
    <rPh sb="9" eb="10">
      <t>スウ</t>
    </rPh>
    <phoneticPr fontId="2"/>
  </si>
  <si>
    <t>保育士とみなすことができる人数（小数点第２位まで表示）【分園分】</t>
    <phoneticPr fontId="2"/>
  </si>
  <si>
    <t>保育士とみなすことができる人数（小数点第２位まで表示）【本園分】</t>
    <rPh sb="28" eb="29">
      <t>ホン</t>
    </rPh>
    <rPh sb="29" eb="30">
      <t>エン</t>
    </rPh>
    <rPh sb="30" eb="31">
      <t>ブン</t>
    </rPh>
    <phoneticPr fontId="2"/>
  </si>
  <si>
    <t>うち、非常勤講師等の数（該当する場合は1を入力）</t>
    <phoneticPr fontId="2"/>
  </si>
  <si>
    <t>1・2号定員</t>
    <rPh sb="3" eb="4">
      <t>ゴウ</t>
    </rPh>
    <rPh sb="4" eb="6">
      <t>テイイン</t>
    </rPh>
    <phoneticPr fontId="2"/>
  </si>
  <si>
    <t>適用</t>
    <rPh sb="0" eb="2">
      <t>テキヨウ</t>
    </rPh>
    <phoneticPr fontId="2"/>
  </si>
  <si>
    <t>チーム保育加配加算</t>
    <rPh sb="3" eb="5">
      <t>ホイク</t>
    </rPh>
    <rPh sb="5" eb="7">
      <t>カハイ</t>
    </rPh>
    <rPh sb="7" eb="9">
      <t>カサン</t>
    </rPh>
    <phoneticPr fontId="2"/>
  </si>
  <si>
    <t>4歳以上児配置改善加算</t>
    <rPh sb="1" eb="2">
      <t>サイ</t>
    </rPh>
    <rPh sb="2" eb="4">
      <t>イジョウ</t>
    </rPh>
    <rPh sb="4" eb="5">
      <t>ジ</t>
    </rPh>
    <rPh sb="5" eb="7">
      <t>ハイチ</t>
    </rPh>
    <rPh sb="7" eb="9">
      <t>カイゼン</t>
    </rPh>
    <rPh sb="9" eb="11">
      <t>カサン</t>
    </rPh>
    <phoneticPr fontId="2"/>
  </si>
  <si>
    <t>3歳児配置改善加算</t>
    <rPh sb="1" eb="3">
      <t>サイジ</t>
    </rPh>
    <rPh sb="3" eb="5">
      <t>ハイチ</t>
    </rPh>
    <rPh sb="5" eb="7">
      <t>カイゼン</t>
    </rPh>
    <rPh sb="7" eb="9">
      <t>カサン</t>
    </rPh>
    <phoneticPr fontId="2"/>
  </si>
  <si>
    <t>満3歳児対応加配加算</t>
    <rPh sb="0" eb="1">
      <t>マン</t>
    </rPh>
    <rPh sb="2" eb="4">
      <t>サイジ</t>
    </rPh>
    <rPh sb="4" eb="6">
      <t>タイオウ</t>
    </rPh>
    <rPh sb="6" eb="8">
      <t>カハイ</t>
    </rPh>
    <rPh sb="8" eb="10">
      <t>カサン</t>
    </rPh>
    <phoneticPr fontId="2"/>
  </si>
  <si>
    <t>園長等の兼務状況</t>
    <rPh sb="0" eb="2">
      <t>エンチョウ</t>
    </rPh>
    <rPh sb="2" eb="3">
      <t>トウ</t>
    </rPh>
    <rPh sb="4" eb="6">
      <t>ケンム</t>
    </rPh>
    <rPh sb="6" eb="8">
      <t>ジョウキョウ</t>
    </rPh>
    <phoneticPr fontId="2"/>
  </si>
  <si>
    <t>×</t>
    <phoneticPr fontId="2"/>
  </si>
  <si>
    <t>【必須】加算の適用状況等を踏まえて、プルダウンから選択してください。（プルダウンを選択すると色が消えます。エラーメッセージがある場合は内容を参照して適切に修正してください。）</t>
    <rPh sb="1" eb="3">
      <t>ヒッス</t>
    </rPh>
    <rPh sb="4" eb="6">
      <t>カサン</t>
    </rPh>
    <rPh sb="7" eb="9">
      <t>テキヨウ</t>
    </rPh>
    <rPh sb="9" eb="11">
      <t>ジョウキョウ</t>
    </rPh>
    <rPh sb="11" eb="12">
      <t>トウ</t>
    </rPh>
    <rPh sb="13" eb="14">
      <t>フ</t>
    </rPh>
    <rPh sb="25" eb="27">
      <t>センタク</t>
    </rPh>
    <rPh sb="41" eb="43">
      <t>センタク</t>
    </rPh>
    <rPh sb="46" eb="47">
      <t>イロ</t>
    </rPh>
    <rPh sb="48" eb="49">
      <t>キ</t>
    </rPh>
    <rPh sb="64" eb="66">
      <t>バアイ</t>
    </rPh>
    <rPh sb="67" eb="69">
      <t>ナイヨウ</t>
    </rPh>
    <rPh sb="70" eb="72">
      <t>サンショウ</t>
    </rPh>
    <rPh sb="74" eb="76">
      <t>テキセツ</t>
    </rPh>
    <rPh sb="77" eb="79">
      <t>シュウセイ</t>
    </rPh>
    <phoneticPr fontId="2"/>
  </si>
  <si>
    <t>代替保育教諭等のうち非常勤講師の人数</t>
    <rPh sb="0" eb="2">
      <t>ダイタイ</t>
    </rPh>
    <rPh sb="2" eb="4">
      <t>ホイク</t>
    </rPh>
    <rPh sb="4" eb="6">
      <t>キョウユ</t>
    </rPh>
    <rPh sb="6" eb="7">
      <t>トウ</t>
    </rPh>
    <rPh sb="10" eb="13">
      <t>ヒジョウキン</t>
    </rPh>
    <rPh sb="13" eb="15">
      <t>コウシ</t>
    </rPh>
    <rPh sb="16" eb="17">
      <t>ヒト</t>
    </rPh>
    <rPh sb="17" eb="18">
      <t>カズ</t>
    </rPh>
    <phoneticPr fontId="2"/>
  </si>
  <si>
    <t>計算用→</t>
    <rPh sb="0" eb="3">
      <t>ケイサンヨウ</t>
    </rPh>
    <phoneticPr fontId="2"/>
  </si>
  <si>
    <t>本園</t>
    <rPh sb="0" eb="1">
      <t>ホン</t>
    </rPh>
    <rPh sb="1" eb="2">
      <t>エン</t>
    </rPh>
    <phoneticPr fontId="2"/>
  </si>
  <si>
    <t>分園</t>
    <rPh sb="0" eb="2">
      <t>ブンエン</t>
    </rPh>
    <phoneticPr fontId="2"/>
  </si>
  <si>
    <t>配置可能上限</t>
    <rPh sb="0" eb="2">
      <t>ハイチ</t>
    </rPh>
    <rPh sb="2" eb="4">
      <t>カノウ</t>
    </rPh>
    <rPh sb="4" eb="6">
      <t>ジョウゲン</t>
    </rPh>
    <phoneticPr fontId="2"/>
  </si>
  <si>
    <t>前月からの変更</t>
    <rPh sb="0" eb="2">
      <t>ゼンゲツ</t>
    </rPh>
    <rPh sb="5" eb="7">
      <t>ヘンコウ</t>
    </rPh>
    <phoneticPr fontId="2"/>
  </si>
  <si>
    <t>専任</t>
    <rPh sb="0" eb="2">
      <t>センニン</t>
    </rPh>
    <phoneticPr fontId="2"/>
  </si>
  <si>
    <t>非専任</t>
    <rPh sb="0" eb="1">
      <t>ヒ</t>
    </rPh>
    <rPh sb="1" eb="3">
      <t>センニン</t>
    </rPh>
    <phoneticPr fontId="2"/>
  </si>
  <si>
    <t>各月歳児別配置基準</t>
    <rPh sb="0" eb="1">
      <t>カク</t>
    </rPh>
    <rPh sb="1" eb="2">
      <t>ゲツ</t>
    </rPh>
    <rPh sb="2" eb="4">
      <t>サイジ</t>
    </rPh>
    <rPh sb="4" eb="5">
      <t>ベツ</t>
    </rPh>
    <rPh sb="5" eb="7">
      <t>ハイチ</t>
    </rPh>
    <rPh sb="7" eb="9">
      <t>キジュン</t>
    </rPh>
    <phoneticPr fontId="2"/>
  </si>
  <si>
    <t>本園</t>
    <rPh sb="0" eb="2">
      <t>ホンエン</t>
    </rPh>
    <phoneticPr fontId="74"/>
  </si>
  <si>
    <t>分園</t>
    <rPh sb="0" eb="1">
      <t>ブン</t>
    </rPh>
    <rPh sb="1" eb="2">
      <t>ソノ</t>
    </rPh>
    <phoneticPr fontId="74"/>
  </si>
  <si>
    <t>計</t>
    <rPh sb="0" eb="1">
      <t>ケイ</t>
    </rPh>
    <phoneticPr fontId="74"/>
  </si>
  <si>
    <t>０歳児</t>
    <rPh sb="1" eb="3">
      <t>サイジ</t>
    </rPh>
    <phoneticPr fontId="74"/>
  </si>
  <si>
    <t>1歳児</t>
    <rPh sb="1" eb="3">
      <t>サイジ</t>
    </rPh>
    <phoneticPr fontId="74"/>
  </si>
  <si>
    <t>2歳児</t>
    <rPh sb="1" eb="3">
      <t>サイジ</t>
    </rPh>
    <phoneticPr fontId="74"/>
  </si>
  <si>
    <t>満3歳児</t>
    <rPh sb="0" eb="1">
      <t>マン</t>
    </rPh>
    <rPh sb="2" eb="4">
      <t>サイジ</t>
    </rPh>
    <phoneticPr fontId="74"/>
  </si>
  <si>
    <t>3歳児</t>
    <rPh sb="1" eb="3">
      <t>サイジ</t>
    </rPh>
    <phoneticPr fontId="74"/>
  </si>
  <si>
    <t>4歳児</t>
    <rPh sb="1" eb="3">
      <t>サイジ</t>
    </rPh>
    <phoneticPr fontId="74"/>
  </si>
  <si>
    <t>5歳児</t>
    <rPh sb="1" eb="3">
      <t>サイジ</t>
    </rPh>
    <phoneticPr fontId="74"/>
  </si>
  <si>
    <t>児童数</t>
    <rPh sb="0" eb="2">
      <t>ジドウ</t>
    </rPh>
    <rPh sb="2" eb="3">
      <t>スウ</t>
    </rPh>
    <phoneticPr fontId="2"/>
  </si>
  <si>
    <t>必要保育教諭等</t>
    <rPh sb="0" eb="2">
      <t>ヒツヨウ</t>
    </rPh>
    <rPh sb="2" eb="4">
      <t>ホイク</t>
    </rPh>
    <rPh sb="4" eb="6">
      <t>キョウユ</t>
    </rPh>
    <rPh sb="6" eb="7">
      <t>トウ</t>
    </rPh>
    <phoneticPr fontId="2"/>
  </si>
  <si>
    <t>2・3号</t>
    <rPh sb="3" eb="4">
      <t>ゴウ</t>
    </rPh>
    <phoneticPr fontId="2"/>
  </si>
  <si>
    <t>1号分算出</t>
    <rPh sb="1" eb="2">
      <t>ゴウ</t>
    </rPh>
    <rPh sb="2" eb="3">
      <t>ブン</t>
    </rPh>
    <rPh sb="3" eb="5">
      <t>サンシュツ</t>
    </rPh>
    <phoneticPr fontId="2"/>
  </si>
  <si>
    <t>条例基準</t>
    <rPh sb="0" eb="2">
      <t>ジョウレイ</t>
    </rPh>
    <rPh sb="2" eb="4">
      <t>キジュン</t>
    </rPh>
    <phoneticPr fontId="2"/>
  </si>
  <si>
    <t>本園</t>
    <rPh sb="0" eb="1">
      <t>ホン</t>
    </rPh>
    <rPh sb="1" eb="2">
      <t>エン</t>
    </rPh>
    <phoneticPr fontId="2"/>
  </si>
  <si>
    <t>分園</t>
    <rPh sb="0" eb="2">
      <t>ブンエン</t>
    </rPh>
    <phoneticPr fontId="2"/>
  </si>
  <si>
    <t>flag</t>
    <phoneticPr fontId="2"/>
  </si>
  <si>
    <t>・職員の配置基準に影響する加算等の適用状況を入力いただきます。</t>
    <rPh sb="1" eb="3">
      <t>ショクイン</t>
    </rPh>
    <rPh sb="4" eb="6">
      <t>ハイチ</t>
    </rPh>
    <rPh sb="6" eb="8">
      <t>キジュン</t>
    </rPh>
    <rPh sb="9" eb="11">
      <t>エイキョウ</t>
    </rPh>
    <rPh sb="13" eb="15">
      <t>カサン</t>
    </rPh>
    <rPh sb="15" eb="16">
      <t>トウ</t>
    </rPh>
    <rPh sb="17" eb="19">
      <t>テキヨウ</t>
    </rPh>
    <rPh sb="19" eb="21">
      <t>ジョウキョウ</t>
    </rPh>
    <rPh sb="22" eb="24">
      <t>ニュウリョク</t>
    </rPh>
    <phoneticPr fontId="2"/>
  </si>
  <si>
    <t>・入力された情報を基に、「様式１」シートや「参考_歳児別配置基準」シートにおいて配置が必要な職員数等を算出します。</t>
    <rPh sb="1" eb="3">
      <t>ニュウリョク</t>
    </rPh>
    <rPh sb="6" eb="8">
      <t>ジョウホウ</t>
    </rPh>
    <rPh sb="9" eb="10">
      <t>モト</t>
    </rPh>
    <rPh sb="13" eb="15">
      <t>ヨウシキ</t>
    </rPh>
    <rPh sb="40" eb="42">
      <t>ハイチ</t>
    </rPh>
    <rPh sb="43" eb="45">
      <t>ヒツヨウ</t>
    </rPh>
    <rPh sb="46" eb="49">
      <t>ショクインスウ</t>
    </rPh>
    <rPh sb="49" eb="50">
      <t>トウ</t>
    </rPh>
    <rPh sb="51" eb="53">
      <t>サンシュツ</t>
    </rPh>
    <phoneticPr fontId="2"/>
  </si>
  <si>
    <t>・以下の手順により、各月ごとに取得している加算等の状況をプルダウンから選択してください。</t>
    <rPh sb="1" eb="3">
      <t>イカ</t>
    </rPh>
    <rPh sb="4" eb="6">
      <t>テジュン</t>
    </rPh>
    <rPh sb="10" eb="12">
      <t>カクゲツ</t>
    </rPh>
    <rPh sb="15" eb="17">
      <t>シュトク</t>
    </rPh>
    <rPh sb="21" eb="23">
      <t>カサン</t>
    </rPh>
    <rPh sb="23" eb="24">
      <t>トウ</t>
    </rPh>
    <rPh sb="25" eb="27">
      <t>ジョウキョウ</t>
    </rPh>
    <rPh sb="35" eb="37">
      <t>センタク</t>
    </rPh>
    <phoneticPr fontId="2"/>
  </si>
  <si>
    <t>②５月以降については、前月からの適用状況に変更の有無をB列で選択してください。</t>
    <rPh sb="2" eb="3">
      <t>ガツ</t>
    </rPh>
    <rPh sb="3" eb="5">
      <t>イコウ</t>
    </rPh>
    <rPh sb="11" eb="13">
      <t>ゼンゲツ</t>
    </rPh>
    <rPh sb="16" eb="18">
      <t>テキヨウ</t>
    </rPh>
    <rPh sb="18" eb="20">
      <t>ジョウキョウ</t>
    </rPh>
    <rPh sb="21" eb="23">
      <t>ヘンコウ</t>
    </rPh>
    <rPh sb="24" eb="26">
      <t>ウム</t>
    </rPh>
    <rPh sb="28" eb="29">
      <t>レツ</t>
    </rPh>
    <rPh sb="30" eb="32">
      <t>センタク</t>
    </rPh>
    <phoneticPr fontId="2"/>
  </si>
  <si>
    <t>→「変更あり」を選択した場合、①と同様に当該月の加算の適用状況を入力してください。</t>
    <rPh sb="2" eb="4">
      <t>ヘンコウ</t>
    </rPh>
    <rPh sb="8" eb="10">
      <t>センタク</t>
    </rPh>
    <rPh sb="12" eb="14">
      <t>バアイ</t>
    </rPh>
    <rPh sb="17" eb="19">
      <t>ドウヨウ</t>
    </rPh>
    <rPh sb="20" eb="22">
      <t>トウガイ</t>
    </rPh>
    <rPh sb="22" eb="23">
      <t>ゲツ</t>
    </rPh>
    <rPh sb="24" eb="26">
      <t>カサン</t>
    </rPh>
    <rPh sb="27" eb="29">
      <t>テキヨウ</t>
    </rPh>
    <rPh sb="29" eb="31">
      <t>ジョウキョウ</t>
    </rPh>
    <rPh sb="32" eb="34">
      <t>ニュウリョク</t>
    </rPh>
    <phoneticPr fontId="2"/>
  </si>
  <si>
    <t>4月</t>
    <rPh sb="1" eb="2">
      <t>ツキ</t>
    </rPh>
    <phoneticPr fontId="2"/>
  </si>
  <si>
    <t>5月</t>
    <phoneticPr fontId="2"/>
  </si>
  <si>
    <t>6月</t>
    <phoneticPr fontId="2"/>
  </si>
  <si>
    <t>7月</t>
    <phoneticPr fontId="2"/>
  </si>
  <si>
    <t>8月</t>
    <phoneticPr fontId="2"/>
  </si>
  <si>
    <t>9月</t>
    <phoneticPr fontId="2"/>
  </si>
  <si>
    <t>10月</t>
    <phoneticPr fontId="2"/>
  </si>
  <si>
    <t>11月</t>
    <phoneticPr fontId="2"/>
  </si>
  <si>
    <t>12月</t>
    <phoneticPr fontId="2"/>
  </si>
  <si>
    <t>1月</t>
    <phoneticPr fontId="2"/>
  </si>
  <si>
    <t>2月</t>
    <phoneticPr fontId="2"/>
  </si>
  <si>
    <t>3月</t>
    <phoneticPr fontId="2"/>
  </si>
  <si>
    <t>月</t>
    <rPh sb="0" eb="1">
      <t>ゲツ</t>
    </rPh>
    <phoneticPr fontId="2"/>
  </si>
  <si>
    <t>月（文字化）</t>
    <rPh sb="0" eb="1">
      <t>ゲツ</t>
    </rPh>
    <rPh sb="2" eb="5">
      <t>モジカ</t>
    </rPh>
    <phoneticPr fontId="2"/>
  </si>
  <si>
    <t>過不足数</t>
    <rPh sb="0" eb="3">
      <t>カブソク</t>
    </rPh>
    <phoneticPr fontId="2"/>
  </si>
  <si>
    <t>必要保育士数（市基準+国加配）</t>
    <rPh sb="0" eb="2">
      <t>ヒツヨウ</t>
    </rPh>
    <rPh sb="2" eb="5">
      <t>ホイクシ</t>
    </rPh>
    <rPh sb="5" eb="6">
      <t>スウ</t>
    </rPh>
    <rPh sb="7" eb="8">
      <t>シ</t>
    </rPh>
    <rPh sb="8" eb="10">
      <t>キジュン</t>
    </rPh>
    <rPh sb="11" eb="12">
      <t>クニ</t>
    </rPh>
    <rPh sb="12" eb="14">
      <t>カハイ</t>
    </rPh>
    <phoneticPr fontId="2"/>
  </si>
  <si>
    <t>チーム保育加配加算（ミサリオフラグ化）</t>
    <rPh sb="3" eb="5">
      <t>ホイク</t>
    </rPh>
    <rPh sb="5" eb="7">
      <t>カハイ</t>
    </rPh>
    <rPh sb="7" eb="9">
      <t>カサン</t>
    </rPh>
    <rPh sb="17" eb="18">
      <t>バ</t>
    </rPh>
    <phoneticPr fontId="2"/>
  </si>
  <si>
    <t>4歳以上児配置改善加算</t>
    <rPh sb="1" eb="2">
      <t>サイ</t>
    </rPh>
    <rPh sb="2" eb="4">
      <t>イジョウ</t>
    </rPh>
    <rPh sb="4" eb="5">
      <t>コ</t>
    </rPh>
    <rPh sb="5" eb="7">
      <t>ハイチ</t>
    </rPh>
    <rPh sb="7" eb="9">
      <t>カイゼン</t>
    </rPh>
    <rPh sb="9" eb="11">
      <t>カサン</t>
    </rPh>
    <phoneticPr fontId="2"/>
  </si>
  <si>
    <t>満3歳児対応加配加算</t>
    <rPh sb="0" eb="1">
      <t>ミツル</t>
    </rPh>
    <rPh sb="2" eb="4">
      <t>サイジ</t>
    </rPh>
    <rPh sb="4" eb="6">
      <t>タイオウ</t>
    </rPh>
    <rPh sb="6" eb="8">
      <t>カハイ</t>
    </rPh>
    <rPh sb="8" eb="10">
      <t>カサン</t>
    </rPh>
    <phoneticPr fontId="2"/>
  </si>
  <si>
    <t>利用定員（1号本園）</t>
    <rPh sb="0" eb="2">
      <t>リヨウ</t>
    </rPh>
    <rPh sb="2" eb="4">
      <t>テイイン</t>
    </rPh>
    <rPh sb="6" eb="7">
      <t>ゴウ</t>
    </rPh>
    <rPh sb="7" eb="8">
      <t>ホン</t>
    </rPh>
    <rPh sb="8" eb="9">
      <t>エン</t>
    </rPh>
    <phoneticPr fontId="2"/>
  </si>
  <si>
    <t>利用定員（2号本園）</t>
    <rPh sb="0" eb="2">
      <t>リヨウ</t>
    </rPh>
    <rPh sb="2" eb="4">
      <t>テイイン</t>
    </rPh>
    <rPh sb="6" eb="7">
      <t>ゴウ</t>
    </rPh>
    <rPh sb="7" eb="8">
      <t>ホン</t>
    </rPh>
    <rPh sb="8" eb="9">
      <t>エン</t>
    </rPh>
    <phoneticPr fontId="2"/>
  </si>
  <si>
    <t>利用定員（3号本園）</t>
    <rPh sb="0" eb="2">
      <t>リヨウ</t>
    </rPh>
    <rPh sb="2" eb="4">
      <t>テイイン</t>
    </rPh>
    <rPh sb="6" eb="7">
      <t>ゴウ</t>
    </rPh>
    <rPh sb="7" eb="8">
      <t>ホン</t>
    </rPh>
    <rPh sb="8" eb="9">
      <t>エン</t>
    </rPh>
    <phoneticPr fontId="2"/>
  </si>
  <si>
    <t>利用定員（1号分園）</t>
    <rPh sb="0" eb="2">
      <t>リヨウ</t>
    </rPh>
    <rPh sb="2" eb="4">
      <t>テイイン</t>
    </rPh>
    <rPh sb="6" eb="7">
      <t>ゴウ</t>
    </rPh>
    <phoneticPr fontId="2"/>
  </si>
  <si>
    <t>利用定員（2号分園）</t>
    <rPh sb="0" eb="2">
      <t>リヨウ</t>
    </rPh>
    <rPh sb="2" eb="4">
      <t>テイイン</t>
    </rPh>
    <rPh sb="6" eb="7">
      <t>ゴウ</t>
    </rPh>
    <phoneticPr fontId="2"/>
  </si>
  <si>
    <t>利用定員（3号分園）</t>
    <rPh sb="0" eb="2">
      <t>リヨウ</t>
    </rPh>
    <rPh sb="2" eb="4">
      <t>テイイン</t>
    </rPh>
    <rPh sb="6" eb="7">
      <t>ゴウ</t>
    </rPh>
    <phoneticPr fontId="2"/>
  </si>
  <si>
    <t>3歳児数／1号（本園）</t>
    <rPh sb="1" eb="3">
      <t>サイジ</t>
    </rPh>
    <rPh sb="3" eb="4">
      <t>スウ</t>
    </rPh>
    <rPh sb="6" eb="7">
      <t>ゴウ</t>
    </rPh>
    <rPh sb="8" eb="9">
      <t>ホン</t>
    </rPh>
    <rPh sb="9" eb="10">
      <t>エン</t>
    </rPh>
    <phoneticPr fontId="2"/>
  </si>
  <si>
    <t>4歳児数／1号（本園）</t>
    <rPh sb="1" eb="3">
      <t>サイジ</t>
    </rPh>
    <rPh sb="3" eb="4">
      <t>スウ</t>
    </rPh>
    <rPh sb="6" eb="7">
      <t>ゴウ</t>
    </rPh>
    <phoneticPr fontId="2"/>
  </si>
  <si>
    <t>5歳児数／1号（本園）</t>
    <rPh sb="1" eb="3">
      <t>サイジ</t>
    </rPh>
    <rPh sb="3" eb="4">
      <t>スウ</t>
    </rPh>
    <rPh sb="6" eb="7">
      <t>ゴウ</t>
    </rPh>
    <phoneticPr fontId="2"/>
  </si>
  <si>
    <t>3歳児数／2号（本園）</t>
    <rPh sb="1" eb="3">
      <t>サイジ</t>
    </rPh>
    <rPh sb="3" eb="4">
      <t>スウ</t>
    </rPh>
    <rPh sb="6" eb="7">
      <t>ゴウ</t>
    </rPh>
    <phoneticPr fontId="2"/>
  </si>
  <si>
    <t>4歳児数／2号（本園）</t>
    <rPh sb="1" eb="3">
      <t>サイジ</t>
    </rPh>
    <rPh sb="3" eb="4">
      <t>スウ</t>
    </rPh>
    <rPh sb="6" eb="7">
      <t>ゴウ</t>
    </rPh>
    <phoneticPr fontId="2"/>
  </si>
  <si>
    <t>5歳児数／2号（本園）</t>
    <rPh sb="1" eb="3">
      <t>サイジ</t>
    </rPh>
    <rPh sb="3" eb="4">
      <t>スウ</t>
    </rPh>
    <rPh sb="6" eb="7">
      <t>ゴウ</t>
    </rPh>
    <phoneticPr fontId="2"/>
  </si>
  <si>
    <t>0歳児数／3号（本園）</t>
    <rPh sb="1" eb="3">
      <t>サイジ</t>
    </rPh>
    <rPh sb="3" eb="4">
      <t>スウ</t>
    </rPh>
    <rPh sb="6" eb="7">
      <t>ゴウ</t>
    </rPh>
    <phoneticPr fontId="2"/>
  </si>
  <si>
    <t>1歳児数／3号（本園）</t>
    <rPh sb="1" eb="3">
      <t>サイジ</t>
    </rPh>
    <rPh sb="3" eb="4">
      <t>スウ</t>
    </rPh>
    <rPh sb="6" eb="7">
      <t>ゴウ</t>
    </rPh>
    <phoneticPr fontId="2"/>
  </si>
  <si>
    <t>2歳児数／3号（本園）</t>
    <rPh sb="1" eb="3">
      <t>サイジ</t>
    </rPh>
    <rPh sb="3" eb="4">
      <t>スウ</t>
    </rPh>
    <rPh sb="6" eb="7">
      <t>ゴウ</t>
    </rPh>
    <phoneticPr fontId="2"/>
  </si>
  <si>
    <t>満3歳児数／1号（本園）</t>
    <rPh sb="0" eb="1">
      <t>ミツル</t>
    </rPh>
    <rPh sb="2" eb="4">
      <t>サイジ</t>
    </rPh>
    <rPh sb="4" eb="5">
      <t>スウ</t>
    </rPh>
    <rPh sb="7" eb="8">
      <t>ゴウ</t>
    </rPh>
    <rPh sb="9" eb="10">
      <t>ホン</t>
    </rPh>
    <rPh sb="10" eb="11">
      <t>エン</t>
    </rPh>
    <phoneticPr fontId="2"/>
  </si>
  <si>
    <t>満3歳児数／1号（分園）</t>
    <rPh sb="0" eb="1">
      <t>ミツル</t>
    </rPh>
    <rPh sb="2" eb="4">
      <t>サイジ</t>
    </rPh>
    <rPh sb="4" eb="5">
      <t>スウ</t>
    </rPh>
    <rPh sb="7" eb="8">
      <t>ゴウ</t>
    </rPh>
    <phoneticPr fontId="2"/>
  </si>
  <si>
    <t>3歳児数／1号（分園）</t>
    <rPh sb="1" eb="3">
      <t>サイジ</t>
    </rPh>
    <rPh sb="3" eb="4">
      <t>スウ</t>
    </rPh>
    <rPh sb="6" eb="7">
      <t>ゴウ</t>
    </rPh>
    <phoneticPr fontId="2"/>
  </si>
  <si>
    <t>4歳児数／1号（分園）</t>
    <rPh sb="1" eb="3">
      <t>サイジ</t>
    </rPh>
    <rPh sb="3" eb="4">
      <t>スウ</t>
    </rPh>
    <rPh sb="6" eb="7">
      <t>ゴウ</t>
    </rPh>
    <phoneticPr fontId="2"/>
  </si>
  <si>
    <t>5歳児数／1号（分園）</t>
    <rPh sb="1" eb="3">
      <t>サイジ</t>
    </rPh>
    <rPh sb="3" eb="4">
      <t>スウ</t>
    </rPh>
    <rPh sb="6" eb="7">
      <t>ゴウ</t>
    </rPh>
    <phoneticPr fontId="2"/>
  </si>
  <si>
    <t>3歳児数／2号（分園）</t>
    <rPh sb="1" eb="3">
      <t>サイジ</t>
    </rPh>
    <rPh sb="3" eb="4">
      <t>スウ</t>
    </rPh>
    <rPh sb="6" eb="7">
      <t>ゴウ</t>
    </rPh>
    <phoneticPr fontId="2"/>
  </si>
  <si>
    <t>4歳児数／2号（分園）</t>
    <rPh sb="1" eb="3">
      <t>サイジ</t>
    </rPh>
    <rPh sb="3" eb="4">
      <t>スウ</t>
    </rPh>
    <rPh sb="6" eb="7">
      <t>ゴウ</t>
    </rPh>
    <phoneticPr fontId="2"/>
  </si>
  <si>
    <t>5歳児数／2号（分園）</t>
    <rPh sb="1" eb="3">
      <t>サイジ</t>
    </rPh>
    <rPh sb="3" eb="4">
      <t>スウ</t>
    </rPh>
    <rPh sb="6" eb="7">
      <t>ゴウ</t>
    </rPh>
    <phoneticPr fontId="2"/>
  </si>
  <si>
    <t>0歳児数／3号（分園）</t>
    <rPh sb="1" eb="3">
      <t>サイジ</t>
    </rPh>
    <rPh sb="3" eb="4">
      <t>スウ</t>
    </rPh>
    <rPh sb="6" eb="7">
      <t>ゴウ</t>
    </rPh>
    <phoneticPr fontId="2"/>
  </si>
  <si>
    <t>1歳児数／3号（分園）</t>
    <rPh sb="1" eb="3">
      <t>サイジ</t>
    </rPh>
    <rPh sb="3" eb="4">
      <t>スウ</t>
    </rPh>
    <rPh sb="6" eb="7">
      <t>ゴウ</t>
    </rPh>
    <phoneticPr fontId="2"/>
  </si>
  <si>
    <t>2歳児数／3号（分園）</t>
    <rPh sb="1" eb="3">
      <t>サイジ</t>
    </rPh>
    <rPh sb="3" eb="4">
      <t>スウ</t>
    </rPh>
    <rPh sb="6" eb="7">
      <t>ゴウ</t>
    </rPh>
    <phoneticPr fontId="2"/>
  </si>
  <si>
    <t>３歳児加配</t>
    <rPh sb="1" eb="3">
      <t>サイジ</t>
    </rPh>
    <rPh sb="3" eb="5">
      <t>カハイ</t>
    </rPh>
    <phoneticPr fontId="2"/>
  </si>
  <si>
    <r>
      <rPr>
        <b/>
        <sz val="8.5"/>
        <color indexed="30"/>
        <rFont val="ＭＳ Ｐゴシック"/>
        <family val="3"/>
        <charset val="128"/>
      </rPr>
      <t>最大</t>
    </r>
    <r>
      <rPr>
        <b/>
        <sz val="8.5"/>
        <rFont val="ＭＳ Ｐゴシック"/>
        <family val="3"/>
        <charset val="128"/>
      </rPr>
      <t>保育士数
【年齢別
配置基準</t>
    </r>
    <r>
      <rPr>
        <sz val="8.5"/>
        <rFont val="ＭＳ Ｐゴシック"/>
        <family val="3"/>
        <charset val="128"/>
      </rPr>
      <t>（歳児別の加算を考慮）</t>
    </r>
    <r>
      <rPr>
        <b/>
        <sz val="8.5"/>
        <rFont val="ＭＳ Ｐゴシック"/>
        <family val="3"/>
        <charset val="128"/>
      </rPr>
      <t xml:space="preserve">
+国加配
＋市独自加配】
⑥</t>
    </r>
    <r>
      <rPr>
        <b/>
        <sz val="9"/>
        <rFont val="ＭＳ Ｐゴシック"/>
        <family val="3"/>
        <charset val="128"/>
      </rPr>
      <t>～⑯の合計</t>
    </r>
    <rPh sb="0" eb="2">
      <t>サイダイ</t>
    </rPh>
    <rPh sb="2" eb="4">
      <t>ホイク</t>
    </rPh>
    <rPh sb="4" eb="6">
      <t>シスウ</t>
    </rPh>
    <rPh sb="8" eb="10">
      <t>ネンレイ</t>
    </rPh>
    <rPh sb="10" eb="11">
      <t>ベツ</t>
    </rPh>
    <rPh sb="12" eb="14">
      <t>ハイチ</t>
    </rPh>
    <rPh sb="14" eb="16">
      <t>キジュン</t>
    </rPh>
    <rPh sb="29" eb="30">
      <t>クニ</t>
    </rPh>
    <rPh sb="30" eb="32">
      <t>カハイ</t>
    </rPh>
    <rPh sb="34" eb="35">
      <t>シ</t>
    </rPh>
    <rPh sb="35" eb="37">
      <t>ドクジ</t>
    </rPh>
    <rPh sb="37" eb="39">
      <t>カハイ</t>
    </rPh>
    <rPh sb="47" eb="49">
      <t>ゴウケイ</t>
    </rPh>
    <phoneticPr fontId="2"/>
  </si>
  <si>
    <t>一時預かり事業を考慮した過不足
【C-A-㉑】</t>
    <phoneticPr fontId="2"/>
  </si>
  <si>
    <t>３歳児
加配</t>
    <rPh sb="1" eb="3">
      <t>サイジ</t>
    </rPh>
    <rPh sb="4" eb="6">
      <t>カハイ</t>
    </rPh>
    <phoneticPr fontId="2"/>
  </si>
  <si>
    <t>【心理士（臨床心理士・公認心理師）】</t>
    <phoneticPr fontId="2"/>
  </si>
  <si>
    <t>臨床心理士</t>
    <rPh sb="0" eb="5">
      <t>リンショウシンリシ</t>
    </rPh>
    <phoneticPr fontId="2"/>
  </si>
  <si>
    <t>公認心理師</t>
    <rPh sb="0" eb="2">
      <t>コウニン</t>
    </rPh>
    <rPh sb="2" eb="4">
      <t>シンリ</t>
    </rPh>
    <rPh sb="4" eb="5">
      <t>シ</t>
    </rPh>
    <phoneticPr fontId="2"/>
  </si>
  <si>
    <t>職員数合計（常勤換算値）</t>
    <phoneticPr fontId="2"/>
  </si>
  <si>
    <t>⑨</t>
    <phoneticPr fontId="2"/>
  </si>
  <si>
    <t>３歳児加配</t>
    <rPh sb="1" eb="5">
      <t>サイジカハイ</t>
    </rPh>
    <phoneticPr fontId="2"/>
  </si>
  <si>
    <t>⑪</t>
    <phoneticPr fontId="2"/>
  </si>
  <si>
    <t>※１．認定こども園においては、②④⑪を除き、１号必要職員数を除く数値</t>
    <rPh sb="3" eb="5">
      <t>ニンテイ</t>
    </rPh>
    <rPh sb="8" eb="9">
      <t>エン</t>
    </rPh>
    <rPh sb="19" eb="20">
      <t>ノゾ</t>
    </rPh>
    <rPh sb="23" eb="24">
      <t>ゴウ</t>
    </rPh>
    <rPh sb="24" eb="26">
      <t>ヒツヨウ</t>
    </rPh>
    <rPh sb="26" eb="29">
      <t>ショクインスウ</t>
    </rPh>
    <rPh sb="30" eb="31">
      <t>ノゾ</t>
    </rPh>
    <rPh sb="32" eb="34">
      <t>スウチ</t>
    </rPh>
    <phoneticPr fontId="2"/>
  </si>
  <si>
    <t>※２． ⑩は、①が、（イ－④）の数を下回るときは、①を満たすまで、③に、⑤→⑥→⑦→⑧→⑨の順に加算した合計とする。
　　　  ⑪は、④と②の低い方を採用する。なお②は、④の範囲内で、アから③を引いた数とするが、その数が②の数を下回る場合は、１号分から充当するものとする）</t>
    <rPh sb="16" eb="17">
      <t>カズ</t>
    </rPh>
    <rPh sb="52" eb="54">
      <t>ゴウケイ</t>
    </rPh>
    <rPh sb="71" eb="72">
      <t>ヒク</t>
    </rPh>
    <rPh sb="73" eb="74">
      <t>ホウ</t>
    </rPh>
    <rPh sb="75" eb="77">
      <t>サイヨウ</t>
    </rPh>
    <rPh sb="87" eb="90">
      <t>ハンイナイ</t>
    </rPh>
    <rPh sb="97" eb="98">
      <t>ヒ</t>
    </rPh>
    <rPh sb="100" eb="101">
      <t>カズ</t>
    </rPh>
    <rPh sb="108" eb="109">
      <t>カズ</t>
    </rPh>
    <rPh sb="112" eb="113">
      <t>カズ</t>
    </rPh>
    <rPh sb="114" eb="116">
      <t>シタマワ</t>
    </rPh>
    <rPh sb="117" eb="119">
      <t>バアイ</t>
    </rPh>
    <rPh sb="122" eb="123">
      <t>ゴウ</t>
    </rPh>
    <rPh sb="123" eb="124">
      <t>ブン</t>
    </rPh>
    <rPh sb="126" eb="128">
      <t>ジュウトウ</t>
    </rPh>
    <phoneticPr fontId="2"/>
  </si>
  <si>
    <t>③+⑤+⑥+⑦+⑧+⑨</t>
    <phoneticPr fontId="2"/>
  </si>
  <si>
    <t>２・３号実配置数（ⅰ）と補助算定職員数の最大値（ⅱ）との比較（(ⅰ)－（ⅱ））</t>
    <rPh sb="4" eb="5">
      <t>ジツ</t>
    </rPh>
    <rPh sb="5" eb="7">
      <t>ハイチ</t>
    </rPh>
    <rPh sb="7" eb="8">
      <t>スウ</t>
    </rPh>
    <rPh sb="12" eb="14">
      <t>ホジョ</t>
    </rPh>
    <rPh sb="14" eb="16">
      <t>サンテイ</t>
    </rPh>
    <rPh sb="16" eb="19">
      <t>ショクインスウ</t>
    </rPh>
    <rPh sb="20" eb="23">
      <t>サイダイチ</t>
    </rPh>
    <rPh sb="28" eb="30">
      <t>ヒカク</t>
    </rPh>
    <phoneticPr fontId="2"/>
  </si>
  <si>
    <t>1歳児配置改善加算</t>
    <rPh sb="1" eb="3">
      <t>サイジ</t>
    </rPh>
    <rPh sb="3" eb="5">
      <t>ハイチ</t>
    </rPh>
    <rPh sb="5" eb="7">
      <t>カイゼン</t>
    </rPh>
    <rPh sb="7" eb="9">
      <t>カサン</t>
    </rPh>
    <phoneticPr fontId="2"/>
  </si>
  <si>
    <t>①まず、４月時点の加算の適用状況をD列～M列のセル（黄色のセル）に入力してください。</t>
    <rPh sb="5" eb="6">
      <t>ガツ</t>
    </rPh>
    <rPh sb="6" eb="8">
      <t>ジテン</t>
    </rPh>
    <rPh sb="9" eb="11">
      <t>カサン</t>
    </rPh>
    <rPh sb="12" eb="14">
      <t>テキヨウ</t>
    </rPh>
    <rPh sb="14" eb="16">
      <t>ジョウキョウ</t>
    </rPh>
    <rPh sb="18" eb="19">
      <t>レツ</t>
    </rPh>
    <rPh sb="21" eb="22">
      <t>レツ</t>
    </rPh>
    <rPh sb="26" eb="28">
      <t>キイロ</t>
    </rPh>
    <rPh sb="33" eb="35">
      <t>ニュウリョク</t>
    </rPh>
    <phoneticPr fontId="2"/>
  </si>
  <si>
    <t>→「変更なし」を選択した場合、D列～m列に前月の情報が転記されます。</t>
    <rPh sb="2" eb="4">
      <t>ヘンコウ</t>
    </rPh>
    <rPh sb="8" eb="10">
      <t>センタク</t>
    </rPh>
    <rPh sb="12" eb="14">
      <t>バアイ</t>
    </rPh>
    <rPh sb="16" eb="17">
      <t>レツ</t>
    </rPh>
    <rPh sb="19" eb="20">
      <t>レツ</t>
    </rPh>
    <rPh sb="21" eb="23">
      <t>ゼンゲツ</t>
    </rPh>
    <rPh sb="24" eb="26">
      <t>ジョウホウ</t>
    </rPh>
    <rPh sb="27" eb="29">
      <t>テンキ</t>
    </rPh>
    <phoneticPr fontId="2"/>
  </si>
  <si>
    <t>※　N列にエラーメッセージが出ている場合、その月の必要な職員数の算出ができません。（ブランクのままでもエラーが出るので、適用がない場合も必ず選択してください。）</t>
    <rPh sb="3" eb="4">
      <t>レツ</t>
    </rPh>
    <rPh sb="14" eb="15">
      <t>デ</t>
    </rPh>
    <rPh sb="18" eb="20">
      <t>バアイ</t>
    </rPh>
    <rPh sb="23" eb="24">
      <t>ツキ</t>
    </rPh>
    <rPh sb="25" eb="27">
      <t>ヒツヨウ</t>
    </rPh>
    <rPh sb="28" eb="31">
      <t>ショクインスウ</t>
    </rPh>
    <rPh sb="32" eb="34">
      <t>サンシュツ</t>
    </rPh>
    <rPh sb="55" eb="56">
      <t>デ</t>
    </rPh>
    <rPh sb="60" eb="62">
      <t>テキヨウ</t>
    </rPh>
    <rPh sb="65" eb="67">
      <t>バアイ</t>
    </rPh>
    <rPh sb="68" eb="69">
      <t>カナラ</t>
    </rPh>
    <rPh sb="70" eb="72">
      <t>センタク</t>
    </rPh>
    <phoneticPr fontId="2"/>
  </si>
  <si>
    <t>3歳児配置改善加算</t>
    <rPh sb="1" eb="2">
      <t>サイ</t>
    </rPh>
    <rPh sb="2" eb="3">
      <t>コ</t>
    </rPh>
    <rPh sb="3" eb="5">
      <t>ハイチ</t>
    </rPh>
    <rPh sb="5" eb="7">
      <t>カイゼン</t>
    </rPh>
    <rPh sb="7" eb="9">
      <t>カサン</t>
    </rPh>
    <phoneticPr fontId="2"/>
  </si>
  <si>
    <t>1歳児配置改善加算</t>
    <rPh sb="1" eb="2">
      <t>サイ</t>
    </rPh>
    <rPh sb="2" eb="3">
      <t>コ</t>
    </rPh>
    <rPh sb="3" eb="5">
      <t>ハイチ</t>
    </rPh>
    <rPh sb="5" eb="7">
      <t>カイゼン</t>
    </rPh>
    <rPh sb="7" eb="9">
      <t>カサン</t>
    </rPh>
    <phoneticPr fontId="2"/>
  </si>
  <si>
    <t>Ｒ７．４</t>
    <phoneticPr fontId="2"/>
  </si>
  <si>
    <t>公定価格基準（加算対応）</t>
    <phoneticPr fontId="2"/>
  </si>
  <si>
    <t>国最低基準</t>
  </si>
  <si>
    <t>必要保育士数（公定価格基準）</t>
    <rPh sb="0" eb="2">
      <t>ヒツヨウ</t>
    </rPh>
    <rPh sb="2" eb="5">
      <t>ホイクシ</t>
    </rPh>
    <rPh sb="5" eb="6">
      <t>スウ</t>
    </rPh>
    <rPh sb="7" eb="9">
      <t>コウテイ</t>
    </rPh>
    <rPh sb="9" eb="11">
      <t>カカク</t>
    </rPh>
    <rPh sb="11" eb="13">
      <t>キジュン</t>
    </rPh>
    <phoneticPr fontId="2"/>
  </si>
  <si>
    <t>必要保育士数（国最低基準）</t>
    <rPh sb="0" eb="2">
      <t>ヒツヨウ</t>
    </rPh>
    <rPh sb="2" eb="5">
      <t>ホイクシ</t>
    </rPh>
    <rPh sb="5" eb="6">
      <t>スウ</t>
    </rPh>
    <rPh sb="7" eb="8">
      <t>クニ</t>
    </rPh>
    <rPh sb="8" eb="10">
      <t>サイテイ</t>
    </rPh>
    <rPh sb="10" eb="12">
      <t>キジュン</t>
    </rPh>
    <phoneticPr fontId="2"/>
  </si>
  <si>
    <t>常勤職員勤務時間数</t>
    <rPh sb="0" eb="2">
      <t>ジョウキン</t>
    </rPh>
    <rPh sb="2" eb="4">
      <t>ショクイン</t>
    </rPh>
    <rPh sb="4" eb="6">
      <t>キンム</t>
    </rPh>
    <rPh sb="6" eb="8">
      <t>ジカン</t>
    </rPh>
    <rPh sb="8" eb="9">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</si>
</sst>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76" formatCode="_(* #,##0_);_(* \(#,##0\);_(* &quot;-&quot;_);_(@_)"/>
    <numFmt numFmtId="177" formatCode="0_ "/>
    <numFmt numFmtId="178" formatCode="0.0_ "/>
    <numFmt numFmtId="179" formatCode="0.0"/>
    <numFmt numFmtId="180" formatCode="0.000"/>
    <numFmt numFmtId="181" formatCode="0_);[Red]\(0\)"/>
    <numFmt numFmtId="182" formatCode="0.0_);[Red]\(0.0\)"/>
    <numFmt numFmtId="183" formatCode="#,###"/>
    <numFmt numFmtId="184" formatCode="#,##0_ "/>
    <numFmt numFmtId="185" formatCode="#,##0.0_ "/>
    <numFmt numFmtId="186" formatCode="0;\-0;;@"/>
    <numFmt numFmtId="187" formatCode="#,##0.0\ "/>
    <numFmt numFmtId="188" formatCode="#,##0.0;[Red]\-#,##0.0"/>
    <numFmt numFmtId="189" formatCode="#,##0&quot;人&quot;;&quot;△&quot;#,##0&quot;人&quot;"/>
    <numFmt numFmtId="190" formatCode="#,##0.00&quot;人&quot;;&quot;△&quot;#,##0.00&quot;人&quot;"/>
    <numFmt numFmtId="191" formatCode="_ * #,##0.0_ ;_ * \-#,##0.0_ ;_ * &quot;-&quot;?_ ;_ @_ "/>
    <numFmt numFmtId="192" formatCode="#,##0.0&quot;人&quot;;&quot;△&quot;#,##0.0&quot;人&quot;"/>
    <numFmt numFmtId="193" formatCode="#,##0.0;&quot;△&quot;#,##0.0"/>
    <numFmt numFmtId="194" formatCode="#,##0.0"/>
    <numFmt numFmtId="195" formatCode="0.0;&quot;▲ &quot;0.0"/>
    <numFmt numFmtId="196" formatCode="#&quot;月&quot;"/>
    <numFmt numFmtId="197" formatCode="0.00_);[Red]\(0.00\)"/>
    <numFmt numFmtId="198" formatCode="0.00_ "/>
    <numFmt numFmtId="199" formatCode="00"/>
  </numFmts>
  <fonts count="85">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0"/>
      <name val="ＭＳ Ｐゴシック"/>
      <family val="3"/>
      <charset val="128"/>
    </font>
    <font>
      <sz val="10"/>
      <name val="ＭＳ Ｐゴシック"/>
      <family val="3"/>
      <charset val="128"/>
    </font>
    <font>
      <b/>
      <sz val="9"/>
      <name val="ＭＳ Ｐゴシック"/>
      <family val="3"/>
      <charset val="128"/>
    </font>
    <font>
      <b/>
      <sz val="12"/>
      <name val="ＭＳ Ｐゴシック"/>
      <family val="3"/>
      <charset val="128"/>
    </font>
    <font>
      <b/>
      <sz val="16"/>
      <name val="ＭＳ Ｐゴシック"/>
      <family val="3"/>
      <charset val="128"/>
    </font>
    <font>
      <sz val="9"/>
      <name val="ＭＳ Ｐゴシック"/>
      <family val="3"/>
      <charset val="128"/>
    </font>
    <font>
      <b/>
      <sz val="14"/>
      <name val="ＭＳ Ｐゴシック"/>
      <family val="3"/>
      <charset val="128"/>
    </font>
    <font>
      <b/>
      <sz val="8"/>
      <name val="ＭＳ Ｐゴシック"/>
      <family val="3"/>
      <charset val="128"/>
    </font>
    <font>
      <sz val="8"/>
      <name val="ＭＳ Ｐゴシック"/>
      <family val="3"/>
      <charset val="128"/>
    </font>
    <font>
      <b/>
      <sz val="8.5"/>
      <name val="ＭＳ Ｐゴシック"/>
      <family val="3"/>
      <charset val="128"/>
    </font>
    <font>
      <sz val="8.5"/>
      <name val="ＭＳ Ｐゴシック"/>
      <family val="3"/>
      <charset val="128"/>
    </font>
    <font>
      <b/>
      <sz val="9"/>
      <color indexed="81"/>
      <name val="ＭＳ Ｐゴシック"/>
      <family val="3"/>
      <charset val="128"/>
    </font>
    <font>
      <b/>
      <sz val="12"/>
      <color indexed="81"/>
      <name val="ＭＳ Ｐゴシック"/>
      <family val="3"/>
      <charset val="128"/>
    </font>
    <font>
      <sz val="7"/>
      <name val="ＭＳ Ｐゴシック"/>
      <family val="3"/>
      <charset val="128"/>
    </font>
    <font>
      <b/>
      <sz val="11"/>
      <color indexed="81"/>
      <name val="ＭＳ Ｐゴシック"/>
      <family val="3"/>
      <charset val="128"/>
    </font>
    <font>
      <b/>
      <sz val="12"/>
      <color indexed="81"/>
      <name val="MS P ゴシック"/>
      <family val="3"/>
      <charset val="128"/>
    </font>
    <font>
      <b/>
      <sz val="12"/>
      <color indexed="10"/>
      <name val="MS P ゴシック"/>
      <family val="3"/>
      <charset val="128"/>
    </font>
    <font>
      <sz val="12"/>
      <name val="ＭＳ Ｐゴシック"/>
      <family val="3"/>
      <charset val="128"/>
    </font>
    <font>
      <b/>
      <sz val="9"/>
      <color indexed="81"/>
      <name val="MS P ゴシック"/>
      <family val="3"/>
      <charset val="128"/>
    </font>
    <font>
      <b/>
      <sz val="11"/>
      <color indexed="81"/>
      <name val="MS P ゴシック"/>
      <family val="3"/>
      <charset val="128"/>
    </font>
    <font>
      <sz val="11"/>
      <color indexed="81"/>
      <name val="MS P ゴシック"/>
      <family val="3"/>
      <charset val="128"/>
    </font>
    <font>
      <b/>
      <sz val="8"/>
      <color indexed="81"/>
      <name val="MS P ゴシック"/>
      <family val="3"/>
      <charset val="128"/>
    </font>
    <font>
      <b/>
      <sz val="8.5"/>
      <color indexed="30"/>
      <name val="ＭＳ Ｐゴシック"/>
      <family val="3"/>
      <charset val="128"/>
    </font>
    <font>
      <b/>
      <u/>
      <sz val="14"/>
      <name val="ＭＳ Ｐゴシック"/>
      <family val="3"/>
      <charset val="128"/>
    </font>
    <font>
      <sz val="9"/>
      <color indexed="81"/>
      <name val="MS P ゴシック"/>
      <family val="3"/>
      <charset val="128"/>
    </font>
    <font>
      <sz val="11"/>
      <color theme="1"/>
      <name val="ＭＳ Ｐゴシック"/>
      <family val="3"/>
      <charset val="128"/>
    </font>
    <font>
      <b/>
      <sz val="12"/>
      <color rgb="FFC00000"/>
      <name val="ＭＳ Ｐゴシック"/>
      <family val="3"/>
      <charset val="128"/>
    </font>
    <font>
      <sz val="12"/>
      <color rgb="FFC00000"/>
      <name val="ＭＳ Ｐゴシック"/>
      <family val="3"/>
      <charset val="128"/>
    </font>
    <font>
      <sz val="11"/>
      <color rgb="FFC00000"/>
      <name val="ＭＳ Ｐゴシック"/>
      <family val="3"/>
      <charset val="128"/>
    </font>
    <font>
      <sz val="8"/>
      <color rgb="FFFF0000"/>
      <name val="ＭＳ Ｐゴシック"/>
      <family val="3"/>
      <charset val="128"/>
    </font>
    <font>
      <sz val="11"/>
      <color theme="1"/>
      <name val="ＭＳ 明朝"/>
      <family val="1"/>
      <charset val="128"/>
    </font>
    <font>
      <sz val="12"/>
      <color theme="1"/>
      <name val="ＭＳ Ｐ明朝"/>
      <family val="1"/>
      <charset val="128"/>
    </font>
    <font>
      <b/>
      <sz val="12"/>
      <color rgb="FFFF0000"/>
      <name val="ＭＳ Ｐ明朝"/>
      <family val="1"/>
      <charset val="128"/>
    </font>
    <font>
      <sz val="12"/>
      <color rgb="FFFF0000"/>
      <name val="ＭＳ Ｐ明朝"/>
      <family val="1"/>
      <charset val="128"/>
    </font>
    <font>
      <sz val="12"/>
      <color theme="1"/>
      <name val="ＭＳ ゴシック"/>
      <family val="3"/>
      <charset val="128"/>
    </font>
    <font>
      <sz val="11"/>
      <color theme="1"/>
      <name val="ＭＳ Ｐゴシック"/>
      <family val="2"/>
      <charset val="128"/>
      <scheme val="minor"/>
    </font>
    <font>
      <sz val="6"/>
      <name val="ＭＳ Ｐゴシック"/>
      <family val="2"/>
      <charset val="128"/>
    </font>
    <font>
      <b/>
      <sz val="11"/>
      <color theme="1"/>
      <name val="ＭＳ 明朝"/>
      <family val="1"/>
      <charset val="128"/>
    </font>
    <font>
      <b/>
      <sz val="9"/>
      <color indexed="10"/>
      <name val="MS P ゴシック"/>
      <family val="3"/>
      <charset val="128"/>
    </font>
    <font>
      <b/>
      <sz val="10"/>
      <color indexed="81"/>
      <name val="ＭＳ Ｐゴシック"/>
      <family val="3"/>
      <charset val="128"/>
    </font>
    <font>
      <b/>
      <sz val="9"/>
      <color indexed="12"/>
      <name val="ＭＳ Ｐゴシック"/>
      <family val="3"/>
      <charset val="128"/>
    </font>
    <font>
      <b/>
      <sz val="10"/>
      <color rgb="FFFF0000"/>
      <name val="ＭＳ Ｐゴシック"/>
      <family val="3"/>
      <charset val="128"/>
    </font>
    <font>
      <sz val="12"/>
      <name val="ＭＳ Ｐ明朝"/>
      <family val="1"/>
      <charset val="128"/>
    </font>
    <font>
      <b/>
      <sz val="12"/>
      <name val="ＭＳ Ｐ明朝"/>
      <family val="1"/>
      <charset val="128"/>
    </font>
    <font>
      <b/>
      <sz val="14"/>
      <name val="ＭＳ Ｐ明朝"/>
      <family val="1"/>
      <charset val="128"/>
    </font>
    <font>
      <u/>
      <sz val="11"/>
      <name val="ＭＳ Ｐゴシック"/>
      <family val="3"/>
      <charset val="128"/>
    </font>
    <font>
      <b/>
      <u/>
      <sz val="11"/>
      <color indexed="10"/>
      <name val="ＭＳ Ｐゴシック"/>
      <family val="3"/>
      <charset val="128"/>
    </font>
    <font>
      <b/>
      <sz val="16"/>
      <color indexed="81"/>
      <name val="MS P ゴシック"/>
      <family val="3"/>
      <charset val="128"/>
    </font>
    <font>
      <b/>
      <sz val="16"/>
      <color indexed="10"/>
      <name val="MS P ゴシック"/>
      <family val="3"/>
      <charset val="128"/>
    </font>
    <font>
      <sz val="16"/>
      <color theme="1"/>
      <name val="ＭＳ ゴシック"/>
      <family val="3"/>
      <charset val="128"/>
    </font>
    <font>
      <b/>
      <sz val="18"/>
      <name val="ＭＳ Ｐゴシック"/>
      <family val="3"/>
      <charset val="128"/>
    </font>
    <font>
      <b/>
      <sz val="18"/>
      <color rgb="FFFF0000"/>
      <name val="ＭＳ Ｐゴシック"/>
      <family val="3"/>
      <charset val="128"/>
    </font>
    <font>
      <b/>
      <sz val="18"/>
      <color indexed="10"/>
      <name val="MS P ゴシック"/>
      <family val="3"/>
      <charset val="128"/>
    </font>
    <font>
      <b/>
      <sz val="12"/>
      <color rgb="FFFF0000"/>
      <name val="ＭＳ Ｐゴシック"/>
      <family val="3"/>
      <charset val="128"/>
    </font>
    <font>
      <sz val="11"/>
      <color rgb="FFFF0000"/>
      <name val="ＭＳ Ｐゴシック"/>
      <family val="3"/>
      <charset val="128"/>
    </font>
    <font>
      <b/>
      <sz val="11"/>
      <color rgb="FFFF0000"/>
      <name val="ＭＳ Ｐゴシック"/>
      <family val="3"/>
      <charset val="128"/>
    </font>
    <font>
      <b/>
      <sz val="12"/>
      <color rgb="FFDA9694"/>
      <name val="ＭＳ Ｐゴシック"/>
      <family val="3"/>
      <charset val="128"/>
    </font>
    <font>
      <b/>
      <u/>
      <sz val="11"/>
      <color rgb="FFFF0000"/>
      <name val="ＭＳ Ｐゴシック"/>
      <family val="3"/>
      <charset val="128"/>
    </font>
    <font>
      <sz val="10"/>
      <name val="游ゴシック"/>
      <family val="3"/>
      <charset val="128"/>
    </font>
    <font>
      <sz val="9"/>
      <name val="游ゴシック"/>
      <family val="3"/>
      <charset val="128"/>
    </font>
    <font>
      <b/>
      <sz val="10"/>
      <name val="游ゴシック"/>
      <family val="3"/>
      <charset val="128"/>
    </font>
    <font>
      <sz val="12"/>
      <name val="游ゴシック"/>
      <family val="3"/>
      <charset val="128"/>
    </font>
    <font>
      <b/>
      <sz val="11"/>
      <color indexed="81"/>
      <name val="BIZ UDPゴシック"/>
      <family val="3"/>
      <charset val="128"/>
    </font>
    <font>
      <b/>
      <u/>
      <sz val="8.5"/>
      <name val="ＭＳ Ｐゴシック"/>
      <family val="3"/>
      <charset val="128"/>
    </font>
    <font>
      <u/>
      <sz val="8.5"/>
      <name val="ＭＳ Ｐゴシック"/>
      <family val="3"/>
      <charset val="128"/>
    </font>
    <font>
      <b/>
      <u/>
      <sz val="9"/>
      <name val="ＭＳ Ｐゴシック"/>
      <family val="3"/>
      <charset val="128"/>
    </font>
    <font>
      <b/>
      <sz val="10"/>
      <name val="BIZ UDPゴシック"/>
      <family val="3"/>
      <charset val="128"/>
    </font>
    <font>
      <b/>
      <u/>
      <sz val="11"/>
      <color indexed="10"/>
      <name val="BIZ UDPゴシック"/>
      <family val="3"/>
      <charset val="128"/>
    </font>
    <font>
      <sz val="10"/>
      <color theme="1" tint="0.34998626667073579"/>
      <name val="游ゴシック"/>
      <family val="3"/>
      <charset val="128"/>
    </font>
    <font>
      <sz val="11"/>
      <name val="游ゴシック"/>
      <family val="3"/>
      <charset val="128"/>
    </font>
    <font>
      <sz val="6"/>
      <name val="ＭＳ Ｐゴシック"/>
      <family val="2"/>
      <charset val="128"/>
      <scheme val="minor"/>
    </font>
    <font>
      <b/>
      <sz val="11"/>
      <color theme="1"/>
      <name val="游ゴシック"/>
      <family val="3"/>
      <charset val="128"/>
    </font>
    <font>
      <b/>
      <sz val="11"/>
      <name val="游ゴシック"/>
      <family val="3"/>
      <charset val="128"/>
    </font>
    <font>
      <b/>
      <sz val="12"/>
      <name val="游ゴシック"/>
      <family val="3"/>
      <charset val="128"/>
    </font>
    <font>
      <b/>
      <sz val="12"/>
      <color theme="1"/>
      <name val="游ゴシック"/>
      <family val="3"/>
      <charset val="128"/>
    </font>
    <font>
      <sz val="9"/>
      <color theme="0" tint="-0.499984740745262"/>
      <name val="游ゴシック"/>
      <family val="3"/>
      <charset val="128"/>
    </font>
    <font>
      <sz val="11"/>
      <color rgb="FFFF0000"/>
      <name val="游ゴシック"/>
      <family val="3"/>
      <charset val="128"/>
    </font>
    <font>
      <b/>
      <sz val="12"/>
      <color rgb="FFFF0000"/>
      <name val="游ゴシック"/>
      <family val="3"/>
      <charset val="128"/>
    </font>
    <font>
      <sz val="8"/>
      <color rgb="FFC00000"/>
      <name val="ＭＳ Ｐゴシック"/>
      <family val="3"/>
      <charset val="128"/>
    </font>
    <font>
      <sz val="10"/>
      <color indexed="81"/>
      <name val="ＭＳ Ｐゴシック"/>
      <family val="3"/>
      <charset val="128"/>
    </font>
    <font>
      <b/>
      <sz val="26"/>
      <color indexed="81"/>
      <name val="MS P ゴシック"/>
      <family val="3"/>
      <charset val="128"/>
    </font>
  </fonts>
  <fills count="16">
    <fill>
      <patternFill patternType="none"/>
    </fill>
    <fill>
      <patternFill patternType="gray125"/>
    </fill>
    <fill>
      <patternFill patternType="solid">
        <fgColor rgb="FFCCFFFF"/>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rgb="FFFF0000"/>
        <bgColor indexed="64"/>
      </patternFill>
    </fill>
    <fill>
      <patternFill patternType="solid">
        <fgColor rgb="FFD9D9D9"/>
        <bgColor indexed="64"/>
      </patternFill>
    </fill>
    <fill>
      <patternFill patternType="solid">
        <fgColor rgb="FFFDE9D9"/>
        <bgColor indexed="64"/>
      </patternFill>
    </fill>
    <fill>
      <patternFill patternType="solid">
        <fgColor theme="5" tint="0.79998168889431442"/>
        <bgColor indexed="64"/>
      </patternFill>
    </fill>
    <fill>
      <patternFill patternType="solid">
        <fgColor rgb="FFFFFF00"/>
        <bgColor indexed="64"/>
      </patternFill>
    </fill>
    <fill>
      <patternFill patternType="solid">
        <fgColor theme="8" tint="0.79998168889431442"/>
        <bgColor indexed="64"/>
      </patternFill>
    </fill>
    <fill>
      <patternFill patternType="solid">
        <fgColor rgb="FFDAEEF3"/>
        <bgColor indexed="64"/>
      </patternFill>
    </fill>
    <fill>
      <patternFill patternType="solid">
        <fgColor theme="1" tint="0.499984740745262"/>
        <bgColor indexed="64"/>
      </patternFill>
    </fill>
    <fill>
      <patternFill patternType="solid">
        <fgColor theme="0" tint="-0.34998626667073579"/>
        <bgColor indexed="64"/>
      </patternFill>
    </fill>
  </fills>
  <borders count="2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ck">
        <color indexed="64"/>
      </left>
      <right/>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dotted">
        <color indexed="64"/>
      </left>
      <right/>
      <top style="thin">
        <color indexed="64"/>
      </top>
      <bottom style="thin">
        <color indexed="64"/>
      </bottom>
      <diagonal/>
    </border>
    <border>
      <left style="dashed">
        <color indexed="64"/>
      </left>
      <right style="thick">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
      <left style="thin">
        <color indexed="64"/>
      </left>
      <right style="medium">
        <color indexed="64"/>
      </right>
      <top/>
      <bottom/>
      <diagonal/>
    </border>
    <border>
      <left style="dotted">
        <color indexed="64"/>
      </left>
      <right style="thin">
        <color indexed="64"/>
      </right>
      <top style="thin">
        <color indexed="64"/>
      </top>
      <bottom style="medium">
        <color indexed="64"/>
      </bottom>
      <diagonal/>
    </border>
    <border>
      <left/>
      <right style="dotted">
        <color indexed="64"/>
      </right>
      <top style="thin">
        <color indexed="64"/>
      </top>
      <bottom style="medium">
        <color indexed="64"/>
      </bottom>
      <diagonal/>
    </border>
    <border>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style="thick">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diagonalUp="1">
      <left style="thin">
        <color indexed="64"/>
      </left>
      <right style="hair">
        <color indexed="64"/>
      </right>
      <top style="thin">
        <color indexed="64"/>
      </top>
      <bottom style="thin">
        <color indexed="64"/>
      </bottom>
      <diagonal style="thin">
        <color indexed="64"/>
      </diagonal>
    </border>
    <border>
      <left style="thin">
        <color indexed="64"/>
      </left>
      <right style="thick">
        <color indexed="64"/>
      </right>
      <top style="thin">
        <color indexed="64"/>
      </top>
      <bottom/>
      <diagonal/>
    </border>
    <border>
      <left style="thick">
        <color indexed="64"/>
      </left>
      <right style="thick">
        <color indexed="64"/>
      </right>
      <top style="thin">
        <color indexed="64"/>
      </top>
      <bottom/>
      <diagonal/>
    </border>
    <border>
      <left style="thick">
        <color indexed="64"/>
      </left>
      <right style="thick">
        <color indexed="64"/>
      </right>
      <top/>
      <bottom style="thin">
        <color indexed="64"/>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ck">
        <color indexed="64"/>
      </left>
      <right style="thick">
        <color indexed="64"/>
      </right>
      <top/>
      <bottom style="thick">
        <color indexed="64"/>
      </bottom>
      <diagonal/>
    </border>
    <border>
      <left style="thin">
        <color indexed="64"/>
      </left>
      <right style="hair">
        <color indexed="64"/>
      </right>
      <top/>
      <bottom style="thin">
        <color indexed="64"/>
      </bottom>
      <diagonal/>
    </border>
    <border>
      <left style="dashed">
        <color indexed="64"/>
      </left>
      <right style="thick">
        <color indexed="64"/>
      </right>
      <top style="thin">
        <color indexed="64"/>
      </top>
      <bottom/>
      <diagonal/>
    </border>
    <border>
      <left style="dashed">
        <color indexed="64"/>
      </left>
      <right style="thick">
        <color indexed="64"/>
      </right>
      <top/>
      <bottom/>
      <diagonal/>
    </border>
    <border>
      <left style="dashed">
        <color indexed="64"/>
      </left>
      <right style="thick">
        <color indexed="64"/>
      </right>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style="thin">
        <color indexed="64"/>
      </top>
      <bottom/>
      <diagonal/>
    </border>
    <border>
      <left style="thick">
        <color indexed="64"/>
      </left>
      <right/>
      <top/>
      <bottom style="thin">
        <color indexed="64"/>
      </bottom>
      <diagonal/>
    </border>
    <border>
      <left style="thin">
        <color indexed="64"/>
      </left>
      <right style="medium">
        <color indexed="64"/>
      </right>
      <top/>
      <bottom style="thin">
        <color indexed="64"/>
      </bottom>
      <diagonal/>
    </border>
    <border>
      <left style="hair">
        <color indexed="64"/>
      </left>
      <right style="thick">
        <color indexed="64"/>
      </right>
      <top style="thin">
        <color indexed="64"/>
      </top>
      <bottom/>
      <diagonal/>
    </border>
    <border>
      <left style="hair">
        <color indexed="64"/>
      </left>
      <right style="thick">
        <color indexed="64"/>
      </right>
      <top/>
      <bottom/>
      <diagonal/>
    </border>
    <border>
      <left style="hair">
        <color indexed="64"/>
      </left>
      <right style="thick">
        <color indexed="64"/>
      </right>
      <top/>
      <bottom style="thin">
        <color indexed="64"/>
      </bottom>
      <diagonal/>
    </border>
    <border>
      <left/>
      <right style="thick">
        <color indexed="64"/>
      </right>
      <top style="thin">
        <color indexed="64"/>
      </top>
      <bottom/>
      <diagonal/>
    </border>
    <border>
      <left/>
      <right style="thick">
        <color indexed="64"/>
      </right>
      <top/>
      <bottom/>
      <diagonal/>
    </border>
    <border>
      <left/>
      <right style="thick">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ck">
        <color indexed="64"/>
      </right>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hair">
        <color indexed="64"/>
      </right>
      <top/>
      <bottom style="thin">
        <color indexed="64"/>
      </bottom>
      <diagonal style="thin">
        <color indexed="64"/>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hair">
        <color indexed="64"/>
      </left>
      <right style="thin">
        <color indexed="64"/>
      </right>
      <top/>
      <bottom style="double">
        <color indexed="64"/>
      </bottom>
      <diagonal/>
    </border>
    <border>
      <left style="thin">
        <color indexed="64"/>
      </left>
      <right style="hair">
        <color indexed="64"/>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thick">
        <color indexed="64"/>
      </left>
      <right style="thick">
        <color indexed="64"/>
      </right>
      <top/>
      <bottom style="double">
        <color indexed="64"/>
      </bottom>
      <diagonal/>
    </border>
    <border>
      <left style="thin">
        <color indexed="64"/>
      </left>
      <right/>
      <top/>
      <bottom style="double">
        <color indexed="64"/>
      </bottom>
      <diagonal/>
    </border>
    <border>
      <left style="thin">
        <color indexed="64"/>
      </left>
      <right style="dotted">
        <color indexed="64"/>
      </right>
      <top/>
      <bottom style="double">
        <color indexed="64"/>
      </bottom>
      <diagonal/>
    </border>
    <border>
      <left style="dotted">
        <color indexed="64"/>
      </left>
      <right style="thin">
        <color indexed="64"/>
      </right>
      <top/>
      <bottom style="double">
        <color indexed="64"/>
      </bottom>
      <diagonal/>
    </border>
    <border>
      <left style="dashed">
        <color indexed="64"/>
      </left>
      <right style="thick">
        <color indexed="64"/>
      </right>
      <top/>
      <bottom style="double">
        <color indexed="64"/>
      </bottom>
      <diagonal/>
    </border>
    <border diagonalUp="1">
      <left style="thin">
        <color indexed="64"/>
      </left>
      <right style="thin">
        <color indexed="64"/>
      </right>
      <top style="double">
        <color indexed="64"/>
      </top>
      <bottom/>
      <diagonal style="thin">
        <color indexed="64"/>
      </diagonal>
    </border>
    <border>
      <left/>
      <right style="thin">
        <color indexed="64"/>
      </right>
      <top style="thin">
        <color indexed="64"/>
      </top>
      <bottom style="double">
        <color indexed="64"/>
      </bottom>
      <diagonal/>
    </border>
    <border diagonalUp="1">
      <left/>
      <right style="thin">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hair">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thin">
        <color indexed="64"/>
      </right>
      <top/>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hair">
        <color indexed="64"/>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ck">
        <color indexed="64"/>
      </right>
      <top style="double">
        <color indexed="64"/>
      </top>
      <bottom style="thin">
        <color indexed="64"/>
      </bottom>
      <diagonal/>
    </border>
    <border>
      <left style="thick">
        <color indexed="64"/>
      </left>
      <right style="thick">
        <color indexed="64"/>
      </right>
      <top style="double">
        <color indexed="64"/>
      </top>
      <bottom/>
      <diagonal/>
    </border>
    <border>
      <left style="thin">
        <color indexed="64"/>
      </left>
      <right style="thin">
        <color indexed="64"/>
      </right>
      <top style="double">
        <color indexed="64"/>
      </top>
      <bottom/>
      <diagonal/>
    </border>
    <border>
      <left style="thin">
        <color indexed="64"/>
      </left>
      <right style="thick">
        <color indexed="64"/>
      </right>
      <top/>
      <bottom style="thin">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right/>
      <top style="hair">
        <color indexed="64"/>
      </top>
      <bottom/>
      <diagonal/>
    </border>
    <border>
      <left/>
      <right/>
      <top style="double">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bottom style="thick">
        <color indexed="64"/>
      </bottom>
      <diagonal/>
    </border>
    <border>
      <left/>
      <right/>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bottom style="thick">
        <color indexed="64"/>
      </bottom>
      <diagonal/>
    </border>
    <border>
      <left/>
      <right style="thin">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double">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double">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double">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double">
        <color indexed="64"/>
      </right>
      <top style="thin">
        <color indexed="64"/>
      </top>
      <bottom style="thick">
        <color indexed="64"/>
      </bottom>
      <diagonal/>
    </border>
    <border diagonalUp="1">
      <left/>
      <right style="thin">
        <color indexed="64"/>
      </right>
      <top style="thin">
        <color indexed="64"/>
      </top>
      <bottom style="thick">
        <color indexed="64"/>
      </bottom>
      <diagonal style="thin">
        <color indexed="64"/>
      </diagonal>
    </border>
    <border>
      <left style="thin">
        <color indexed="64"/>
      </left>
      <right style="thick">
        <color indexed="64"/>
      </right>
      <top style="thin">
        <color indexed="64"/>
      </top>
      <bottom style="thick">
        <color indexed="64"/>
      </bottom>
      <diagonal/>
    </border>
    <border>
      <left style="hair">
        <color indexed="64"/>
      </left>
      <right style="thin">
        <color indexed="64"/>
      </right>
      <top style="double">
        <color indexed="64"/>
      </top>
      <bottom/>
      <diagonal/>
    </border>
    <border>
      <left style="medium">
        <color indexed="64"/>
      </left>
      <right style="thick">
        <color indexed="64"/>
      </right>
      <top style="thick">
        <color indexed="64"/>
      </top>
      <bottom/>
      <diagonal/>
    </border>
    <border>
      <left style="medium">
        <color indexed="64"/>
      </left>
      <right style="thick">
        <color indexed="64"/>
      </right>
      <top/>
      <bottom style="thin">
        <color indexed="64"/>
      </bottom>
      <diagonal/>
    </border>
    <border>
      <left style="medium">
        <color indexed="64"/>
      </left>
      <right style="thin">
        <color indexed="64"/>
      </right>
      <top style="thin">
        <color indexed="64"/>
      </top>
      <bottom/>
      <diagonal/>
    </border>
    <border diagonalUp="1">
      <left/>
      <right/>
      <top style="thin">
        <color indexed="64"/>
      </top>
      <bottom style="thin">
        <color indexed="64"/>
      </bottom>
      <diagonal style="thin">
        <color indexed="64"/>
      </diagonal>
    </border>
    <border diagonalUp="1">
      <left style="thick">
        <color indexed="64"/>
      </left>
      <right/>
      <top style="thin">
        <color indexed="64"/>
      </top>
      <bottom style="thin">
        <color indexed="64"/>
      </bottom>
      <diagonal style="thin">
        <color indexed="64"/>
      </diagonal>
    </border>
    <border diagonalUp="1">
      <left style="thick">
        <color indexed="64"/>
      </left>
      <right/>
      <top style="thin">
        <color indexed="64"/>
      </top>
      <bottom style="double">
        <color indexed="64"/>
      </bottom>
      <diagonal style="thin">
        <color indexed="64"/>
      </diagonal>
    </border>
    <border>
      <left style="thin">
        <color indexed="64"/>
      </left>
      <right style="hair">
        <color indexed="64"/>
      </right>
      <top/>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medium">
        <color indexed="64"/>
      </left>
      <right style="thin">
        <color indexed="64"/>
      </right>
      <top/>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medium">
        <color indexed="64"/>
      </bottom>
      <diagonal/>
    </border>
    <border>
      <left style="dotted">
        <color indexed="64"/>
      </left>
      <right style="thin">
        <color indexed="64"/>
      </right>
      <top style="dotted">
        <color indexed="64"/>
      </top>
      <bottom style="medium">
        <color indexed="64"/>
      </bottom>
      <diagonal/>
    </border>
    <border>
      <left style="medium">
        <color indexed="64"/>
      </left>
      <right style="thin">
        <color indexed="64"/>
      </right>
      <top style="medium">
        <color indexed="64"/>
      </top>
      <bottom/>
      <diagonal/>
    </border>
    <border diagonalUp="1">
      <left style="thin">
        <color indexed="64"/>
      </left>
      <right style="dotted">
        <color indexed="64"/>
      </right>
      <top/>
      <bottom style="dotted">
        <color indexed="64"/>
      </bottom>
      <diagonal style="dotted">
        <color indexed="64"/>
      </diagonal>
    </border>
    <border diagonalUp="1">
      <left style="thin">
        <color indexed="64"/>
      </left>
      <right style="dotted">
        <color indexed="64"/>
      </right>
      <top style="dotted">
        <color indexed="64"/>
      </top>
      <bottom style="dotted">
        <color indexed="64"/>
      </bottom>
      <diagonal style="dotted">
        <color indexed="64"/>
      </diagonal>
    </border>
    <border diagonalUp="1">
      <left style="dotted">
        <color indexed="64"/>
      </left>
      <right style="thin">
        <color indexed="64"/>
      </right>
      <top style="dotted">
        <color indexed="64"/>
      </top>
      <bottom style="dotted">
        <color indexed="64"/>
      </bottom>
      <diagonal style="dotted">
        <color indexed="64"/>
      </diagonal>
    </border>
    <border>
      <left style="hair">
        <color indexed="64"/>
      </left>
      <right style="thick">
        <color indexed="64"/>
      </right>
      <top/>
      <bottom style="double">
        <color indexed="64"/>
      </bottom>
      <diagonal/>
    </border>
    <border>
      <left style="thin">
        <color indexed="64"/>
      </left>
      <right/>
      <top style="medium">
        <color indexed="64"/>
      </top>
      <bottom/>
      <diagonal/>
    </border>
    <border diagonalUp="1">
      <left/>
      <right/>
      <top/>
      <bottom style="dotted">
        <color indexed="64"/>
      </bottom>
      <diagonal style="dotted">
        <color indexed="64"/>
      </diagonal>
    </border>
    <border diagonalUp="1">
      <left/>
      <right/>
      <top style="dotted">
        <color indexed="64"/>
      </top>
      <bottom style="dotted">
        <color indexed="64"/>
      </bottom>
      <diagonal style="dotted">
        <color indexed="64"/>
      </diagonal>
    </border>
    <border diagonalUp="1">
      <left/>
      <right/>
      <top style="dotted">
        <color indexed="64"/>
      </top>
      <bottom style="medium">
        <color indexed="64"/>
      </bottom>
      <diagonal style="dotted">
        <color indexed="64"/>
      </diagonal>
    </border>
    <border>
      <left style="thin">
        <color indexed="64"/>
      </left>
      <right style="thin">
        <color indexed="64"/>
      </right>
      <top style="dotted">
        <color indexed="64"/>
      </top>
      <bottom/>
      <diagonal/>
    </border>
    <border>
      <left style="thin">
        <color indexed="64"/>
      </left>
      <right/>
      <top style="thick">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thin">
        <color indexed="64"/>
      </top>
      <bottom style="thin">
        <color indexed="64"/>
      </bottom>
      <diagonal style="thin">
        <color indexed="64"/>
      </diagonal>
    </border>
  </borders>
  <cellStyleXfs count="4">
    <xf numFmtId="0" fontId="0" fillId="0" borderId="0">
      <alignment vertical="center"/>
    </xf>
    <xf numFmtId="38" fontId="1" fillId="0" borderId="0" applyFont="0" applyFill="0" applyBorder="0" applyAlignment="0" applyProtection="0">
      <alignment vertical="center"/>
    </xf>
    <xf numFmtId="0" fontId="29" fillId="0" borderId="0">
      <alignment vertical="center"/>
    </xf>
    <xf numFmtId="0" fontId="39" fillId="0" borderId="0">
      <alignment vertical="center"/>
    </xf>
  </cellStyleXfs>
  <cellXfs count="1013">
    <xf numFmtId="0" fontId="0" fillId="0" borderId="0" xfId="0">
      <alignment vertical="center"/>
    </xf>
    <xf numFmtId="0" fontId="0" fillId="0" borderId="0" xfId="0" applyProtection="1">
      <alignment vertical="center"/>
    </xf>
    <xf numFmtId="0" fontId="5" fillId="0" borderId="1" xfId="0" applyFont="1" applyBorder="1" applyAlignment="1" applyProtection="1">
      <alignment horizontal="center" vertical="center"/>
      <protection locked="0"/>
    </xf>
    <xf numFmtId="0" fontId="0" fillId="0" borderId="0" xfId="0" applyBorder="1" applyProtection="1">
      <alignment vertical="center"/>
      <protection locked="0"/>
    </xf>
    <xf numFmtId="0" fontId="0" fillId="0" borderId="0" xfId="0" applyProtection="1">
      <alignment vertical="center"/>
      <protection locked="0"/>
    </xf>
    <xf numFmtId="0" fontId="9" fillId="0" borderId="0"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0" xfId="0" applyBorder="1" applyAlignment="1" applyProtection="1">
      <alignment horizontal="center" vertical="center"/>
    </xf>
    <xf numFmtId="0" fontId="10" fillId="0" borderId="0" xfId="0" applyFont="1" applyAlignment="1" applyProtection="1">
      <alignment horizontal="left" vertical="center"/>
    </xf>
    <xf numFmtId="0" fontId="7" fillId="0" borderId="0" xfId="0" applyFont="1" applyAlignment="1" applyProtection="1">
      <alignment horizontal="center" vertical="center"/>
    </xf>
    <xf numFmtId="0" fontId="8" fillId="0" borderId="0" xfId="0" applyFont="1" applyBorder="1" applyAlignment="1" applyProtection="1">
      <alignment vertical="center"/>
    </xf>
    <xf numFmtId="0" fontId="7" fillId="0" borderId="0" xfId="0" applyFont="1" applyAlignment="1" applyProtection="1">
      <alignment vertical="center"/>
    </xf>
    <xf numFmtId="0" fontId="3" fillId="0" borderId="0" xfId="0" applyFont="1" applyAlignment="1" applyProtection="1">
      <alignment vertical="center"/>
    </xf>
    <xf numFmtId="0" fontId="0" fillId="0" borderId="0" xfId="0" applyAlignment="1" applyProtection="1">
      <alignment vertical="center"/>
    </xf>
    <xf numFmtId="0" fontId="8" fillId="0" borderId="0" xfId="0" applyFont="1" applyProtection="1">
      <alignment vertical="center"/>
    </xf>
    <xf numFmtId="0" fontId="3" fillId="0" borderId="0" xfId="0" applyFont="1" applyProtection="1">
      <alignment vertical="center"/>
    </xf>
    <xf numFmtId="0" fontId="8" fillId="0" borderId="0" xfId="0" applyNumberFormat="1" applyFont="1" applyAlignment="1" applyProtection="1">
      <alignment horizontal="left" vertical="center"/>
    </xf>
    <xf numFmtId="0" fontId="10" fillId="0" borderId="0" xfId="0" applyFont="1" applyAlignment="1" applyProtection="1">
      <alignment horizontal="right" vertical="center"/>
    </xf>
    <xf numFmtId="0" fontId="7" fillId="0" borderId="0" xfId="0" applyFont="1" applyAlignment="1" applyProtection="1">
      <alignment horizontal="left" vertical="center"/>
    </xf>
    <xf numFmtId="0" fontId="0" fillId="0" borderId="0" xfId="0" applyAlignment="1" applyProtection="1">
      <alignment horizontal="right" vertical="center"/>
    </xf>
    <xf numFmtId="0" fontId="8" fillId="0" borderId="0" xfId="0" applyFont="1" applyAlignment="1" applyProtection="1">
      <alignment vertical="center"/>
    </xf>
    <xf numFmtId="0" fontId="0" fillId="0" borderId="1" xfId="0" applyBorder="1" applyAlignment="1" applyProtection="1">
      <alignment horizontal="center" vertical="center"/>
    </xf>
    <xf numFmtId="0" fontId="9" fillId="0" borderId="0" xfId="0" applyFont="1" applyBorder="1" applyAlignment="1" applyProtection="1">
      <alignment horizontal="center" vertical="center"/>
    </xf>
    <xf numFmtId="0" fontId="5" fillId="0" borderId="0" xfId="0" applyFont="1" applyFill="1" applyBorder="1" applyAlignment="1" applyProtection="1">
      <alignment vertical="center"/>
    </xf>
    <xf numFmtId="0" fontId="0" fillId="0" borderId="0" xfId="0" applyFill="1" applyBorder="1" applyProtection="1">
      <alignment vertical="center"/>
      <protection locked="0"/>
    </xf>
    <xf numFmtId="0" fontId="5" fillId="0" borderId="2" xfId="0" applyFont="1" applyBorder="1" applyProtection="1">
      <alignment vertical="center"/>
      <protection locked="0"/>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3" xfId="0" applyFont="1" applyBorder="1" applyProtection="1">
      <alignment vertical="center"/>
      <protection locked="0"/>
    </xf>
    <xf numFmtId="0" fontId="5" fillId="0" borderId="4" xfId="0" applyFont="1" applyBorder="1" applyProtection="1">
      <alignment vertical="center"/>
      <protection locked="0"/>
    </xf>
    <xf numFmtId="0" fontId="5" fillId="0" borderId="5" xfId="0" applyFont="1" applyBorder="1" applyProtection="1">
      <alignment vertical="center"/>
      <protection locked="0"/>
    </xf>
    <xf numFmtId="0" fontId="5" fillId="0" borderId="6" xfId="0" applyFont="1" applyBorder="1" applyProtection="1">
      <alignment vertical="center"/>
      <protection locked="0"/>
    </xf>
    <xf numFmtId="177" fontId="3" fillId="2" borderId="7" xfId="0" applyNumberFormat="1" applyFont="1" applyFill="1" applyBorder="1" applyAlignment="1" applyProtection="1">
      <alignment vertical="center"/>
    </xf>
    <xf numFmtId="177" fontId="3" fillId="2" borderId="8" xfId="0" applyNumberFormat="1" applyFont="1" applyFill="1" applyBorder="1" applyAlignment="1" applyProtection="1">
      <alignment vertical="center"/>
    </xf>
    <xf numFmtId="0" fontId="5" fillId="2" borderId="9"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wrapText="1"/>
    </xf>
    <xf numFmtId="0" fontId="5" fillId="2" borderId="11" xfId="0" applyFont="1" applyFill="1" applyBorder="1" applyAlignment="1" applyProtection="1">
      <alignment horizontal="center" vertical="center" wrapText="1"/>
    </xf>
    <xf numFmtId="0" fontId="5" fillId="0" borderId="7" xfId="0" applyFont="1" applyBorder="1" applyProtection="1">
      <alignment vertical="center"/>
      <protection locked="0"/>
    </xf>
    <xf numFmtId="0" fontId="0" fillId="0" borderId="12" xfId="0" applyBorder="1" applyAlignment="1" applyProtection="1">
      <alignment vertical="center" wrapText="1"/>
    </xf>
    <xf numFmtId="0" fontId="0" fillId="0" borderId="13" xfId="0" applyBorder="1" applyAlignment="1" applyProtection="1">
      <alignment vertical="center" wrapText="1"/>
    </xf>
    <xf numFmtId="0" fontId="0" fillId="0" borderId="14" xfId="0" applyBorder="1" applyAlignment="1" applyProtection="1">
      <alignment vertical="center" wrapText="1"/>
    </xf>
    <xf numFmtId="0" fontId="0" fillId="0" borderId="15" xfId="0" applyBorder="1" applyAlignment="1" applyProtection="1">
      <alignment vertical="center" wrapText="1"/>
    </xf>
    <xf numFmtId="0" fontId="0" fillId="0" borderId="16" xfId="0" applyBorder="1" applyAlignment="1" applyProtection="1">
      <alignment vertical="center" wrapText="1"/>
    </xf>
    <xf numFmtId="0" fontId="30" fillId="0" borderId="17" xfId="0" applyNumberFormat="1" applyFont="1" applyBorder="1" applyAlignment="1" applyProtection="1">
      <alignment vertical="center" shrinkToFit="1"/>
    </xf>
    <xf numFmtId="0" fontId="30" fillId="0" borderId="0" xfId="0" applyNumberFormat="1" applyFont="1" applyBorder="1" applyAlignment="1" applyProtection="1">
      <alignment vertical="center" shrinkToFit="1"/>
    </xf>
    <xf numFmtId="177" fontId="3" fillId="2" borderId="11" xfId="0" applyNumberFormat="1" applyFont="1" applyFill="1" applyBorder="1" applyAlignment="1" applyProtection="1">
      <alignment vertical="center"/>
    </xf>
    <xf numFmtId="177" fontId="3" fillId="2" borderId="10" xfId="0" applyNumberFormat="1" applyFont="1" applyFill="1" applyBorder="1" applyAlignment="1" applyProtection="1">
      <alignment vertical="center"/>
    </xf>
    <xf numFmtId="0" fontId="5" fillId="2" borderId="4" xfId="0" applyFont="1" applyFill="1" applyBorder="1" applyAlignment="1" applyProtection="1">
      <alignment horizontal="center" vertical="center" wrapText="1"/>
    </xf>
    <xf numFmtId="177" fontId="3" fillId="2" borderId="4" xfId="0" applyNumberFormat="1" applyFont="1" applyFill="1" applyBorder="1" applyAlignment="1" applyProtection="1">
      <alignment vertical="center"/>
    </xf>
    <xf numFmtId="177" fontId="3" fillId="2" borderId="18" xfId="0" applyNumberFormat="1" applyFont="1" applyFill="1" applyBorder="1" applyAlignment="1" applyProtection="1">
      <alignment vertical="center"/>
    </xf>
    <xf numFmtId="177" fontId="3" fillId="2" borderId="19" xfId="0" applyNumberFormat="1" applyFont="1" applyFill="1" applyBorder="1" applyAlignment="1" applyProtection="1">
      <alignment vertical="center"/>
    </xf>
    <xf numFmtId="177" fontId="3" fillId="2" borderId="20" xfId="0" applyNumberFormat="1" applyFont="1" applyFill="1" applyBorder="1" applyAlignment="1" applyProtection="1">
      <alignment vertical="center"/>
    </xf>
    <xf numFmtId="177" fontId="3" fillId="2" borderId="21" xfId="0" applyNumberFormat="1" applyFont="1" applyFill="1" applyBorder="1" applyAlignment="1" applyProtection="1">
      <alignment vertical="center"/>
    </xf>
    <xf numFmtId="0" fontId="5" fillId="0" borderId="7" xfId="0" applyFont="1" applyBorder="1" applyAlignment="1" applyProtection="1">
      <alignment horizontal="center" vertical="center"/>
      <protection locked="0"/>
    </xf>
    <xf numFmtId="0" fontId="0" fillId="0" borderId="1" xfId="0" applyFont="1" applyFill="1" applyBorder="1" applyAlignment="1" applyProtection="1">
      <alignment horizontal="right" vertical="center"/>
      <protection locked="0"/>
    </xf>
    <xf numFmtId="183" fontId="3" fillId="2" borderId="23" xfId="0" applyNumberFormat="1" applyFont="1" applyFill="1" applyBorder="1" applyAlignment="1" applyProtection="1">
      <alignment horizontal="right" vertical="center" shrinkToFit="1"/>
    </xf>
    <xf numFmtId="183" fontId="3" fillId="2" borderId="2" xfId="0" applyNumberFormat="1" applyFont="1" applyFill="1" applyBorder="1" applyAlignment="1" applyProtection="1">
      <alignment horizontal="right" vertical="center" shrinkToFit="1"/>
    </xf>
    <xf numFmtId="0" fontId="7" fillId="0" borderId="0" xfId="0" applyFont="1" applyBorder="1" applyAlignment="1" applyProtection="1">
      <alignment horizontal="center" vertical="center"/>
    </xf>
    <xf numFmtId="0" fontId="7" fillId="0" borderId="16" xfId="0" applyFont="1" applyBorder="1" applyAlignment="1" applyProtection="1">
      <alignment vertical="center" shrinkToFit="1"/>
    </xf>
    <xf numFmtId="0" fontId="7" fillId="0" borderId="16" xfId="0" applyFont="1" applyBorder="1" applyAlignment="1" applyProtection="1">
      <alignment horizontal="center" vertical="center"/>
    </xf>
    <xf numFmtId="181" fontId="7" fillId="0" borderId="16" xfId="0" applyNumberFormat="1" applyFont="1" applyBorder="1" applyAlignment="1" applyProtection="1">
      <alignment horizontal="center" vertical="center"/>
    </xf>
    <xf numFmtId="0" fontId="5" fillId="0" borderId="0" xfId="0" applyFont="1" applyAlignment="1" applyProtection="1">
      <alignment horizontal="right" vertical="center"/>
    </xf>
    <xf numFmtId="0" fontId="4" fillId="0" borderId="8" xfId="0" applyFont="1" applyBorder="1" applyAlignment="1" applyProtection="1">
      <alignment horizontal="center" vertical="center" wrapText="1"/>
    </xf>
    <xf numFmtId="0" fontId="12" fillId="0" borderId="7" xfId="0" applyFont="1" applyFill="1" applyBorder="1" applyAlignment="1" applyProtection="1">
      <alignment horizontal="center" vertical="top" wrapText="1"/>
    </xf>
    <xf numFmtId="0" fontId="11" fillId="0" borderId="11" xfId="0" applyFont="1" applyFill="1" applyBorder="1" applyAlignment="1" applyProtection="1">
      <alignment horizontal="center" vertical="top" wrapText="1"/>
    </xf>
    <xf numFmtId="181" fontId="11" fillId="0" borderId="2" xfId="0" applyNumberFormat="1" applyFont="1" applyFill="1" applyBorder="1" applyAlignment="1" applyProtection="1">
      <alignment horizontal="center" vertical="top" wrapText="1"/>
    </xf>
    <xf numFmtId="181" fontId="17" fillId="0" borderId="28" xfId="0" applyNumberFormat="1" applyFont="1" applyFill="1" applyBorder="1" applyAlignment="1" applyProtection="1">
      <alignment vertical="top" wrapText="1"/>
    </xf>
    <xf numFmtId="0" fontId="0" fillId="0" borderId="2" xfId="0" applyFont="1" applyBorder="1" applyAlignment="1" applyProtection="1">
      <alignment horizontal="center" vertical="center"/>
    </xf>
    <xf numFmtId="0" fontId="0" fillId="3" borderId="29" xfId="0" applyFont="1" applyFill="1" applyBorder="1" applyAlignment="1" applyProtection="1">
      <alignment horizontal="right" vertical="center"/>
    </xf>
    <xf numFmtId="0" fontId="0" fillId="3" borderId="30" xfId="0" applyFont="1" applyFill="1" applyBorder="1" applyAlignment="1" applyProtection="1">
      <alignment horizontal="right" vertical="center"/>
    </xf>
    <xf numFmtId="0" fontId="0" fillId="0" borderId="1" xfId="0" applyFont="1" applyBorder="1" applyAlignment="1" applyProtection="1">
      <alignment horizontal="center" vertical="center"/>
    </xf>
    <xf numFmtId="0" fontId="0" fillId="4" borderId="30" xfId="0" applyFont="1" applyFill="1" applyBorder="1" applyAlignment="1" applyProtection="1">
      <alignment horizontal="right" vertical="center"/>
    </xf>
    <xf numFmtId="0" fontId="0" fillId="0" borderId="0" xfId="0" applyFont="1" applyProtection="1">
      <alignment vertical="center"/>
    </xf>
    <xf numFmtId="0" fontId="0" fillId="0" borderId="0" xfId="0" applyFont="1" applyAlignment="1" applyProtection="1">
      <alignment vertical="center" wrapText="1"/>
    </xf>
    <xf numFmtId="181" fontId="0" fillId="0" borderId="0" xfId="0" applyNumberFormat="1" applyProtection="1">
      <alignment vertical="center"/>
    </xf>
    <xf numFmtId="0" fontId="0" fillId="0" borderId="0" xfId="0" applyAlignment="1" applyProtection="1">
      <alignment horizontal="center" vertical="center"/>
    </xf>
    <xf numFmtId="0" fontId="0" fillId="0" borderId="0" xfId="0" applyFill="1" applyBorder="1" applyAlignment="1" applyProtection="1">
      <alignment horizontal="center" vertical="center"/>
    </xf>
    <xf numFmtId="0" fontId="0" fillId="0" borderId="0" xfId="0" applyBorder="1" applyProtection="1">
      <alignment vertical="center"/>
    </xf>
    <xf numFmtId="0" fontId="5" fillId="0" borderId="7" xfId="0" applyFont="1" applyBorder="1" applyAlignment="1" applyProtection="1">
      <alignment vertical="center"/>
      <protection locked="0"/>
    </xf>
    <xf numFmtId="0" fontId="0" fillId="0" borderId="31" xfId="0" applyBorder="1" applyAlignment="1" applyProtection="1">
      <alignment horizontal="center" vertical="center"/>
    </xf>
    <xf numFmtId="0" fontId="5" fillId="2" borderId="7" xfId="0" applyFont="1" applyFill="1" applyBorder="1" applyAlignment="1" applyProtection="1">
      <alignment horizontal="center" vertical="center" wrapText="1"/>
    </xf>
    <xf numFmtId="0" fontId="5" fillId="2" borderId="8"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5" fillId="0" borderId="7" xfId="0" applyFont="1" applyBorder="1" applyAlignment="1" applyProtection="1">
      <alignment horizontal="center" vertical="center"/>
    </xf>
    <xf numFmtId="0" fontId="7" fillId="0" borderId="16" xfId="0" applyFont="1" applyFill="1" applyBorder="1" applyAlignment="1" applyProtection="1">
      <alignment horizontal="left" vertical="center"/>
    </xf>
    <xf numFmtId="0" fontId="5" fillId="0" borderId="16" xfId="0" applyFont="1" applyFill="1" applyBorder="1" applyAlignment="1" applyProtection="1">
      <alignment horizontal="center" vertical="center"/>
    </xf>
    <xf numFmtId="0" fontId="5" fillId="0" borderId="16" xfId="0" applyFont="1" applyFill="1" applyBorder="1" applyProtection="1">
      <alignment vertical="center"/>
    </xf>
    <xf numFmtId="177" fontId="3" fillId="0" borderId="16" xfId="0" applyNumberFormat="1" applyFont="1" applyFill="1" applyBorder="1" applyAlignment="1" applyProtection="1">
      <alignment vertical="center"/>
    </xf>
    <xf numFmtId="0" fontId="0" fillId="0" borderId="1" xfId="0" applyBorder="1" applyAlignment="1" applyProtection="1">
      <alignment horizontal="center" vertical="center" wrapText="1"/>
    </xf>
    <xf numFmtId="0" fontId="0" fillId="0" borderId="32" xfId="0" applyBorder="1" applyAlignment="1" applyProtection="1">
      <alignment horizontal="center" vertical="center" wrapText="1"/>
    </xf>
    <xf numFmtId="0" fontId="0" fillId="0" borderId="33" xfId="0" applyBorder="1" applyAlignment="1" applyProtection="1">
      <alignment horizontal="center" vertical="center" wrapText="1"/>
    </xf>
    <xf numFmtId="0" fontId="7" fillId="0" borderId="0" xfId="0" applyNumberFormat="1" applyFont="1" applyAlignment="1" applyProtection="1">
      <alignment horizontal="right" vertical="center"/>
    </xf>
    <xf numFmtId="0" fontId="0" fillId="0" borderId="0" xfId="0" applyBorder="1" applyAlignment="1" applyProtection="1">
      <alignment horizontal="center" vertical="center" shrinkToFit="1"/>
    </xf>
    <xf numFmtId="186" fontId="7" fillId="0" borderId="0" xfId="0" applyNumberFormat="1" applyFont="1" applyBorder="1" applyAlignment="1" applyProtection="1">
      <alignment horizontal="center" vertical="center" shrinkToFit="1"/>
    </xf>
    <xf numFmtId="0" fontId="4" fillId="0" borderId="0" xfId="0" applyFont="1" applyBorder="1" applyAlignment="1" applyProtection="1">
      <alignment horizontal="center" vertical="center"/>
    </xf>
    <xf numFmtId="0" fontId="9" fillId="0" borderId="34" xfId="0" applyFont="1" applyBorder="1" applyAlignment="1" applyProtection="1">
      <alignment horizontal="center" vertical="center"/>
    </xf>
    <xf numFmtId="0" fontId="5" fillId="0" borderId="35" xfId="0" applyFont="1" applyBorder="1" applyAlignment="1" applyProtection="1">
      <alignment horizontal="center" vertical="center"/>
      <protection locked="0"/>
    </xf>
    <xf numFmtId="0" fontId="5" fillId="0" borderId="36" xfId="0" applyFont="1" applyBorder="1" applyAlignment="1" applyProtection="1">
      <alignment horizontal="center" vertical="center"/>
      <protection locked="0"/>
    </xf>
    <xf numFmtId="177" fontId="3" fillId="0" borderId="37"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protection locked="0"/>
    </xf>
    <xf numFmtId="177" fontId="3" fillId="0" borderId="2" xfId="0" applyNumberFormat="1" applyFont="1" applyFill="1" applyBorder="1" applyAlignment="1" applyProtection="1">
      <alignment horizontal="center" vertical="center"/>
      <protection locked="0"/>
    </xf>
    <xf numFmtId="177" fontId="3" fillId="0" borderId="32" xfId="0" applyNumberFormat="1" applyFont="1" applyFill="1" applyBorder="1" applyAlignment="1" applyProtection="1">
      <alignment horizontal="center" vertical="center"/>
      <protection locked="0"/>
    </xf>
    <xf numFmtId="177" fontId="3" fillId="0" borderId="38" xfId="0" applyNumberFormat="1" applyFont="1" applyFill="1" applyBorder="1" applyAlignment="1" applyProtection="1">
      <alignment horizontal="center" vertical="center"/>
      <protection locked="0"/>
    </xf>
    <xf numFmtId="177" fontId="3" fillId="0" borderId="39" xfId="0" applyNumberFormat="1" applyFont="1" applyFill="1" applyBorder="1" applyAlignment="1" applyProtection="1">
      <alignment horizontal="center" vertical="center"/>
      <protection locked="0"/>
    </xf>
    <xf numFmtId="177" fontId="3" fillId="0" borderId="40" xfId="0" applyNumberFormat="1" applyFont="1" applyFill="1" applyBorder="1" applyAlignment="1" applyProtection="1">
      <alignment horizontal="center" vertical="center"/>
      <protection locked="0"/>
    </xf>
    <xf numFmtId="0" fontId="0" fillId="0" borderId="17" xfId="0" applyBorder="1" applyAlignment="1" applyProtection="1">
      <alignment horizontal="center" vertical="center" shrinkToFit="1"/>
    </xf>
    <xf numFmtId="0" fontId="0" fillId="0" borderId="22" xfId="0" applyBorder="1" applyAlignment="1" applyProtection="1">
      <alignment horizontal="center" vertical="center"/>
    </xf>
    <xf numFmtId="0" fontId="0" fillId="0" borderId="0" xfId="0" applyFont="1" applyFill="1" applyAlignment="1" applyProtection="1">
      <alignment horizontal="left" vertical="top" wrapText="1"/>
    </xf>
    <xf numFmtId="0" fontId="9" fillId="0" borderId="42" xfId="0" applyFont="1" applyBorder="1" applyAlignment="1" applyProtection="1">
      <alignment horizontal="center" vertical="center" wrapText="1"/>
    </xf>
    <xf numFmtId="0" fontId="5" fillId="0" borderId="43" xfId="0" applyFont="1" applyBorder="1" applyAlignment="1" applyProtection="1">
      <alignment horizontal="center" vertical="center"/>
      <protection locked="0"/>
    </xf>
    <xf numFmtId="181" fontId="3" fillId="2" borderId="44" xfId="0" applyNumberFormat="1" applyFont="1" applyFill="1" applyBorder="1" applyAlignment="1" applyProtection="1">
      <alignment vertical="center"/>
    </xf>
    <xf numFmtId="0" fontId="9" fillId="0" borderId="41" xfId="0" applyFont="1" applyBorder="1" applyAlignment="1" applyProtection="1">
      <alignment horizontal="center" vertical="center"/>
    </xf>
    <xf numFmtId="181" fontId="3" fillId="2" borderId="31" xfId="0" applyNumberFormat="1" applyFont="1" applyFill="1" applyBorder="1" applyAlignment="1" applyProtection="1">
      <alignment vertical="center"/>
    </xf>
    <xf numFmtId="178" fontId="0" fillId="0" borderId="0" xfId="0" applyNumberFormat="1" applyProtection="1">
      <alignment vertical="center"/>
    </xf>
    <xf numFmtId="0" fontId="21" fillId="0" borderId="0" xfId="0" applyFont="1" applyProtection="1">
      <alignment vertical="center"/>
    </xf>
    <xf numFmtId="0" fontId="21" fillId="0" borderId="0" xfId="0" applyFont="1" applyBorder="1" applyAlignment="1" applyProtection="1">
      <alignment horizontal="center" vertical="center"/>
    </xf>
    <xf numFmtId="0" fontId="7" fillId="0" borderId="0" xfId="0" applyFont="1" applyProtection="1">
      <alignment vertical="center"/>
    </xf>
    <xf numFmtId="178" fontId="31" fillId="0" borderId="2" xfId="0" applyNumberFormat="1" applyFont="1" applyBorder="1" applyProtection="1">
      <alignment vertical="center"/>
    </xf>
    <xf numFmtId="0" fontId="21" fillId="0" borderId="8" xfId="0" applyFont="1" applyBorder="1" applyProtection="1">
      <alignment vertical="center"/>
    </xf>
    <xf numFmtId="0" fontId="21" fillId="0" borderId="0" xfId="0" applyFont="1" applyFill="1" applyAlignment="1" applyProtection="1">
      <alignment vertical="top" wrapText="1"/>
    </xf>
    <xf numFmtId="177" fontId="3" fillId="2" borderId="48" xfId="0" applyNumberFormat="1" applyFont="1" applyFill="1" applyBorder="1" applyAlignment="1" applyProtection="1">
      <alignment vertical="center"/>
    </xf>
    <xf numFmtId="177" fontId="3" fillId="2" borderId="9" xfId="0" applyNumberFormat="1" applyFont="1" applyFill="1" applyBorder="1" applyAlignment="1" applyProtection="1">
      <alignment vertical="center"/>
    </xf>
    <xf numFmtId="177" fontId="3" fillId="2" borderId="49" xfId="0" applyNumberFormat="1" applyFont="1" applyFill="1" applyBorder="1" applyAlignment="1" applyProtection="1">
      <alignment vertical="center"/>
    </xf>
    <xf numFmtId="177" fontId="3" fillId="2" borderId="50" xfId="0" applyNumberFormat="1" applyFont="1" applyFill="1" applyBorder="1" applyAlignment="1" applyProtection="1">
      <alignment vertical="center"/>
    </xf>
    <xf numFmtId="177" fontId="3" fillId="2" borderId="51" xfId="0" applyNumberFormat="1" applyFont="1" applyFill="1" applyBorder="1" applyAlignment="1" applyProtection="1">
      <alignment vertical="center"/>
    </xf>
    <xf numFmtId="177" fontId="3" fillId="0" borderId="52" xfId="0" applyNumberFormat="1" applyFont="1" applyFill="1" applyBorder="1" applyAlignment="1" applyProtection="1">
      <alignment horizontal="center" vertical="center"/>
      <protection locked="0"/>
    </xf>
    <xf numFmtId="177" fontId="3" fillId="2" borderId="37" xfId="0" applyNumberFormat="1" applyFont="1" applyFill="1" applyBorder="1" applyAlignment="1" applyProtection="1">
      <alignment vertical="center"/>
      <protection locked="0"/>
    </xf>
    <xf numFmtId="177" fontId="3" fillId="2" borderId="53" xfId="0" applyNumberFormat="1" applyFont="1" applyFill="1" applyBorder="1" applyAlignment="1" applyProtection="1">
      <alignment vertical="center"/>
      <protection locked="0"/>
    </xf>
    <xf numFmtId="177" fontId="3" fillId="2" borderId="11" xfId="0" applyNumberFormat="1" applyFont="1" applyFill="1" applyBorder="1" applyAlignment="1" applyProtection="1">
      <alignment vertical="center"/>
      <protection locked="0"/>
    </xf>
    <xf numFmtId="177" fontId="3" fillId="2" borderId="8" xfId="0" applyNumberFormat="1" applyFont="1" applyFill="1" applyBorder="1" applyAlignment="1" applyProtection="1">
      <alignment vertical="center"/>
      <protection locked="0"/>
    </xf>
    <xf numFmtId="177" fontId="3" fillId="2" borderId="2" xfId="0" applyNumberFormat="1" applyFont="1" applyFill="1" applyBorder="1" applyAlignment="1" applyProtection="1">
      <alignment vertical="center"/>
      <protection locked="0"/>
    </xf>
    <xf numFmtId="177" fontId="3" fillId="2" borderId="10" xfId="0" applyNumberFormat="1" applyFont="1" applyFill="1" applyBorder="1" applyAlignment="1" applyProtection="1">
      <alignment vertical="center"/>
      <protection locked="0"/>
    </xf>
    <xf numFmtId="177" fontId="3" fillId="2" borderId="18" xfId="0" applyNumberFormat="1" applyFont="1" applyFill="1" applyBorder="1" applyAlignment="1" applyProtection="1">
      <alignment vertical="center"/>
      <protection locked="0"/>
    </xf>
    <xf numFmtId="177" fontId="3" fillId="2" borderId="38" xfId="0" applyNumberFormat="1" applyFont="1" applyFill="1" applyBorder="1" applyAlignment="1" applyProtection="1">
      <alignment vertical="center"/>
      <protection locked="0"/>
    </xf>
    <xf numFmtId="177" fontId="3" fillId="2" borderId="54" xfId="0" applyNumberFormat="1" applyFont="1" applyFill="1" applyBorder="1" applyAlignment="1" applyProtection="1">
      <alignment vertical="center"/>
      <protection locked="0"/>
    </xf>
    <xf numFmtId="177" fontId="3" fillId="2" borderId="39" xfId="0" applyNumberFormat="1" applyFont="1" applyFill="1" applyBorder="1" applyAlignment="1" applyProtection="1">
      <alignment vertical="center"/>
      <protection locked="0"/>
    </xf>
    <xf numFmtId="177" fontId="3" fillId="2" borderId="20" xfId="0" applyNumberFormat="1" applyFont="1" applyFill="1" applyBorder="1" applyAlignment="1" applyProtection="1">
      <alignment vertical="center"/>
      <protection locked="0"/>
    </xf>
    <xf numFmtId="177" fontId="3" fillId="2" borderId="40" xfId="0" applyNumberFormat="1" applyFont="1" applyFill="1" applyBorder="1" applyAlignment="1" applyProtection="1">
      <alignment vertical="center"/>
      <protection locked="0"/>
    </xf>
    <xf numFmtId="177" fontId="3" fillId="2" borderId="48" xfId="0" applyNumberFormat="1" applyFont="1" applyFill="1" applyBorder="1" applyAlignment="1" applyProtection="1">
      <alignment vertical="center"/>
      <protection locked="0"/>
    </xf>
    <xf numFmtId="177" fontId="3" fillId="2" borderId="21" xfId="0" applyNumberFormat="1" applyFont="1" applyFill="1" applyBorder="1" applyAlignment="1" applyProtection="1">
      <alignment vertical="center"/>
      <protection locked="0"/>
    </xf>
    <xf numFmtId="0" fontId="7" fillId="0" borderId="16" xfId="0" applyFont="1" applyBorder="1" applyAlignment="1" applyProtection="1">
      <alignment horizontal="center" vertical="center" shrinkToFit="1"/>
    </xf>
    <xf numFmtId="0" fontId="7" fillId="0" borderId="56" xfId="0" applyFont="1" applyBorder="1" applyAlignment="1" applyProtection="1">
      <alignment vertical="center" shrinkToFit="1"/>
      <protection locked="0"/>
    </xf>
    <xf numFmtId="0" fontId="10" fillId="0" borderId="0" xfId="0" applyFont="1" applyAlignment="1">
      <alignment horizontal="right" vertical="center"/>
    </xf>
    <xf numFmtId="0" fontId="7" fillId="0" borderId="0" xfId="0" applyFont="1" applyAlignment="1">
      <alignment horizontal="right" vertical="center"/>
    </xf>
    <xf numFmtId="0" fontId="8" fillId="2" borderId="56" xfId="0" applyFont="1" applyFill="1" applyBorder="1">
      <alignment vertical="center"/>
    </xf>
    <xf numFmtId="0" fontId="33" fillId="0" borderId="24" xfId="0" applyFont="1" applyBorder="1" applyAlignment="1" applyProtection="1">
      <alignment horizontal="center" vertical="center" wrapText="1"/>
    </xf>
    <xf numFmtId="0" fontId="3" fillId="0" borderId="0" xfId="0" applyFont="1" applyAlignment="1">
      <alignment horizontal="center" vertical="center"/>
    </xf>
    <xf numFmtId="0" fontId="0" fillId="0" borderId="1" xfId="0" applyBorder="1" applyAlignment="1">
      <alignment horizontal="center" vertical="center"/>
    </xf>
    <xf numFmtId="0" fontId="0" fillId="0" borderId="58" xfId="0" applyBorder="1">
      <alignment vertical="center"/>
    </xf>
    <xf numFmtId="0" fontId="11" fillId="6" borderId="0" xfId="0" applyFont="1" applyFill="1" applyBorder="1" applyAlignment="1" applyProtection="1">
      <alignment horizontal="center" vertical="center" wrapText="1"/>
    </xf>
    <xf numFmtId="0" fontId="3" fillId="0" borderId="0" xfId="0" applyFont="1" applyAlignment="1">
      <alignment horizontal="center" vertical="center" wrapText="1"/>
    </xf>
    <xf numFmtId="180" fontId="34" fillId="2" borderId="0" xfId="0" applyNumberFormat="1" applyFont="1" applyFill="1">
      <alignment vertical="center"/>
    </xf>
    <xf numFmtId="0" fontId="0" fillId="0" borderId="2" xfId="0" applyBorder="1" applyAlignment="1">
      <alignment horizontal="center" vertical="center"/>
    </xf>
    <xf numFmtId="0" fontId="0" fillId="0" borderId="8" xfId="0" applyBorder="1" applyAlignment="1">
      <alignment horizontal="center" vertical="center"/>
    </xf>
    <xf numFmtId="0" fontId="0" fillId="0" borderId="32" xfId="0" applyBorder="1" applyAlignment="1">
      <alignment horizontal="center" vertical="center"/>
    </xf>
    <xf numFmtId="0" fontId="0" fillId="0" borderId="32" xfId="0" applyBorder="1" applyAlignment="1">
      <alignment horizontal="center" vertical="center" shrinkToFit="1"/>
    </xf>
    <xf numFmtId="0" fontId="0" fillId="0" borderId="33" xfId="0" applyBorder="1" applyAlignment="1">
      <alignment horizontal="center" vertical="center"/>
    </xf>
    <xf numFmtId="0" fontId="0" fillId="0" borderId="61" xfId="0" applyBorder="1" applyAlignment="1">
      <alignment horizontal="center" vertical="center"/>
    </xf>
    <xf numFmtId="0" fontId="0" fillId="0" borderId="24" xfId="0" applyBorder="1" applyAlignment="1">
      <alignment horizontal="center" vertical="center"/>
    </xf>
    <xf numFmtId="0" fontId="3" fillId="0" borderId="22" xfId="0" applyFont="1" applyBorder="1" applyAlignment="1">
      <alignment horizontal="center" vertical="center" shrinkToFit="1"/>
    </xf>
    <xf numFmtId="189" fontId="0" fillId="2" borderId="23" xfId="0" applyNumberFormat="1" applyFill="1" applyBorder="1">
      <alignment vertical="center"/>
    </xf>
    <xf numFmtId="189" fontId="0" fillId="2" borderId="62" xfId="0" applyNumberFormat="1" applyFill="1" applyBorder="1">
      <alignment vertical="center"/>
    </xf>
    <xf numFmtId="189" fontId="0" fillId="2" borderId="22" xfId="0" applyNumberFormat="1" applyFill="1" applyBorder="1">
      <alignment vertical="center"/>
    </xf>
    <xf numFmtId="189" fontId="3" fillId="0" borderId="0" xfId="0" applyNumberFormat="1" applyFont="1">
      <alignment vertical="center"/>
    </xf>
    <xf numFmtId="0" fontId="3" fillId="0" borderId="63" xfId="0" applyFont="1" applyBorder="1" applyAlignment="1">
      <alignment horizontal="center" vertical="center"/>
    </xf>
    <xf numFmtId="0" fontId="0" fillId="2" borderId="63" xfId="0" applyFill="1" applyBorder="1">
      <alignment vertical="center"/>
    </xf>
    <xf numFmtId="0" fontId="0" fillId="2" borderId="64" xfId="0" applyFill="1" applyBorder="1">
      <alignment vertical="center"/>
    </xf>
    <xf numFmtId="0" fontId="0" fillId="2" borderId="65" xfId="0" applyFill="1" applyBorder="1">
      <alignment vertical="center"/>
    </xf>
    <xf numFmtId="0" fontId="0" fillId="2" borderId="66" xfId="0" applyFill="1" applyBorder="1">
      <alignment vertical="center"/>
    </xf>
    <xf numFmtId="0" fontId="3" fillId="0" borderId="0" xfId="0" applyFont="1">
      <alignment vertical="center"/>
    </xf>
    <xf numFmtId="0" fontId="3" fillId="0" borderId="24" xfId="0" applyFont="1" applyBorder="1" applyAlignment="1">
      <alignment horizontal="center" vertical="center"/>
    </xf>
    <xf numFmtId="0" fontId="3" fillId="0" borderId="67" xfId="0" applyFont="1" applyBorder="1" applyAlignment="1">
      <alignment horizontal="center" vertical="center"/>
    </xf>
    <xf numFmtId="0" fontId="0" fillId="2" borderId="68" xfId="0" applyFill="1" applyBorder="1">
      <alignment vertical="center"/>
    </xf>
    <xf numFmtId="0" fontId="0" fillId="2" borderId="69" xfId="0" applyFill="1" applyBorder="1">
      <alignment vertical="center"/>
    </xf>
    <xf numFmtId="0" fontId="0" fillId="2" borderId="70" xfId="0" applyFill="1" applyBorder="1">
      <alignment vertical="center"/>
    </xf>
    <xf numFmtId="0" fontId="0" fillId="2" borderId="71" xfId="0" applyFill="1" applyBorder="1">
      <alignment vertical="center"/>
    </xf>
    <xf numFmtId="0" fontId="0" fillId="2" borderId="72" xfId="0" applyFill="1" applyBorder="1">
      <alignment vertical="center"/>
    </xf>
    <xf numFmtId="0" fontId="3" fillId="0" borderId="72" xfId="0" applyFont="1" applyBorder="1" applyAlignment="1">
      <alignment horizontal="center" vertical="center"/>
    </xf>
    <xf numFmtId="0" fontId="0" fillId="2" borderId="73" xfId="0" applyFill="1" applyBorder="1">
      <alignment vertical="center"/>
    </xf>
    <xf numFmtId="0" fontId="0" fillId="2" borderId="74" xfId="0" applyFill="1" applyBorder="1">
      <alignment vertical="center"/>
    </xf>
    <xf numFmtId="190" fontId="3" fillId="0" borderId="0" xfId="0" applyNumberFormat="1" applyFont="1">
      <alignment vertical="center"/>
    </xf>
    <xf numFmtId="189" fontId="0" fillId="2" borderId="75" xfId="0" applyNumberFormat="1" applyFill="1" applyBorder="1">
      <alignment vertical="center"/>
    </xf>
    <xf numFmtId="0" fontId="0" fillId="2" borderId="67" xfId="0" applyFill="1" applyBorder="1">
      <alignment vertical="center"/>
    </xf>
    <xf numFmtId="0" fontId="0" fillId="0" borderId="0" xfId="0" applyBorder="1" applyAlignment="1">
      <alignment horizontal="center" vertical="center"/>
    </xf>
    <xf numFmtId="0" fontId="12" fillId="6" borderId="0" xfId="0" applyFont="1" applyFill="1" applyBorder="1" applyAlignment="1" applyProtection="1">
      <alignment horizontal="center" vertical="center" wrapText="1"/>
    </xf>
    <xf numFmtId="178" fontId="3" fillId="6" borderId="0" xfId="0" applyNumberFormat="1" applyFont="1" applyFill="1" applyBorder="1" applyAlignment="1" applyProtection="1">
      <alignment horizontal="right" vertical="center"/>
    </xf>
    <xf numFmtId="0" fontId="35" fillId="0" borderId="0" xfId="2" applyFont="1">
      <alignment vertical="center"/>
    </xf>
    <xf numFmtId="0" fontId="35" fillId="0" borderId="0" xfId="2" applyFont="1" applyAlignment="1">
      <alignment horizontal="center" vertical="center" shrinkToFit="1"/>
    </xf>
    <xf numFmtId="0" fontId="35" fillId="0" borderId="0" xfId="2" applyFont="1" applyAlignment="1">
      <alignment horizontal="center" vertical="center"/>
    </xf>
    <xf numFmtId="191" fontId="35" fillId="0" borderId="0" xfId="2" applyNumberFormat="1" applyFont="1" applyAlignment="1">
      <alignment horizontal="center" vertical="center" shrinkToFit="1"/>
    </xf>
    <xf numFmtId="176" fontId="35" fillId="0" borderId="0" xfId="2" applyNumberFormat="1" applyFont="1" applyAlignment="1">
      <alignment horizontal="center" vertical="center" shrinkToFit="1"/>
    </xf>
    <xf numFmtId="0" fontId="0" fillId="0" borderId="0" xfId="0" applyAlignment="1"/>
    <xf numFmtId="183" fontId="3" fillId="4" borderId="76" xfId="0" applyNumberFormat="1" applyFont="1" applyFill="1" applyBorder="1" applyAlignment="1" applyProtection="1">
      <alignment horizontal="right" vertical="center" shrinkToFit="1"/>
    </xf>
    <xf numFmtId="189" fontId="0" fillId="0" borderId="22" xfId="0" applyNumberFormat="1" applyBorder="1" applyProtection="1">
      <alignment vertical="center"/>
      <protection locked="0"/>
    </xf>
    <xf numFmtId="189" fontId="0" fillId="0" borderId="75" xfId="0" applyNumberFormat="1" applyBorder="1" applyProtection="1">
      <alignment vertical="center"/>
      <protection locked="0"/>
    </xf>
    <xf numFmtId="0" fontId="3" fillId="0" borderId="75" xfId="0" applyFont="1" applyBorder="1" applyAlignment="1">
      <alignment horizontal="center" vertical="center" shrinkToFit="1"/>
    </xf>
    <xf numFmtId="192" fontId="3" fillId="0" borderId="0" xfId="0" applyNumberFormat="1" applyFont="1">
      <alignment vertical="center"/>
    </xf>
    <xf numFmtId="192" fontId="0" fillId="0" borderId="0" xfId="0" applyNumberFormat="1">
      <alignment vertical="center"/>
    </xf>
    <xf numFmtId="0" fontId="0" fillId="0" borderId="1" xfId="0" applyBorder="1" applyAlignment="1" applyProtection="1">
      <alignment horizontal="center" vertical="center"/>
    </xf>
    <xf numFmtId="0" fontId="0" fillId="0" borderId="1" xfId="0" applyBorder="1" applyAlignment="1">
      <alignment horizontal="center" vertical="center"/>
    </xf>
    <xf numFmtId="0" fontId="3" fillId="0" borderId="0" xfId="0" applyFont="1" applyAlignment="1">
      <alignment horizontal="center" vertical="center"/>
    </xf>
    <xf numFmtId="0" fontId="0" fillId="0" borderId="0" xfId="0" applyBorder="1" applyAlignment="1" applyProtection="1">
      <alignment horizontal="center" vertical="center"/>
    </xf>
    <xf numFmtId="0" fontId="9" fillId="0" borderId="41" xfId="0" applyFont="1" applyBorder="1" applyAlignment="1">
      <alignment horizontal="center" vertical="center" wrapText="1"/>
    </xf>
    <xf numFmtId="0" fontId="9" fillId="0" borderId="34" xfId="0" applyFont="1" applyBorder="1" applyAlignment="1">
      <alignment horizontal="center" vertical="center"/>
    </xf>
    <xf numFmtId="0" fontId="0" fillId="0" borderId="1" xfId="0" applyBorder="1" applyAlignment="1" applyProtection="1">
      <alignment horizontal="right" vertical="center"/>
      <protection locked="0"/>
    </xf>
    <xf numFmtId="0" fontId="0" fillId="0" borderId="24" xfId="0" applyFont="1" applyBorder="1" applyAlignment="1" applyProtection="1">
      <alignment horizontal="center" vertical="center"/>
    </xf>
    <xf numFmtId="183" fontId="3" fillId="2" borderId="59" xfId="0" applyNumberFormat="1" applyFont="1" applyFill="1" applyBorder="1" applyAlignment="1" applyProtection="1">
      <alignment horizontal="right" vertical="center" shrinkToFit="1"/>
    </xf>
    <xf numFmtId="183" fontId="3" fillId="2" borderId="46" xfId="0" applyNumberFormat="1" applyFont="1" applyFill="1" applyBorder="1" applyAlignment="1" applyProtection="1">
      <alignment horizontal="right" vertical="center" shrinkToFit="1"/>
    </xf>
    <xf numFmtId="183" fontId="3" fillId="4" borderId="122" xfId="0" applyNumberFormat="1" applyFont="1" applyFill="1" applyBorder="1" applyAlignment="1" applyProtection="1">
      <alignment horizontal="right" vertical="center" shrinkToFit="1"/>
    </xf>
    <xf numFmtId="0" fontId="0" fillId="0" borderId="123" xfId="0" applyFont="1" applyBorder="1" applyAlignment="1" applyProtection="1">
      <alignment horizontal="center" vertical="center"/>
    </xf>
    <xf numFmtId="0" fontId="0" fillId="0" borderId="123" xfId="0" applyFont="1" applyFill="1" applyBorder="1" applyAlignment="1" applyProtection="1">
      <alignment horizontal="right" vertical="center"/>
      <protection locked="0"/>
    </xf>
    <xf numFmtId="0" fontId="0" fillId="4" borderId="124" xfId="0" applyFont="1" applyFill="1" applyBorder="1" applyAlignment="1" applyProtection="1">
      <alignment horizontal="right" vertical="center"/>
    </xf>
    <xf numFmtId="0" fontId="0" fillId="3" borderId="124" xfId="0" applyFont="1" applyFill="1" applyBorder="1" applyAlignment="1" applyProtection="1">
      <alignment horizontal="right" vertical="center"/>
    </xf>
    <xf numFmtId="183" fontId="3" fillId="2" borderId="126" xfId="0" applyNumberFormat="1" applyFont="1" applyFill="1" applyBorder="1" applyAlignment="1" applyProtection="1">
      <alignment horizontal="right" vertical="center" shrinkToFit="1"/>
    </xf>
    <xf numFmtId="0" fontId="0" fillId="3" borderId="121" xfId="0" applyFill="1" applyBorder="1" applyAlignment="1">
      <alignment horizontal="right" vertical="center"/>
    </xf>
    <xf numFmtId="0" fontId="0" fillId="2" borderId="24" xfId="0" applyFill="1" applyBorder="1" applyAlignment="1">
      <alignment horizontal="right" vertical="center"/>
    </xf>
    <xf numFmtId="179" fontId="0" fillId="2" borderId="136" xfId="0" applyNumberFormat="1" applyFill="1" applyBorder="1">
      <alignment vertical="center"/>
    </xf>
    <xf numFmtId="0" fontId="0" fillId="3" borderId="30" xfId="0" applyFill="1" applyBorder="1" applyAlignment="1">
      <alignment horizontal="right" vertical="center"/>
    </xf>
    <xf numFmtId="0" fontId="0" fillId="2" borderId="1" xfId="0" applyFill="1" applyBorder="1" applyAlignment="1">
      <alignment horizontal="right" vertical="center"/>
    </xf>
    <xf numFmtId="179" fontId="0" fillId="2" borderId="30" xfId="0" applyNumberFormat="1" applyFill="1" applyBorder="1">
      <alignment vertical="center"/>
    </xf>
    <xf numFmtId="0" fontId="0" fillId="4" borderId="30" xfId="0" applyFill="1" applyBorder="1" applyAlignment="1">
      <alignment horizontal="right" vertical="center"/>
    </xf>
    <xf numFmtId="179" fontId="0" fillId="2" borderId="121" xfId="0" applyNumberFormat="1" applyFill="1" applyBorder="1">
      <alignment vertical="center"/>
    </xf>
    <xf numFmtId="0" fontId="0" fillId="0" borderId="137" xfId="0" applyFont="1" applyFill="1" applyBorder="1" applyAlignment="1" applyProtection="1">
      <alignment horizontal="right" vertical="center"/>
      <protection locked="0"/>
    </xf>
    <xf numFmtId="0" fontId="0" fillId="3" borderId="138" xfId="0" applyFill="1" applyBorder="1" applyAlignment="1">
      <alignment horizontal="right" vertical="center"/>
    </xf>
    <xf numFmtId="0" fontId="0" fillId="3" borderId="29" xfId="0" applyFill="1" applyBorder="1" applyAlignment="1">
      <alignment horizontal="right" vertical="center"/>
    </xf>
    <xf numFmtId="0" fontId="0" fillId="2" borderId="8" xfId="0" applyFill="1" applyBorder="1" applyAlignment="1">
      <alignment horizontal="right" vertical="center"/>
    </xf>
    <xf numFmtId="0" fontId="0" fillId="2" borderId="140" xfId="0" applyFill="1" applyBorder="1">
      <alignment vertical="center"/>
    </xf>
    <xf numFmtId="0" fontId="0" fillId="2" borderId="75" xfId="0" applyFill="1" applyBorder="1">
      <alignment vertical="center"/>
    </xf>
    <xf numFmtId="178" fontId="3" fillId="6" borderId="17" xfId="0" applyNumberFormat="1" applyFont="1" applyFill="1" applyBorder="1" applyAlignment="1" applyProtection="1">
      <alignment horizontal="right" vertical="center"/>
    </xf>
    <xf numFmtId="0" fontId="11" fillId="0" borderId="144" xfId="0" applyFont="1" applyBorder="1" applyAlignment="1">
      <alignment vertical="center" wrapText="1"/>
    </xf>
    <xf numFmtId="0" fontId="0" fillId="0" borderId="1" xfId="0" applyBorder="1" applyAlignment="1">
      <alignment horizontal="center" vertical="center" wrapText="1"/>
    </xf>
    <xf numFmtId="194" fontId="3" fillId="8" borderId="148" xfId="0" applyNumberFormat="1" applyFont="1" applyFill="1" applyBorder="1" applyAlignment="1">
      <alignment horizontal="center" vertical="center"/>
    </xf>
    <xf numFmtId="0" fontId="0" fillId="3" borderId="150" xfId="0" applyFill="1" applyBorder="1" applyAlignment="1">
      <alignment horizontal="right" vertical="center"/>
    </xf>
    <xf numFmtId="0" fontId="0" fillId="3" borderId="139" xfId="0" applyFill="1" applyBorder="1" applyAlignment="1">
      <alignment horizontal="right" vertical="center"/>
    </xf>
    <xf numFmtId="0" fontId="7" fillId="2" borderId="56" xfId="0" applyFont="1" applyFill="1" applyBorder="1" applyAlignment="1" applyProtection="1">
      <alignment horizontal="center" vertical="center"/>
    </xf>
    <xf numFmtId="0" fontId="0" fillId="0" borderId="1" xfId="0" applyFont="1" applyBorder="1" applyAlignment="1" applyProtection="1">
      <alignment vertical="center"/>
      <protection locked="0"/>
    </xf>
    <xf numFmtId="0" fontId="0" fillId="0" borderId="8" xfId="0" applyFont="1" applyBorder="1" applyAlignment="1" applyProtection="1">
      <alignment vertical="center"/>
      <protection locked="0"/>
    </xf>
    <xf numFmtId="0" fontId="0" fillId="0" borderId="24" xfId="0" applyBorder="1" applyAlignment="1" applyProtection="1">
      <alignment vertical="center"/>
      <protection locked="0"/>
    </xf>
    <xf numFmtId="0" fontId="0" fillId="0" borderId="1" xfId="0" applyBorder="1" applyAlignment="1" applyProtection="1">
      <alignment vertical="center"/>
      <protection locked="0"/>
    </xf>
    <xf numFmtId="0" fontId="0" fillId="0" borderId="123" xfId="0" applyBorder="1" applyAlignment="1" applyProtection="1">
      <alignment vertical="center"/>
      <protection locked="0"/>
    </xf>
    <xf numFmtId="0" fontId="0" fillId="2" borderId="24" xfId="0" applyFill="1" applyBorder="1" applyAlignment="1">
      <alignment vertical="center"/>
    </xf>
    <xf numFmtId="0" fontId="7" fillId="0" borderId="0" xfId="0" applyFont="1" applyBorder="1" applyAlignment="1" applyProtection="1">
      <alignment horizontal="center" vertical="center"/>
    </xf>
    <xf numFmtId="0" fontId="35" fillId="0" borderId="0" xfId="2" applyFont="1" applyAlignment="1">
      <alignment horizontal="left" vertical="center" wrapText="1"/>
    </xf>
    <xf numFmtId="0" fontId="0" fillId="0" borderId="0" xfId="0" applyAlignment="1">
      <alignment horizontal="center" vertical="center"/>
    </xf>
    <xf numFmtId="0" fontId="38" fillId="0" borderId="0" xfId="2" applyFont="1" applyAlignment="1">
      <alignment horizontal="center" vertical="center"/>
    </xf>
    <xf numFmtId="0" fontId="38" fillId="0" borderId="0" xfId="2" applyFont="1" applyAlignment="1">
      <alignment horizontal="center" vertical="center"/>
    </xf>
    <xf numFmtId="193" fontId="37" fillId="2" borderId="22" xfId="2" applyNumberFormat="1" applyFont="1" applyFill="1" applyBorder="1" applyAlignment="1">
      <alignment horizontal="center" vertical="center" shrinkToFit="1"/>
    </xf>
    <xf numFmtId="193" fontId="37" fillId="2" borderId="117" xfId="2" applyNumberFormat="1" applyFont="1" applyFill="1" applyBorder="1" applyAlignment="1">
      <alignment horizontal="center" vertical="center" shrinkToFit="1"/>
    </xf>
    <xf numFmtId="193" fontId="37" fillId="2" borderId="146" xfId="2" applyNumberFormat="1" applyFont="1" applyFill="1" applyBorder="1" applyAlignment="1">
      <alignment horizontal="center" vertical="center" shrinkToFit="1"/>
    </xf>
    <xf numFmtId="193" fontId="37" fillId="2" borderId="24" xfId="2" applyNumberFormat="1" applyFont="1" applyFill="1" applyBorder="1" applyAlignment="1">
      <alignment horizontal="center" vertical="center" shrinkToFit="1"/>
    </xf>
    <xf numFmtId="0" fontId="12" fillId="0" borderId="24" xfId="0" applyFont="1" applyFill="1" applyBorder="1" applyAlignment="1">
      <alignment horizontal="center" vertical="center" wrapText="1"/>
    </xf>
    <xf numFmtId="193" fontId="36" fillId="2" borderId="75" xfId="2" applyNumberFormat="1" applyFont="1" applyFill="1" applyBorder="1" applyAlignment="1">
      <alignment horizontal="center" vertical="center" shrinkToFit="1"/>
    </xf>
    <xf numFmtId="193" fontId="36" fillId="2" borderId="159" xfId="2" applyNumberFormat="1" applyFont="1" applyFill="1" applyBorder="1" applyAlignment="1">
      <alignment horizontal="center" vertical="center" shrinkToFit="1"/>
    </xf>
    <xf numFmtId="193" fontId="36" fillId="2" borderId="117" xfId="2" applyNumberFormat="1" applyFont="1" applyFill="1" applyBorder="1" applyAlignment="1">
      <alignment horizontal="center" vertical="center" shrinkToFit="1"/>
    </xf>
    <xf numFmtId="193" fontId="36" fillId="2" borderId="161" xfId="2" applyNumberFormat="1" applyFont="1" applyFill="1" applyBorder="1" applyAlignment="1">
      <alignment horizontal="center" vertical="center" shrinkToFit="1"/>
    </xf>
    <xf numFmtId="193" fontId="36" fillId="2" borderId="146" xfId="2" applyNumberFormat="1" applyFont="1" applyFill="1" applyBorder="1" applyAlignment="1">
      <alignment horizontal="center" vertical="center" shrinkToFit="1"/>
    </xf>
    <xf numFmtId="193" fontId="36" fillId="2" borderId="163" xfId="2" applyNumberFormat="1" applyFont="1" applyFill="1" applyBorder="1" applyAlignment="1">
      <alignment horizontal="center" vertical="center" shrinkToFit="1"/>
    </xf>
    <xf numFmtId="193" fontId="36" fillId="2" borderId="164" xfId="2" applyNumberFormat="1" applyFont="1" applyFill="1" applyBorder="1" applyAlignment="1">
      <alignment horizontal="center" vertical="center" shrinkToFit="1"/>
    </xf>
    <xf numFmtId="193" fontId="36" fillId="2" borderId="45" xfId="2" applyNumberFormat="1" applyFont="1" applyFill="1" applyBorder="1" applyAlignment="1">
      <alignment horizontal="center" vertical="center" shrinkToFit="1"/>
    </xf>
    <xf numFmtId="0" fontId="46" fillId="9" borderId="7" xfId="2" applyFont="1" applyFill="1" applyBorder="1" applyAlignment="1">
      <alignment horizontal="center" vertical="center" shrinkToFit="1"/>
    </xf>
    <xf numFmtId="0" fontId="46" fillId="9" borderId="157" xfId="2" applyFont="1" applyFill="1" applyBorder="1" applyAlignment="1">
      <alignment horizontal="center" vertical="center" wrapText="1" shrinkToFit="1"/>
    </xf>
    <xf numFmtId="0" fontId="46" fillId="9" borderId="24" xfId="2" applyFont="1" applyFill="1" applyBorder="1" applyAlignment="1">
      <alignment horizontal="center" vertical="center" shrinkToFit="1"/>
    </xf>
    <xf numFmtId="0" fontId="46" fillId="9" borderId="59" xfId="2" applyFont="1" applyFill="1" applyBorder="1" applyAlignment="1">
      <alignment horizontal="center" vertical="center" shrinkToFit="1"/>
    </xf>
    <xf numFmtId="0" fontId="47" fillId="9" borderId="1" xfId="2" applyFont="1" applyFill="1" applyBorder="1" applyAlignment="1">
      <alignment horizontal="center" vertical="center" shrinkToFit="1"/>
    </xf>
    <xf numFmtId="0" fontId="47" fillId="9" borderId="32" xfId="2" applyFont="1" applyFill="1" applyBorder="1" applyAlignment="1">
      <alignment horizontal="center" vertical="center" shrinkToFit="1"/>
    </xf>
    <xf numFmtId="0" fontId="48" fillId="0" borderId="0" xfId="2" applyFont="1" applyFill="1">
      <alignment vertical="center"/>
    </xf>
    <xf numFmtId="0" fontId="46" fillId="0" borderId="0" xfId="2" applyFont="1" applyFill="1" applyAlignment="1">
      <alignment horizontal="center" vertical="center" shrinkToFit="1"/>
    </xf>
    <xf numFmtId="0" fontId="46" fillId="0" borderId="0" xfId="2" applyFont="1" applyFill="1" applyAlignment="1">
      <alignment horizontal="left" vertical="center"/>
    </xf>
    <xf numFmtId="0" fontId="46" fillId="0" borderId="0" xfId="2" applyFont="1" applyFill="1" applyAlignment="1">
      <alignment horizontal="center" vertical="center"/>
    </xf>
    <xf numFmtId="176" fontId="46" fillId="0" borderId="0" xfId="2" applyNumberFormat="1" applyFont="1" applyFill="1" applyAlignment="1">
      <alignment horizontal="center" vertical="center" shrinkToFit="1"/>
    </xf>
    <xf numFmtId="0" fontId="0" fillId="0" borderId="0" xfId="0" applyFont="1" applyFill="1">
      <alignment vertical="center"/>
    </xf>
    <xf numFmtId="0" fontId="0" fillId="0" borderId="0" xfId="0" applyFont="1" applyFill="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44" xfId="0" applyFont="1" applyFill="1" applyBorder="1" applyAlignment="1">
      <alignment horizontal="center" vertical="center" wrapText="1"/>
    </xf>
    <xf numFmtId="0" fontId="5" fillId="0" borderId="168" xfId="0" applyFont="1" applyFill="1" applyBorder="1" applyAlignment="1">
      <alignment horizontal="center" vertical="center" wrapText="1"/>
    </xf>
    <xf numFmtId="0" fontId="5" fillId="0" borderId="152" xfId="0" applyFont="1" applyFill="1" applyBorder="1" applyAlignment="1">
      <alignment horizontal="center" vertical="center" wrapText="1"/>
    </xf>
    <xf numFmtId="0" fontId="5" fillId="0" borderId="113" xfId="0" applyFont="1" applyFill="1" applyBorder="1" applyAlignment="1">
      <alignment horizontal="center" vertical="center" wrapText="1"/>
    </xf>
    <xf numFmtId="0" fontId="5" fillId="0" borderId="153" xfId="0" applyFont="1" applyFill="1" applyBorder="1" applyAlignment="1">
      <alignment horizontal="center" vertical="center" wrapText="1"/>
    </xf>
    <xf numFmtId="179" fontId="0" fillId="0" borderId="1" xfId="0" applyNumberFormat="1" applyFont="1" applyFill="1" applyBorder="1">
      <alignment vertical="center"/>
    </xf>
    <xf numFmtId="179" fontId="0" fillId="0" borderId="0" xfId="0" applyNumberFormat="1" applyFont="1" applyFill="1">
      <alignment vertical="center"/>
    </xf>
    <xf numFmtId="179" fontId="0" fillId="0" borderId="166" xfId="0" applyNumberFormat="1" applyFont="1" applyFill="1" applyBorder="1">
      <alignment vertical="center"/>
    </xf>
    <xf numFmtId="0" fontId="0" fillId="0" borderId="37" xfId="0" applyFont="1" applyFill="1" applyBorder="1">
      <alignment vertical="center"/>
    </xf>
    <xf numFmtId="0" fontId="0" fillId="0" borderId="33" xfId="0" applyFont="1" applyFill="1" applyBorder="1">
      <alignment vertical="center"/>
    </xf>
    <xf numFmtId="0" fontId="0" fillId="0" borderId="1" xfId="0" applyFont="1" applyFill="1" applyBorder="1">
      <alignment vertical="center"/>
    </xf>
    <xf numFmtId="0" fontId="0" fillId="0" borderId="32" xfId="0" applyFont="1" applyFill="1" applyBorder="1">
      <alignment vertical="center"/>
    </xf>
    <xf numFmtId="179" fontId="0" fillId="0" borderId="167" xfId="0" applyNumberFormat="1" applyFont="1" applyFill="1" applyBorder="1">
      <alignment vertical="center"/>
    </xf>
    <xf numFmtId="0" fontId="0" fillId="0" borderId="154" xfId="0" applyFont="1" applyFill="1" applyBorder="1">
      <alignment vertical="center"/>
    </xf>
    <xf numFmtId="0" fontId="0" fillId="0" borderId="155" xfId="0" applyFont="1" applyFill="1" applyBorder="1">
      <alignment vertical="center"/>
    </xf>
    <xf numFmtId="0" fontId="0" fillId="0" borderId="52" xfId="0" applyFont="1" applyFill="1" applyBorder="1">
      <alignment vertical="center"/>
    </xf>
    <xf numFmtId="193" fontId="36" fillId="2" borderId="170" xfId="2" applyNumberFormat="1" applyFont="1" applyFill="1" applyBorder="1" applyAlignment="1">
      <alignment horizontal="center" vertical="center" shrinkToFit="1"/>
    </xf>
    <xf numFmtId="185" fontId="0" fillId="0" borderId="2" xfId="0" applyNumberFormat="1" applyFont="1" applyFill="1" applyBorder="1">
      <alignment vertical="center"/>
    </xf>
    <xf numFmtId="194" fontId="3" fillId="8" borderId="171" xfId="0" applyNumberFormat="1" applyFont="1" applyFill="1" applyBorder="1" applyAlignment="1">
      <alignment horizontal="center" vertical="center"/>
    </xf>
    <xf numFmtId="0" fontId="0" fillId="0" borderId="1" xfId="0" applyBorder="1" applyAlignment="1">
      <alignment horizontal="center" vertical="center"/>
    </xf>
    <xf numFmtId="185" fontId="0" fillId="0" borderId="1" xfId="0" applyNumberFormat="1" applyBorder="1" applyProtection="1">
      <alignment vertical="center"/>
    </xf>
    <xf numFmtId="2" fontId="0" fillId="0" borderId="1" xfId="0" applyNumberFormat="1" applyBorder="1">
      <alignment vertical="center"/>
    </xf>
    <xf numFmtId="185" fontId="0" fillId="0" borderId="1" xfId="0" applyNumberFormat="1" applyBorder="1">
      <alignment vertical="center"/>
    </xf>
    <xf numFmtId="193" fontId="36" fillId="2" borderId="44" xfId="2" applyNumberFormat="1" applyFont="1" applyFill="1" applyBorder="1" applyAlignment="1">
      <alignment horizontal="center" vertical="center" shrinkToFit="1"/>
    </xf>
    <xf numFmtId="193" fontId="37" fillId="2" borderId="24" xfId="2" applyNumberFormat="1" applyFont="1" applyFill="1" applyBorder="1" applyAlignment="1">
      <alignment horizontal="center" vertical="center" shrinkToFit="1"/>
    </xf>
    <xf numFmtId="193" fontId="37" fillId="2" borderId="117" xfId="2" applyNumberFormat="1" applyFont="1" applyFill="1" applyBorder="1" applyAlignment="1">
      <alignment horizontal="center" vertical="center" shrinkToFit="1"/>
    </xf>
    <xf numFmtId="193" fontId="36" fillId="2" borderId="160" xfId="2" applyNumberFormat="1" applyFont="1" applyFill="1" applyBorder="1" applyAlignment="1">
      <alignment horizontal="center" vertical="center" shrinkToFit="1"/>
    </xf>
    <xf numFmtId="193" fontId="37" fillId="2" borderId="146" xfId="2" applyNumberFormat="1" applyFont="1" applyFill="1" applyBorder="1" applyAlignment="1">
      <alignment horizontal="center" vertical="center" shrinkToFit="1"/>
    </xf>
    <xf numFmtId="193" fontId="36" fillId="2" borderId="162" xfId="2" applyNumberFormat="1" applyFont="1" applyFill="1" applyBorder="1" applyAlignment="1">
      <alignment horizontal="center" vertical="center" shrinkToFit="1"/>
    </xf>
    <xf numFmtId="0" fontId="46" fillId="9" borderId="7" xfId="2" applyFont="1" applyFill="1" applyBorder="1" applyAlignment="1">
      <alignment horizontal="center" vertical="center"/>
    </xf>
    <xf numFmtId="193" fontId="36" fillId="2" borderId="165" xfId="2" applyNumberFormat="1" applyFont="1" applyFill="1" applyBorder="1" applyAlignment="1">
      <alignment horizontal="center" vertical="center" shrinkToFit="1"/>
    </xf>
    <xf numFmtId="193" fontId="37" fillId="2" borderId="22" xfId="2" applyNumberFormat="1" applyFont="1" applyFill="1" applyBorder="1" applyAlignment="1">
      <alignment horizontal="center" vertical="center" shrinkToFit="1"/>
    </xf>
    <xf numFmtId="181" fontId="12" fillId="0" borderId="27" xfId="0" applyNumberFormat="1" applyFont="1" applyFill="1" applyBorder="1" applyAlignment="1" applyProtection="1">
      <alignment vertical="top" wrapText="1"/>
    </xf>
    <xf numFmtId="0" fontId="46" fillId="9" borderId="7" xfId="2" applyFont="1" applyFill="1" applyBorder="1" applyAlignment="1">
      <alignment vertical="center"/>
    </xf>
    <xf numFmtId="0" fontId="8" fillId="0" borderId="0" xfId="0" applyFont="1" applyAlignment="1" applyProtection="1">
      <alignment horizontal="left" vertical="center"/>
    </xf>
    <xf numFmtId="0" fontId="54" fillId="0" borderId="0" xfId="0" applyFont="1" applyAlignment="1" applyProtection="1">
      <alignment horizontal="left" vertical="center"/>
    </xf>
    <xf numFmtId="0" fontId="0" fillId="0" borderId="55" xfId="0" applyFont="1" applyFill="1" applyBorder="1" applyAlignment="1" applyProtection="1">
      <alignment horizontal="center" vertical="center"/>
      <protection locked="0"/>
    </xf>
    <xf numFmtId="0" fontId="0" fillId="0" borderId="32" xfId="0" applyFont="1" applyFill="1" applyBorder="1" applyAlignment="1" applyProtection="1">
      <alignment horizontal="center" vertical="center"/>
      <protection locked="0"/>
    </xf>
    <xf numFmtId="0" fontId="0" fillId="0" borderId="125" xfId="0" applyFont="1" applyFill="1" applyBorder="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0" fontId="0" fillId="0" borderId="1" xfId="0" applyFont="1" applyFill="1" applyBorder="1" applyAlignment="1" applyProtection="1">
      <alignment horizontal="center" vertical="center"/>
      <protection locked="0"/>
    </xf>
    <xf numFmtId="0" fontId="0" fillId="0" borderId="123" xfId="0" applyFont="1" applyFill="1" applyBorder="1" applyAlignment="1" applyProtection="1">
      <alignment horizontal="center" vertical="center"/>
      <protection locked="0"/>
    </xf>
    <xf numFmtId="0" fontId="21" fillId="0" borderId="0" xfId="0" applyFont="1">
      <alignment vertical="center"/>
    </xf>
    <xf numFmtId="0" fontId="57" fillId="0" borderId="154" xfId="0" applyFont="1" applyBorder="1" applyAlignment="1">
      <alignment horizontal="center" vertical="center"/>
    </xf>
    <xf numFmtId="0" fontId="3" fillId="0" borderId="0" xfId="0" applyFont="1" applyBorder="1" applyAlignment="1">
      <alignment horizontal="center" vertical="center" wrapText="1"/>
    </xf>
    <xf numFmtId="185" fontId="0" fillId="0" borderId="0" xfId="0" applyNumberFormat="1" applyBorder="1" applyAlignment="1" applyProtection="1">
      <alignment horizontal="right" vertical="center"/>
    </xf>
    <xf numFmtId="2" fontId="0" fillId="0" borderId="0" xfId="0" applyNumberFormat="1" applyBorder="1" applyAlignment="1">
      <alignment horizontal="right" vertical="center"/>
    </xf>
    <xf numFmtId="185" fontId="0" fillId="0" borderId="0" xfId="0" applyNumberFormat="1" applyBorder="1" applyAlignment="1">
      <alignment horizontal="right" vertical="center"/>
    </xf>
    <xf numFmtId="181" fontId="0" fillId="0" borderId="0" xfId="0" applyNumberFormat="1">
      <alignment vertical="center"/>
    </xf>
    <xf numFmtId="178" fontId="60" fillId="10" borderId="46" xfId="0" applyNumberFormat="1" applyFont="1" applyFill="1" applyBorder="1" applyAlignment="1">
      <alignment horizontal="center" vertical="center"/>
    </xf>
    <xf numFmtId="0" fontId="0" fillId="0" borderId="0" xfId="0" applyAlignment="1">
      <alignment vertical="center" wrapText="1"/>
    </xf>
    <xf numFmtId="0" fontId="0" fillId="5" borderId="201" xfId="0" applyFill="1" applyBorder="1" applyAlignment="1">
      <alignment horizontal="center" vertical="center" wrapText="1"/>
    </xf>
    <xf numFmtId="0" fontId="0" fillId="5" borderId="199" xfId="0" applyFill="1" applyBorder="1" applyAlignment="1">
      <alignment horizontal="center" vertical="center" wrapText="1"/>
    </xf>
    <xf numFmtId="0" fontId="0" fillId="5" borderId="202" xfId="0" applyFill="1" applyBorder="1" applyAlignment="1">
      <alignment horizontal="center" vertical="center" wrapText="1"/>
    </xf>
    <xf numFmtId="181" fontId="0" fillId="0" borderId="58" xfId="0" applyNumberFormat="1" applyBorder="1">
      <alignment vertical="center"/>
    </xf>
    <xf numFmtId="0" fontId="7" fillId="0" borderId="8" xfId="0" applyFont="1" applyBorder="1" applyAlignment="1">
      <alignment horizontal="center" vertical="center"/>
    </xf>
    <xf numFmtId="0" fontId="7" fillId="0" borderId="1" xfId="0" applyFont="1" applyBorder="1" applyAlignment="1">
      <alignment horizontal="center" vertical="center"/>
    </xf>
    <xf numFmtId="0" fontId="7" fillId="0" borderId="148" xfId="0" applyFont="1" applyBorder="1" applyAlignment="1">
      <alignment horizontal="center" vertical="center"/>
    </xf>
    <xf numFmtId="193" fontId="3" fillId="4" borderId="29" xfId="0" applyNumberFormat="1" applyFont="1" applyFill="1" applyBorder="1" applyAlignment="1">
      <alignment horizontal="center" vertical="center"/>
    </xf>
    <xf numFmtId="185" fontId="7" fillId="0" borderId="1" xfId="0" applyNumberFormat="1" applyFont="1" applyBorder="1" applyAlignment="1">
      <alignment horizontal="center" vertical="center"/>
    </xf>
    <xf numFmtId="185" fontId="7" fillId="0" borderId="148" xfId="0" applyNumberFormat="1" applyFont="1" applyBorder="1" applyAlignment="1">
      <alignment horizontal="center" vertical="center"/>
    </xf>
    <xf numFmtId="0" fontId="3" fillId="5" borderId="207" xfId="0" applyFont="1" applyFill="1" applyBorder="1" applyAlignment="1">
      <alignment horizontal="center" vertical="center" wrapText="1"/>
    </xf>
    <xf numFmtId="196" fontId="3" fillId="11" borderId="208" xfId="0" applyNumberFormat="1" applyFont="1" applyFill="1" applyBorder="1" applyAlignment="1" applyProtection="1">
      <alignment horizontal="center" vertical="center"/>
      <protection locked="0"/>
    </xf>
    <xf numFmtId="193" fontId="3" fillId="4" borderId="209" xfId="0" applyNumberFormat="1" applyFont="1" applyFill="1" applyBorder="1" applyAlignment="1">
      <alignment horizontal="center" vertical="center"/>
    </xf>
    <xf numFmtId="185" fontId="7" fillId="0" borderId="207" xfId="0" applyNumberFormat="1" applyFont="1" applyBorder="1" applyAlignment="1">
      <alignment horizontal="center" vertical="center"/>
    </xf>
    <xf numFmtId="185" fontId="7" fillId="0" borderId="210" xfId="0" applyNumberFormat="1" applyFont="1" applyBorder="1" applyAlignment="1">
      <alignment horizontal="center" vertical="center"/>
    </xf>
    <xf numFmtId="193" fontId="0" fillId="0" borderId="0" xfId="0" applyNumberFormat="1">
      <alignment vertical="center"/>
    </xf>
    <xf numFmtId="193" fontId="0" fillId="0" borderId="0" xfId="0" applyNumberFormat="1" applyAlignment="1">
      <alignment horizontal="center" vertical="center"/>
    </xf>
    <xf numFmtId="183" fontId="3" fillId="2" borderId="35" xfId="0" applyNumberFormat="1" applyFont="1" applyFill="1" applyBorder="1" applyAlignment="1" applyProtection="1">
      <alignment horizontal="right" vertical="center" shrinkToFit="1"/>
    </xf>
    <xf numFmtId="0" fontId="7" fillId="0" borderId="0" xfId="0" applyFont="1" applyBorder="1" applyAlignment="1" applyProtection="1">
      <alignment horizontal="center" vertical="center"/>
    </xf>
    <xf numFmtId="197" fontId="59" fillId="2" borderId="33" xfId="0" applyNumberFormat="1" applyFont="1" applyFill="1" applyBorder="1">
      <alignment vertical="center"/>
    </xf>
    <xf numFmtId="197" fontId="59" fillId="2" borderId="1" xfId="0" applyNumberFormat="1" applyFont="1" applyFill="1" applyBorder="1">
      <alignment vertical="center"/>
    </xf>
    <xf numFmtId="197" fontId="59" fillId="2" borderId="32" xfId="0" applyNumberFormat="1" applyFont="1" applyFill="1" applyBorder="1">
      <alignment vertical="center"/>
    </xf>
    <xf numFmtId="0" fontId="62" fillId="0" borderId="0" xfId="0" applyFont="1">
      <alignment vertical="center"/>
    </xf>
    <xf numFmtId="0" fontId="63" fillId="0" borderId="0" xfId="0" applyFont="1" applyAlignment="1">
      <alignment horizontal="center" wrapText="1"/>
    </xf>
    <xf numFmtId="0" fontId="62" fillId="0" borderId="1" xfId="0" applyFont="1" applyBorder="1" applyAlignment="1">
      <alignment horizontal="center" vertical="center"/>
    </xf>
    <xf numFmtId="0" fontId="62" fillId="0" borderId="0" xfId="0" applyFont="1" applyAlignment="1">
      <alignment horizontal="center" vertical="center" wrapText="1"/>
    </xf>
    <xf numFmtId="0" fontId="62" fillId="0" borderId="0" xfId="0" applyFont="1" applyAlignment="1">
      <alignment horizontal="center" vertical="center"/>
    </xf>
    <xf numFmtId="0" fontId="62" fillId="0" borderId="1" xfId="0" applyFont="1" applyBorder="1" applyAlignment="1">
      <alignment horizontal="center" vertical="center" wrapText="1"/>
    </xf>
    <xf numFmtId="0" fontId="64" fillId="0" borderId="1" xfId="0" applyFont="1" applyBorder="1" applyAlignment="1">
      <alignment horizontal="center" vertical="center"/>
    </xf>
    <xf numFmtId="0" fontId="62" fillId="12" borderId="1" xfId="0" applyFont="1" applyFill="1" applyBorder="1" applyAlignment="1">
      <alignment horizontal="center" vertical="center"/>
    </xf>
    <xf numFmtId="0" fontId="21" fillId="0" borderId="1" xfId="0" applyFont="1" applyBorder="1" applyAlignment="1" applyProtection="1">
      <alignment horizontal="center" vertical="center"/>
      <protection locked="0"/>
    </xf>
    <xf numFmtId="197" fontId="59" fillId="2" borderId="214" xfId="0" applyNumberFormat="1" applyFont="1" applyFill="1" applyBorder="1">
      <alignment vertical="center"/>
    </xf>
    <xf numFmtId="183" fontId="3" fillId="2" borderId="41" xfId="0" applyNumberFormat="1" applyFont="1" applyFill="1" applyBorder="1" applyAlignment="1" applyProtection="1">
      <alignment horizontal="right" vertical="center"/>
    </xf>
    <xf numFmtId="182" fontId="3" fillId="4" borderId="0" xfId="0" applyNumberFormat="1" applyFont="1" applyFill="1" applyBorder="1" applyAlignment="1" applyProtection="1">
      <alignment horizontal="right" vertical="center"/>
    </xf>
    <xf numFmtId="183" fontId="3" fillId="4" borderId="76" xfId="0" applyNumberFormat="1" applyFont="1" applyFill="1" applyBorder="1" applyAlignment="1" applyProtection="1">
      <alignment horizontal="right" vertical="center"/>
    </xf>
    <xf numFmtId="183" fontId="3" fillId="4" borderId="122" xfId="0" applyNumberFormat="1" applyFont="1" applyFill="1" applyBorder="1" applyAlignment="1" applyProtection="1">
      <alignment horizontal="right" vertical="center"/>
    </xf>
    <xf numFmtId="182" fontId="3" fillId="4" borderId="7" xfId="1" applyNumberFormat="1" applyFont="1" applyFill="1" applyBorder="1" applyAlignment="1" applyProtection="1">
      <alignment horizontal="right" vertical="center"/>
    </xf>
    <xf numFmtId="182" fontId="3" fillId="4" borderId="215" xfId="0" applyNumberFormat="1" applyFont="1" applyFill="1" applyBorder="1" applyAlignment="1">
      <alignment horizontal="center" vertical="center"/>
    </xf>
    <xf numFmtId="182" fontId="3" fillId="4" borderId="190" xfId="1" applyNumberFormat="1" applyFont="1" applyFill="1" applyBorder="1" applyAlignment="1" applyProtection="1">
      <alignment horizontal="right" vertical="center"/>
    </xf>
    <xf numFmtId="182" fontId="3" fillId="4" borderId="216" xfId="0" applyNumberFormat="1" applyFont="1" applyFill="1" applyBorder="1" applyAlignment="1">
      <alignment horizontal="center" vertical="center"/>
    </xf>
    <xf numFmtId="182" fontId="3" fillId="4" borderId="217" xfId="0" applyNumberFormat="1" applyFont="1" applyFill="1" applyBorder="1" applyAlignment="1">
      <alignment horizontal="center" vertical="center"/>
    </xf>
    <xf numFmtId="0" fontId="7" fillId="0" borderId="104" xfId="0" applyFont="1" applyFill="1" applyBorder="1" applyAlignment="1">
      <alignment horizontal="center" vertical="center" shrinkToFit="1"/>
    </xf>
    <xf numFmtId="0" fontId="0" fillId="0" borderId="0" xfId="0" applyFill="1" applyProtection="1">
      <alignment vertical="center"/>
    </xf>
    <xf numFmtId="0" fontId="6" fillId="0" borderId="35" xfId="0" applyFont="1" applyFill="1" applyBorder="1" applyAlignment="1" applyProtection="1">
      <alignment horizontal="center" vertical="center" wrapText="1"/>
    </xf>
    <xf numFmtId="0" fontId="6" fillId="0" borderId="86" xfId="0" applyFont="1" applyFill="1" applyBorder="1" applyAlignment="1" applyProtection="1">
      <alignment horizontal="center" vertical="center" wrapText="1"/>
    </xf>
    <xf numFmtId="183" fontId="3" fillId="2" borderId="218" xfId="0" applyNumberFormat="1" applyFont="1" applyFill="1" applyBorder="1" applyAlignment="1" applyProtection="1">
      <alignment horizontal="right" vertical="center"/>
    </xf>
    <xf numFmtId="0" fontId="62" fillId="13" borderId="1" xfId="0" applyFont="1" applyFill="1" applyBorder="1">
      <alignment vertical="center"/>
    </xf>
    <xf numFmtId="0" fontId="62" fillId="13" borderId="0" xfId="0" applyFont="1" applyFill="1" applyAlignment="1">
      <alignment horizontal="center" vertical="center"/>
    </xf>
    <xf numFmtId="187" fontId="3" fillId="4" borderId="35" xfId="0" applyNumberFormat="1" applyFont="1" applyFill="1" applyBorder="1" applyAlignment="1" applyProtection="1">
      <alignment horizontal="center" vertical="center"/>
    </xf>
    <xf numFmtId="0" fontId="64" fillId="0" borderId="1" xfId="0" applyFont="1" applyBorder="1" applyAlignment="1">
      <alignment horizontal="center" vertical="center" wrapText="1"/>
    </xf>
    <xf numFmtId="192" fontId="65" fillId="13" borderId="1" xfId="0" applyNumberFormat="1" applyFont="1" applyFill="1" applyBorder="1">
      <alignment vertical="center"/>
    </xf>
    <xf numFmtId="0" fontId="72" fillId="0" borderId="0" xfId="0" applyFont="1" applyAlignment="1">
      <alignment horizontal="center" vertical="center"/>
    </xf>
    <xf numFmtId="0" fontId="72" fillId="0" borderId="0" xfId="0" applyFont="1">
      <alignment vertical="center"/>
    </xf>
    <xf numFmtId="0" fontId="64" fillId="0" borderId="30" xfId="0" applyFont="1" applyBorder="1" applyAlignment="1">
      <alignment horizontal="center" vertical="center"/>
    </xf>
    <xf numFmtId="0" fontId="64" fillId="0" borderId="1" xfId="0" applyFont="1" applyBorder="1" applyAlignment="1" applyProtection="1">
      <alignment horizontal="center" vertical="center"/>
      <protection locked="0"/>
    </xf>
    <xf numFmtId="0" fontId="73" fillId="0" borderId="0" xfId="0" applyFont="1" applyFill="1">
      <alignment vertical="center"/>
    </xf>
    <xf numFmtId="0" fontId="76" fillId="0" borderId="8" xfId="0" applyFont="1" applyFill="1" applyBorder="1" applyAlignment="1">
      <alignment horizontal="center" vertical="center" wrapText="1"/>
    </xf>
    <xf numFmtId="0" fontId="79" fillId="13" borderId="219" xfId="0" applyFont="1" applyFill="1" applyBorder="1" applyAlignment="1">
      <alignment horizontal="left" vertical="center" shrinkToFit="1"/>
    </xf>
    <xf numFmtId="0" fontId="79" fillId="13" borderId="220" xfId="0" applyFont="1" applyFill="1" applyBorder="1" applyAlignment="1">
      <alignment horizontal="left" vertical="center" shrinkToFit="1"/>
    </xf>
    <xf numFmtId="0" fontId="79" fillId="13" borderId="221" xfId="0" applyFont="1" applyFill="1" applyBorder="1" applyAlignment="1">
      <alignment horizontal="left" vertical="center" shrinkToFit="1"/>
    </xf>
    <xf numFmtId="0" fontId="78" fillId="0" borderId="11" xfId="0" applyFont="1" applyFill="1" applyBorder="1" applyAlignment="1">
      <alignment horizontal="center" vertical="center" shrinkToFit="1"/>
    </xf>
    <xf numFmtId="0" fontId="78" fillId="0" borderId="10" xfId="0" applyFont="1" applyFill="1" applyBorder="1" applyAlignment="1">
      <alignment horizontal="center" vertical="center" shrinkToFit="1"/>
    </xf>
    <xf numFmtId="181" fontId="79" fillId="13" borderId="226" xfId="0" applyNumberFormat="1" applyFont="1" applyFill="1" applyBorder="1" applyAlignment="1">
      <alignment horizontal="right" vertical="center" shrinkToFit="1"/>
    </xf>
    <xf numFmtId="181" fontId="79" fillId="13" borderId="233" xfId="0" applyNumberFormat="1" applyFont="1" applyFill="1" applyBorder="1" applyAlignment="1">
      <alignment horizontal="right" vertical="center" shrinkToFit="1"/>
    </xf>
    <xf numFmtId="181" fontId="79" fillId="13" borderId="227" xfId="0" applyNumberFormat="1" applyFont="1" applyFill="1" applyBorder="1" applyAlignment="1">
      <alignment horizontal="right" vertical="center" shrinkToFit="1"/>
    </xf>
    <xf numFmtId="181" fontId="79" fillId="13" borderId="228" xfId="0" applyNumberFormat="1" applyFont="1" applyFill="1" applyBorder="1" applyAlignment="1">
      <alignment horizontal="right" vertical="center" shrinkToFit="1"/>
    </xf>
    <xf numFmtId="181" fontId="79" fillId="13" borderId="229" xfId="0" applyNumberFormat="1" applyFont="1" applyFill="1" applyBorder="1" applyAlignment="1">
      <alignment horizontal="right" vertical="center" shrinkToFit="1"/>
    </xf>
    <xf numFmtId="181" fontId="79" fillId="13" borderId="231" xfId="0" applyNumberFormat="1" applyFont="1" applyFill="1" applyBorder="1" applyAlignment="1">
      <alignment horizontal="right" vertical="center" shrinkToFit="1"/>
    </xf>
    <xf numFmtId="181" fontId="79" fillId="13" borderId="232" xfId="0" applyNumberFormat="1" applyFont="1" applyFill="1" applyBorder="1" applyAlignment="1">
      <alignment horizontal="right" vertical="center" shrinkToFit="1"/>
    </xf>
    <xf numFmtId="181" fontId="79" fillId="13" borderId="225" xfId="0" applyNumberFormat="1" applyFont="1" applyFill="1" applyBorder="1" applyAlignment="1">
      <alignment horizontal="right" vertical="center" shrinkToFit="1"/>
    </xf>
    <xf numFmtId="182" fontId="79" fillId="13" borderId="223" xfId="0" applyNumberFormat="1" applyFont="1" applyFill="1" applyBorder="1" applyAlignment="1">
      <alignment vertical="center" shrinkToFit="1"/>
    </xf>
    <xf numFmtId="182" fontId="79" fillId="13" borderId="224" xfId="0" applyNumberFormat="1" applyFont="1" applyFill="1" applyBorder="1" applyAlignment="1">
      <alignment vertical="center" shrinkToFit="1"/>
    </xf>
    <xf numFmtId="192" fontId="65" fillId="14" borderId="1" xfId="0" applyNumberFormat="1" applyFont="1" applyFill="1" applyBorder="1" applyProtection="1">
      <alignment vertical="center"/>
      <protection locked="0"/>
    </xf>
    <xf numFmtId="182" fontId="79" fillId="13" borderId="236" xfId="0" applyNumberFormat="1" applyFont="1" applyFill="1" applyBorder="1" applyAlignment="1">
      <alignment vertical="center" shrinkToFit="1"/>
    </xf>
    <xf numFmtId="182" fontId="79" fillId="13" borderId="237" xfId="0" applyNumberFormat="1" applyFont="1" applyFill="1" applyBorder="1" applyAlignment="1">
      <alignment vertical="center" shrinkToFit="1"/>
    </xf>
    <xf numFmtId="182" fontId="79" fillId="13" borderId="238" xfId="0" applyNumberFormat="1" applyFont="1" applyFill="1" applyBorder="1" applyAlignment="1">
      <alignment vertical="center" shrinkToFit="1"/>
    </xf>
    <xf numFmtId="0" fontId="73" fillId="0" borderId="1" xfId="0" applyFont="1" applyFill="1" applyBorder="1">
      <alignment vertical="center"/>
    </xf>
    <xf numFmtId="0" fontId="73" fillId="0" borderId="30" xfId="0" applyFont="1" applyFill="1" applyBorder="1">
      <alignment vertical="center"/>
    </xf>
    <xf numFmtId="179" fontId="73" fillId="0" borderId="30" xfId="0" applyNumberFormat="1" applyFont="1" applyFill="1" applyBorder="1">
      <alignment vertical="center"/>
    </xf>
    <xf numFmtId="179" fontId="73" fillId="0" borderId="1" xfId="0" applyNumberFormat="1" applyFont="1" applyFill="1" applyBorder="1">
      <alignment vertical="center"/>
    </xf>
    <xf numFmtId="0" fontId="73" fillId="0" borderId="1" xfId="0" applyFont="1" applyFill="1" applyBorder="1" applyAlignment="1">
      <alignment vertical="center" wrapText="1"/>
    </xf>
    <xf numFmtId="0" fontId="73" fillId="0" borderId="0" xfId="0" applyFont="1" applyFill="1" applyBorder="1">
      <alignment vertical="center"/>
    </xf>
    <xf numFmtId="0" fontId="73" fillId="0" borderId="67" xfId="0" applyFont="1" applyFill="1" applyBorder="1" applyAlignment="1">
      <alignment vertical="center" wrapText="1"/>
    </xf>
    <xf numFmtId="0" fontId="73" fillId="0" borderId="67" xfId="0" applyFont="1" applyFill="1" applyBorder="1">
      <alignment vertical="center"/>
    </xf>
    <xf numFmtId="0" fontId="63" fillId="0" borderId="1" xfId="0" applyFont="1" applyFill="1" applyBorder="1" applyAlignment="1">
      <alignment vertical="center" wrapText="1"/>
    </xf>
    <xf numFmtId="0" fontId="73" fillId="0" borderId="2" xfId="0" applyFont="1" applyFill="1" applyBorder="1" applyAlignment="1">
      <alignment vertical="center"/>
    </xf>
    <xf numFmtId="0" fontId="73" fillId="0" borderId="7" xfId="0" applyFont="1" applyFill="1" applyBorder="1" applyAlignment="1">
      <alignment vertical="center"/>
    </xf>
    <xf numFmtId="0" fontId="73" fillId="0" borderId="8" xfId="0" applyFont="1" applyFill="1" applyBorder="1" applyAlignment="1">
      <alignment vertical="center"/>
    </xf>
    <xf numFmtId="179" fontId="80" fillId="0" borderId="1" xfId="0" applyNumberFormat="1" applyFont="1" applyFill="1" applyBorder="1">
      <alignment vertical="center"/>
    </xf>
    <xf numFmtId="179" fontId="81" fillId="13" borderId="7" xfId="0" applyNumberFormat="1" applyFont="1" applyFill="1" applyBorder="1" applyAlignment="1">
      <alignment vertical="center" shrinkToFit="1"/>
    </xf>
    <xf numFmtId="179" fontId="77" fillId="13" borderId="8" xfId="0" applyNumberFormat="1" applyFont="1" applyFill="1" applyBorder="1" applyAlignment="1">
      <alignment vertical="center" shrinkToFit="1"/>
    </xf>
    <xf numFmtId="0" fontId="9" fillId="0" borderId="0" xfId="0" applyFont="1" applyAlignment="1">
      <alignment vertical="top" textRotation="255" wrapText="1"/>
    </xf>
    <xf numFmtId="0" fontId="12" fillId="0" borderId="0" xfId="0" applyFont="1" applyAlignment="1">
      <alignment vertical="center" textRotation="255" wrapText="1"/>
    </xf>
    <xf numFmtId="0" fontId="9" fillId="0" borderId="0" xfId="0" applyFont="1" applyAlignment="1">
      <alignment vertical="center" textRotation="255" wrapText="1"/>
    </xf>
    <xf numFmtId="0" fontId="0" fillId="0" borderId="0" xfId="0" applyAlignment="1">
      <alignment vertical="center" shrinkToFit="1"/>
    </xf>
    <xf numFmtId="199" fontId="32" fillId="0" borderId="0" xfId="0" applyNumberFormat="1" applyFont="1" applyAlignment="1">
      <alignment vertical="center" shrinkToFit="1"/>
    </xf>
    <xf numFmtId="0" fontId="32" fillId="0" borderId="0" xfId="0" applyFont="1" applyAlignment="1">
      <alignment vertical="center" shrinkToFit="1"/>
    </xf>
    <xf numFmtId="179" fontId="32" fillId="0" borderId="0" xfId="0" applyNumberFormat="1" applyFont="1" applyAlignment="1">
      <alignment vertical="center" shrinkToFit="1"/>
    </xf>
    <xf numFmtId="179" fontId="0" fillId="0" borderId="0" xfId="0" applyNumberFormat="1" applyAlignment="1">
      <alignment vertical="center" shrinkToFit="1"/>
    </xf>
    <xf numFmtId="0" fontId="12" fillId="0" borderId="0" xfId="0" applyFont="1">
      <alignment vertical="center"/>
    </xf>
    <xf numFmtId="0" fontId="82" fillId="0" borderId="0" xfId="0" applyFont="1">
      <alignment vertical="center"/>
    </xf>
    <xf numFmtId="0" fontId="0" fillId="0" borderId="0" xfId="0" applyAlignment="1">
      <alignment horizontal="center" vertical="center"/>
    </xf>
    <xf numFmtId="0" fontId="13" fillId="6" borderId="57" xfId="0" applyFont="1" applyFill="1" applyBorder="1" applyAlignment="1" applyProtection="1">
      <alignment horizontal="center" vertical="center" wrapText="1"/>
    </xf>
    <xf numFmtId="0" fontId="14" fillId="6" borderId="57" xfId="0" applyFont="1" applyFill="1" applyBorder="1" applyAlignment="1" applyProtection="1">
      <alignment vertical="center"/>
    </xf>
    <xf numFmtId="0" fontId="0" fillId="0" borderId="1" xfId="0" applyBorder="1" applyAlignment="1" applyProtection="1">
      <alignment horizontal="center" vertical="center" wrapText="1"/>
    </xf>
    <xf numFmtId="0" fontId="0" fillId="0" borderId="33" xfId="0" applyBorder="1" applyAlignment="1" applyProtection="1">
      <alignment horizontal="center" vertical="center" wrapText="1"/>
    </xf>
    <xf numFmtId="0" fontId="0" fillId="0" borderId="32" xfId="0" applyBorder="1" applyAlignment="1" applyProtection="1">
      <alignment horizontal="center" vertical="center" wrapText="1"/>
    </xf>
    <xf numFmtId="0" fontId="7" fillId="0" borderId="0" xfId="0" applyFont="1" applyBorder="1" applyAlignment="1" applyProtection="1">
      <alignment horizontal="center" vertical="center"/>
    </xf>
    <xf numFmtId="0" fontId="0" fillId="5" borderId="240" xfId="0" applyFill="1" applyBorder="1" applyAlignment="1">
      <alignment horizontal="center" vertical="center" wrapText="1"/>
    </xf>
    <xf numFmtId="0" fontId="7" fillId="0" borderId="2" xfId="0" applyFont="1" applyBorder="1" applyAlignment="1">
      <alignment horizontal="center" vertical="center"/>
    </xf>
    <xf numFmtId="185" fontId="7" fillId="0" borderId="2" xfId="0" applyNumberFormat="1" applyFont="1" applyBorder="1" applyAlignment="1">
      <alignment horizontal="center" vertical="center"/>
    </xf>
    <xf numFmtId="185" fontId="7" fillId="0" borderId="194" xfId="0" applyNumberFormat="1" applyFont="1" applyBorder="1" applyAlignment="1">
      <alignment horizontal="center" vertical="center"/>
    </xf>
    <xf numFmtId="197" fontId="3" fillId="2" borderId="38" xfId="0" applyNumberFormat="1" applyFont="1" applyFill="1" applyBorder="1" applyAlignment="1" applyProtection="1">
      <alignment vertical="center"/>
    </xf>
    <xf numFmtId="0" fontId="21" fillId="0" borderId="0" xfId="0" applyFont="1" applyBorder="1" applyAlignment="1" applyProtection="1">
      <alignment vertical="center" wrapText="1"/>
    </xf>
    <xf numFmtId="178" fontId="31" fillId="0" borderId="0" xfId="0" applyNumberFormat="1" applyFont="1" applyBorder="1" applyProtection="1">
      <alignment vertical="center"/>
    </xf>
    <xf numFmtId="0" fontId="21" fillId="0" borderId="0" xfId="0" applyFont="1" applyBorder="1" applyProtection="1">
      <alignment vertical="center"/>
    </xf>
    <xf numFmtId="0" fontId="9" fillId="0" borderId="41" xfId="0" applyFont="1" applyBorder="1" applyAlignment="1">
      <alignment horizontal="center" vertical="center"/>
    </xf>
    <xf numFmtId="0" fontId="9" fillId="0" borderId="42" xfId="0" applyFont="1" applyBorder="1" applyAlignment="1">
      <alignment horizontal="center" vertical="center"/>
    </xf>
    <xf numFmtId="181" fontId="3" fillId="2" borderId="214" xfId="0" applyNumberFormat="1" applyFont="1" applyFill="1" applyBorder="1" applyAlignment="1" applyProtection="1">
      <alignment vertical="center"/>
    </xf>
    <xf numFmtId="181" fontId="3" fillId="2" borderId="22" xfId="0" applyNumberFormat="1" applyFont="1" applyFill="1" applyBorder="1" applyAlignment="1" applyProtection="1">
      <alignment vertical="center"/>
    </xf>
    <xf numFmtId="197" fontId="3" fillId="2" borderId="33" xfId="0" applyNumberFormat="1" applyFont="1" applyFill="1" applyBorder="1" applyAlignment="1" applyProtection="1">
      <alignment vertical="center"/>
    </xf>
    <xf numFmtId="197" fontId="3" fillId="2" borderId="1" xfId="0" applyNumberFormat="1" applyFont="1" applyFill="1" applyBorder="1" applyAlignment="1" applyProtection="1">
      <alignment vertical="center"/>
    </xf>
    <xf numFmtId="197" fontId="59" fillId="2" borderId="22" xfId="0" applyNumberFormat="1" applyFont="1" applyFill="1" applyBorder="1">
      <alignment vertical="center"/>
    </xf>
    <xf numFmtId="0" fontId="57" fillId="0" borderId="155" xfId="0" applyFont="1" applyBorder="1" applyAlignment="1">
      <alignment horizontal="center" vertical="center"/>
    </xf>
    <xf numFmtId="181" fontId="3" fillId="2" borderId="55" xfId="0" applyNumberFormat="1" applyFont="1" applyFill="1" applyBorder="1" applyAlignment="1" applyProtection="1">
      <alignment vertical="center"/>
    </xf>
    <xf numFmtId="197" fontId="3" fillId="2" borderId="32" xfId="0" applyNumberFormat="1" applyFont="1" applyFill="1" applyBorder="1" applyAlignment="1" applyProtection="1">
      <alignment vertical="center"/>
    </xf>
    <xf numFmtId="197" fontId="59" fillId="2" borderId="55" xfId="0" applyNumberFormat="1" applyFont="1" applyFill="1" applyBorder="1">
      <alignment vertical="center"/>
    </xf>
    <xf numFmtId="0" fontId="57" fillId="0" borderId="52" xfId="0" applyFont="1" applyBorder="1" applyAlignment="1">
      <alignment horizontal="center" vertical="center"/>
    </xf>
    <xf numFmtId="181" fontId="3" fillId="2" borderId="241" xfId="0" applyNumberFormat="1" applyFont="1" applyFill="1" applyBorder="1" applyAlignment="1" applyProtection="1">
      <alignment vertical="center"/>
    </xf>
    <xf numFmtId="181" fontId="3" fillId="2" borderId="242" xfId="0" applyNumberFormat="1" applyFont="1" applyFill="1" applyBorder="1" applyAlignment="1" applyProtection="1">
      <alignment vertical="center"/>
    </xf>
    <xf numFmtId="0" fontId="0" fillId="15" borderId="243" xfId="0" applyFill="1" applyBorder="1" applyAlignment="1" applyProtection="1">
      <alignment vertical="center"/>
    </xf>
    <xf numFmtId="0" fontId="9" fillId="15" borderId="243" xfId="0" applyFont="1" applyFill="1" applyBorder="1" applyAlignment="1" applyProtection="1">
      <alignment horizontal="center" vertical="center" wrapText="1"/>
    </xf>
    <xf numFmtId="181" fontId="3" fillId="2" borderId="115" xfId="0" applyNumberFormat="1" applyFont="1" applyFill="1" applyBorder="1" applyAlignment="1" applyProtection="1">
      <alignment vertical="center"/>
    </xf>
    <xf numFmtId="197" fontId="3" fillId="2" borderId="21" xfId="0" applyNumberFormat="1" applyFont="1" applyFill="1" applyBorder="1" applyAlignment="1" applyProtection="1">
      <alignment vertical="center"/>
    </xf>
    <xf numFmtId="197" fontId="3" fillId="2" borderId="155" xfId="0" applyNumberFormat="1" applyFont="1" applyFill="1" applyBorder="1" applyAlignment="1" applyProtection="1">
      <alignment vertical="center"/>
    </xf>
    <xf numFmtId="193" fontId="37" fillId="2" borderId="55" xfId="2" applyNumberFormat="1" applyFont="1" applyFill="1" applyBorder="1" applyAlignment="1">
      <alignment horizontal="center" vertical="center" shrinkToFit="1"/>
    </xf>
    <xf numFmtId="193" fontId="37" fillId="2" borderId="161" xfId="2" applyNumberFormat="1" applyFont="1" applyFill="1" applyBorder="1" applyAlignment="1">
      <alignment horizontal="center" vertical="center" shrinkToFit="1"/>
    </xf>
    <xf numFmtId="193" fontId="37" fillId="2" borderId="163" xfId="2" applyNumberFormat="1" applyFont="1" applyFill="1" applyBorder="1" applyAlignment="1">
      <alignment horizontal="center" vertical="center" shrinkToFit="1"/>
    </xf>
    <xf numFmtId="193" fontId="37" fillId="2" borderId="99" xfId="2" applyNumberFormat="1" applyFont="1" applyFill="1" applyBorder="1" applyAlignment="1">
      <alignment horizontal="center" vertical="center" shrinkToFit="1"/>
    </xf>
    <xf numFmtId="0" fontId="46" fillId="9" borderId="116" xfId="2" applyFont="1" applyFill="1" applyBorder="1" applyAlignment="1">
      <alignment horizontal="center" vertical="center"/>
    </xf>
    <xf numFmtId="0" fontId="35" fillId="0" borderId="16" xfId="2" applyFont="1" applyBorder="1">
      <alignment vertical="center"/>
    </xf>
    <xf numFmtId="0" fontId="35" fillId="0" borderId="0" xfId="2" applyFont="1" applyAlignment="1">
      <alignment vertical="center"/>
    </xf>
    <xf numFmtId="0" fontId="35" fillId="0" borderId="16" xfId="2" applyFont="1" applyBorder="1" applyAlignment="1">
      <alignment vertical="center"/>
    </xf>
    <xf numFmtId="179" fontId="0" fillId="0" borderId="2" xfId="0" applyNumberFormat="1" applyFont="1" applyFill="1" applyBorder="1">
      <alignment vertical="center"/>
    </xf>
    <xf numFmtId="0" fontId="5" fillId="0" borderId="1" xfId="0" applyFont="1" applyFill="1" applyBorder="1" applyAlignment="1">
      <alignment horizontal="center" vertical="center" shrinkToFit="1"/>
    </xf>
    <xf numFmtId="0" fontId="0" fillId="0" borderId="1" xfId="0" applyNumberFormat="1" applyFont="1" applyFill="1" applyBorder="1">
      <alignment vertical="center"/>
    </xf>
    <xf numFmtId="0" fontId="5" fillId="15" borderId="243" xfId="0" applyFont="1" applyFill="1" applyBorder="1" applyAlignment="1" applyProtection="1">
      <alignment horizontal="center" vertical="center"/>
    </xf>
    <xf numFmtId="0" fontId="32" fillId="0" borderId="0" xfId="0" applyFont="1">
      <alignment vertical="center"/>
    </xf>
    <xf numFmtId="0" fontId="46" fillId="9" borderId="55" xfId="2" applyFont="1" applyFill="1" applyBorder="1" applyAlignment="1">
      <alignment horizontal="center" vertical="center" shrinkToFit="1"/>
    </xf>
    <xf numFmtId="0" fontId="46" fillId="9" borderId="99" xfId="2" applyFont="1" applyFill="1" applyBorder="1" applyAlignment="1">
      <alignment horizontal="center" vertical="center" shrinkToFit="1"/>
    </xf>
    <xf numFmtId="0" fontId="0" fillId="0" borderId="1" xfId="0" applyFont="1" applyFill="1" applyBorder="1" applyAlignment="1">
      <alignment horizontal="center" vertical="center"/>
    </xf>
    <xf numFmtId="0" fontId="35" fillId="2" borderId="16" xfId="2" applyFont="1" applyFill="1" applyBorder="1" applyAlignment="1">
      <alignment horizontal="center" vertical="center"/>
    </xf>
    <xf numFmtId="0" fontId="53" fillId="0" borderId="0" xfId="2" applyFont="1" applyAlignment="1">
      <alignment horizontal="center" vertical="center"/>
    </xf>
    <xf numFmtId="0" fontId="46" fillId="0" borderId="0" xfId="2" applyFont="1" applyFill="1" applyAlignment="1">
      <alignment horizontal="left" vertical="center" wrapText="1"/>
    </xf>
    <xf numFmtId="0" fontId="46" fillId="9" borderId="7" xfId="2" applyFont="1" applyFill="1" applyBorder="1" applyAlignment="1">
      <alignment horizontal="center" vertical="center"/>
    </xf>
    <xf numFmtId="0" fontId="35" fillId="0" borderId="117" xfId="2" applyFont="1" applyBorder="1" applyAlignment="1">
      <alignment horizontal="center" vertical="center"/>
    </xf>
    <xf numFmtId="193" fontId="37" fillId="2" borderId="117" xfId="2" applyNumberFormat="1" applyFont="1" applyFill="1" applyBorder="1" applyAlignment="1">
      <alignment horizontal="center" vertical="center" shrinkToFit="1"/>
    </xf>
    <xf numFmtId="0" fontId="35" fillId="0" borderId="75" xfId="2" applyFont="1" applyBorder="1" applyAlignment="1">
      <alignment horizontal="center" vertical="center"/>
    </xf>
    <xf numFmtId="193" fontId="37" fillId="2" borderId="22" xfId="2" applyNumberFormat="1" applyFont="1" applyFill="1" applyBorder="1" applyAlignment="1">
      <alignment horizontal="center" vertical="center" shrinkToFit="1"/>
    </xf>
    <xf numFmtId="193" fontId="37" fillId="2" borderId="146" xfId="2" applyNumberFormat="1" applyFont="1" applyFill="1" applyBorder="1" applyAlignment="1">
      <alignment horizontal="center" vertical="center" shrinkToFit="1"/>
    </xf>
    <xf numFmtId="0" fontId="46" fillId="9" borderId="23" xfId="2" applyFont="1" applyFill="1" applyBorder="1" applyAlignment="1">
      <alignment horizontal="center" vertical="center"/>
    </xf>
    <xf numFmtId="0" fontId="46" fillId="9" borderId="85" xfId="2" applyFont="1" applyFill="1" applyBorder="1" applyAlignment="1">
      <alignment horizontal="center" vertical="center"/>
    </xf>
    <xf numFmtId="0" fontId="46" fillId="9" borderId="46" xfId="2" applyFont="1" applyFill="1" applyBorder="1" applyAlignment="1">
      <alignment horizontal="center" vertical="center"/>
    </xf>
    <xf numFmtId="0" fontId="46" fillId="9" borderId="57" xfId="2" applyFont="1" applyFill="1" applyBorder="1" applyAlignment="1">
      <alignment horizontal="center" vertical="center"/>
    </xf>
    <xf numFmtId="0" fontId="46" fillId="9" borderId="59" xfId="2" applyFont="1" applyFill="1" applyBorder="1" applyAlignment="1">
      <alignment horizontal="center" vertical="center"/>
    </xf>
    <xf numFmtId="0" fontId="46" fillId="9" borderId="86" xfId="2" applyFont="1" applyFill="1" applyBorder="1" applyAlignment="1">
      <alignment horizontal="center" vertical="center"/>
    </xf>
    <xf numFmtId="0" fontId="46" fillId="9" borderId="7" xfId="2" applyFont="1" applyFill="1" applyBorder="1" applyAlignment="1">
      <alignment horizontal="center" vertical="center" shrinkToFit="1"/>
    </xf>
    <xf numFmtId="0" fontId="46" fillId="9" borderId="8" xfId="2" applyFont="1" applyFill="1" applyBorder="1" applyAlignment="1">
      <alignment horizontal="center" vertical="center" shrinkToFit="1"/>
    </xf>
    <xf numFmtId="0" fontId="46" fillId="9" borderId="22" xfId="2" applyFont="1" applyFill="1" applyBorder="1" applyAlignment="1">
      <alignment horizontal="center" vertical="center" wrapText="1" shrinkToFit="1"/>
    </xf>
    <xf numFmtId="0" fontId="46" fillId="9" borderId="24" xfId="2" applyFont="1" applyFill="1" applyBorder="1" applyAlignment="1">
      <alignment horizontal="center" vertical="center" wrapText="1" shrinkToFit="1"/>
    </xf>
    <xf numFmtId="0" fontId="46" fillId="9" borderId="2" xfId="2" applyFont="1" applyFill="1" applyBorder="1" applyAlignment="1">
      <alignment horizontal="center" vertical="center" shrinkToFit="1"/>
    </xf>
    <xf numFmtId="0" fontId="46" fillId="9" borderId="23" xfId="2" applyFont="1" applyFill="1" applyBorder="1" applyAlignment="1">
      <alignment horizontal="center" vertical="center" wrapText="1" shrinkToFit="1"/>
    </xf>
    <xf numFmtId="0" fontId="46" fillId="9" borderId="58" xfId="2" applyFont="1" applyFill="1" applyBorder="1" applyAlignment="1">
      <alignment horizontal="center" vertical="center" wrapText="1" shrinkToFit="1"/>
    </xf>
    <xf numFmtId="0" fontId="46" fillId="9" borderId="46" xfId="2" applyFont="1" applyFill="1" applyBorder="1" applyAlignment="1">
      <alignment horizontal="center" vertical="center" wrapText="1" shrinkToFit="1"/>
    </xf>
    <xf numFmtId="0" fontId="46" fillId="9" borderId="0" xfId="2" applyFont="1" applyFill="1" applyBorder="1" applyAlignment="1">
      <alignment horizontal="center" vertical="center" wrapText="1" shrinkToFit="1"/>
    </xf>
    <xf numFmtId="0" fontId="46" fillId="9" borderId="59" xfId="2" applyFont="1" applyFill="1" applyBorder="1" applyAlignment="1">
      <alignment horizontal="center" vertical="center" wrapText="1" shrinkToFit="1"/>
    </xf>
    <xf numFmtId="0" fontId="46" fillId="9" borderId="16" xfId="2" applyFont="1" applyFill="1" applyBorder="1" applyAlignment="1">
      <alignment horizontal="center" vertical="center" wrapText="1" shrinkToFit="1"/>
    </xf>
    <xf numFmtId="193" fontId="37" fillId="2" borderId="118" xfId="2" applyNumberFormat="1" applyFont="1" applyFill="1" applyBorder="1" applyAlignment="1">
      <alignment horizontal="center" vertical="center" shrinkToFit="1"/>
    </xf>
    <xf numFmtId="193" fontId="37" fillId="2" borderId="156" xfId="2" applyNumberFormat="1" applyFont="1" applyFill="1" applyBorder="1" applyAlignment="1">
      <alignment horizontal="center" vertical="center" shrinkToFit="1"/>
    </xf>
    <xf numFmtId="193" fontId="37" fillId="2" borderId="119" xfId="2" applyNumberFormat="1" applyFont="1" applyFill="1" applyBorder="1" applyAlignment="1">
      <alignment horizontal="center" vertical="center" shrinkToFit="1"/>
    </xf>
    <xf numFmtId="0" fontId="35" fillId="0" borderId="24" xfId="2" applyFont="1" applyBorder="1" applyAlignment="1">
      <alignment horizontal="center" vertical="center"/>
    </xf>
    <xf numFmtId="193" fontId="37" fillId="2" borderId="24" xfId="2" applyNumberFormat="1" applyFont="1" applyFill="1" applyBorder="1" applyAlignment="1">
      <alignment horizontal="center" vertical="center" shrinkToFit="1"/>
    </xf>
    <xf numFmtId="193" fontId="37" fillId="2" borderId="59" xfId="2" applyNumberFormat="1" applyFont="1" applyFill="1" applyBorder="1" applyAlignment="1">
      <alignment horizontal="center" vertical="center" shrinkToFit="1"/>
    </xf>
    <xf numFmtId="0" fontId="35" fillId="0" borderId="146" xfId="2" applyFont="1" applyBorder="1" applyAlignment="1">
      <alignment horizontal="center" vertical="center"/>
    </xf>
    <xf numFmtId="193" fontId="37" fillId="2" borderId="147" xfId="2" applyNumberFormat="1" applyFont="1" applyFill="1" applyBorder="1" applyAlignment="1">
      <alignment horizontal="center" vertical="center" shrinkToFit="1"/>
    </xf>
    <xf numFmtId="193" fontId="37" fillId="2" borderId="69" xfId="2" applyNumberFormat="1" applyFont="1" applyFill="1" applyBorder="1" applyAlignment="1">
      <alignment horizontal="center" vertical="center" shrinkToFit="1"/>
    </xf>
    <xf numFmtId="193" fontId="37" fillId="2" borderId="71" xfId="2" applyNumberFormat="1" applyFont="1" applyFill="1" applyBorder="1" applyAlignment="1">
      <alignment horizontal="center" vertical="center" shrinkToFit="1"/>
    </xf>
    <xf numFmtId="193" fontId="37" fillId="2" borderId="177" xfId="2" applyNumberFormat="1" applyFont="1" applyFill="1" applyBorder="1" applyAlignment="1">
      <alignment horizontal="center" vertical="center" shrinkToFit="1"/>
    </xf>
    <xf numFmtId="193" fontId="37" fillId="2" borderId="178" xfId="2" applyNumberFormat="1" applyFont="1" applyFill="1" applyBorder="1" applyAlignment="1">
      <alignment horizontal="center" vertical="center" shrinkToFit="1"/>
    </xf>
    <xf numFmtId="193" fontId="37" fillId="2" borderId="23" xfId="2" applyNumberFormat="1" applyFont="1" applyFill="1" applyBorder="1" applyAlignment="1">
      <alignment horizontal="center" vertical="center" shrinkToFit="1"/>
    </xf>
    <xf numFmtId="0" fontId="46" fillId="9" borderId="157" xfId="2" applyFont="1" applyFill="1" applyBorder="1" applyAlignment="1">
      <alignment horizontal="center" vertical="center" wrapText="1" shrinkToFit="1"/>
    </xf>
    <xf numFmtId="0" fontId="46" fillId="9" borderId="158" xfId="2" applyFont="1" applyFill="1" applyBorder="1" applyAlignment="1">
      <alignment horizontal="center" vertical="center" wrapText="1" shrinkToFit="1"/>
    </xf>
    <xf numFmtId="0" fontId="47" fillId="9" borderId="1" xfId="2" applyFont="1" applyFill="1" applyBorder="1" applyAlignment="1">
      <alignment horizontal="center" vertical="center" shrinkToFit="1"/>
    </xf>
    <xf numFmtId="0" fontId="47" fillId="9" borderId="32" xfId="2" applyFont="1" applyFill="1" applyBorder="1" applyAlignment="1">
      <alignment horizontal="center" vertical="center" shrinkToFit="1"/>
    </xf>
    <xf numFmtId="0" fontId="47" fillId="9" borderId="12" xfId="2" applyFont="1" applyFill="1" applyBorder="1" applyAlignment="1">
      <alignment horizontal="center" vertical="center" wrapText="1" shrinkToFit="1"/>
    </xf>
    <xf numFmtId="0" fontId="47" fillId="9" borderId="31" xfId="2" applyFont="1" applyFill="1" applyBorder="1" applyAlignment="1">
      <alignment horizontal="center" vertical="center" wrapText="1" shrinkToFit="1"/>
    </xf>
    <xf numFmtId="0" fontId="47" fillId="9" borderId="15" xfId="2" applyFont="1" applyFill="1" applyBorder="1" applyAlignment="1">
      <alignment horizontal="center" vertical="center" wrapText="1" shrinkToFit="1"/>
    </xf>
    <xf numFmtId="0" fontId="0" fillId="0" borderId="111"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12" xfId="0" applyFont="1" applyFill="1" applyBorder="1" applyAlignment="1">
      <alignment horizontal="center" vertical="center"/>
    </xf>
    <xf numFmtId="0" fontId="46" fillId="9" borderId="23" xfId="2" applyFont="1" applyFill="1" applyBorder="1" applyAlignment="1">
      <alignment horizontal="center" vertical="center" shrinkToFit="1"/>
    </xf>
    <xf numFmtId="0" fontId="46" fillId="9" borderId="58" xfId="2" applyFont="1" applyFill="1" applyBorder="1" applyAlignment="1">
      <alignment horizontal="center" vertical="center" shrinkToFit="1"/>
    </xf>
    <xf numFmtId="0" fontId="46" fillId="9" borderId="85" xfId="2" applyFont="1" applyFill="1" applyBorder="1" applyAlignment="1">
      <alignment horizontal="center" vertical="center" shrinkToFit="1"/>
    </xf>
    <xf numFmtId="0" fontId="46" fillId="9" borderId="59" xfId="2" applyFont="1" applyFill="1" applyBorder="1" applyAlignment="1">
      <alignment horizontal="center" vertical="center" shrinkToFit="1"/>
    </xf>
    <xf numFmtId="0" fontId="46" fillId="9" borderId="16" xfId="2" applyFont="1" applyFill="1" applyBorder="1" applyAlignment="1">
      <alignment horizontal="center" vertical="center" shrinkToFit="1"/>
    </xf>
    <xf numFmtId="0" fontId="46" fillId="9" borderId="86" xfId="2" applyFont="1" applyFill="1" applyBorder="1" applyAlignment="1">
      <alignment horizontal="center" vertical="center" shrinkToFit="1"/>
    </xf>
    <xf numFmtId="0" fontId="47" fillId="9" borderId="22" xfId="2" applyFont="1" applyFill="1" applyBorder="1" applyAlignment="1">
      <alignment horizontal="center" vertical="center" wrapText="1" shrinkToFit="1"/>
    </xf>
    <xf numFmtId="0" fontId="47" fillId="9" borderId="24" xfId="2" applyFont="1" applyFill="1" applyBorder="1" applyAlignment="1">
      <alignment horizontal="center" vertical="center" shrinkToFit="1"/>
    </xf>
    <xf numFmtId="0" fontId="0" fillId="0" borderId="2"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0" xfId="0" applyAlignment="1">
      <alignment horizontal="center" vertical="center"/>
    </xf>
    <xf numFmtId="0" fontId="0" fillId="0" borderId="85" xfId="0" applyFont="1" applyFill="1" applyBorder="1" applyAlignment="1">
      <alignment horizontal="center" vertical="center"/>
    </xf>
    <xf numFmtId="193" fontId="37" fillId="2" borderId="182" xfId="2" applyNumberFormat="1" applyFont="1" applyFill="1" applyBorder="1" applyAlignment="1">
      <alignment horizontal="center" vertical="center" shrinkToFit="1"/>
    </xf>
    <xf numFmtId="193" fontId="37" fillId="2" borderId="183" xfId="2" applyNumberFormat="1" applyFont="1" applyFill="1" applyBorder="1" applyAlignment="1">
      <alignment horizontal="center" vertical="center" shrinkToFit="1"/>
    </xf>
    <xf numFmtId="193" fontId="37" fillId="2" borderId="179" xfId="2" applyNumberFormat="1" applyFont="1" applyFill="1" applyBorder="1" applyAlignment="1">
      <alignment horizontal="center" vertical="center" shrinkToFit="1"/>
    </xf>
    <xf numFmtId="193" fontId="37" fillId="2" borderId="180" xfId="2" applyNumberFormat="1" applyFont="1" applyFill="1" applyBorder="1" applyAlignment="1">
      <alignment horizontal="center" vertical="center" shrinkToFit="1"/>
    </xf>
    <xf numFmtId="193" fontId="37" fillId="2" borderId="181" xfId="2" applyNumberFormat="1" applyFont="1" applyFill="1" applyBorder="1" applyAlignment="1">
      <alignment horizontal="center" vertical="center" shrinkToFit="1"/>
    </xf>
    <xf numFmtId="178" fontId="3" fillId="0" borderId="141" xfId="0" applyNumberFormat="1" applyFont="1" applyFill="1" applyBorder="1" applyAlignment="1" applyProtection="1">
      <alignment horizontal="right" vertical="center"/>
      <protection locked="0"/>
    </xf>
    <xf numFmtId="178" fontId="3" fillId="0" borderId="142" xfId="0" applyNumberFormat="1" applyFont="1" applyFill="1" applyBorder="1" applyAlignment="1" applyProtection="1">
      <alignment horizontal="right" vertical="center"/>
      <protection locked="0"/>
    </xf>
    <xf numFmtId="178" fontId="3" fillId="0" borderId="145" xfId="0" applyNumberFormat="1" applyFont="1" applyFill="1" applyBorder="1" applyAlignment="1" applyProtection="1">
      <alignment horizontal="right" vertical="center"/>
      <protection locked="0"/>
    </xf>
    <xf numFmtId="185" fontId="3" fillId="2" borderId="78" xfId="0" applyNumberFormat="1" applyFont="1" applyFill="1" applyBorder="1" applyAlignment="1" applyProtection="1">
      <alignment horizontal="right" vertical="center"/>
    </xf>
    <xf numFmtId="185" fontId="3" fillId="2" borderId="26" xfId="0" applyNumberFormat="1" applyFont="1" applyFill="1" applyBorder="1" applyAlignment="1" applyProtection="1">
      <alignment horizontal="right" vertical="center"/>
    </xf>
    <xf numFmtId="185" fontId="3" fillId="2" borderId="79" xfId="0" applyNumberFormat="1" applyFont="1" applyFill="1" applyBorder="1" applyAlignment="1" applyProtection="1">
      <alignment horizontal="right" vertical="center"/>
    </xf>
    <xf numFmtId="181" fontId="3" fillId="2" borderId="58" xfId="0" applyNumberFormat="1" applyFont="1" applyFill="1" applyBorder="1" applyAlignment="1" applyProtection="1">
      <alignment horizontal="right" vertical="center"/>
    </xf>
    <xf numFmtId="181" fontId="3" fillId="2" borderId="0" xfId="0" applyNumberFormat="1" applyFont="1" applyFill="1" applyBorder="1" applyAlignment="1" applyProtection="1">
      <alignment horizontal="right" vertical="center"/>
    </xf>
    <xf numFmtId="181" fontId="3" fillId="2" borderId="16" xfId="0" applyNumberFormat="1" applyFont="1" applyFill="1" applyBorder="1" applyAlignment="1" applyProtection="1">
      <alignment horizontal="right" vertical="center"/>
    </xf>
    <xf numFmtId="184" fontId="0" fillId="2" borderId="23" xfId="0" applyNumberFormat="1" applyFont="1" applyFill="1" applyBorder="1" applyAlignment="1" applyProtection="1">
      <alignment horizontal="right" vertical="center"/>
    </xf>
    <xf numFmtId="184" fontId="0" fillId="2" borderId="46" xfId="0" applyNumberFormat="1" applyFont="1" applyFill="1" applyBorder="1" applyAlignment="1" applyProtection="1">
      <alignment horizontal="right" vertical="center"/>
    </xf>
    <xf numFmtId="184" fontId="0" fillId="2" borderId="59" xfId="0" applyNumberFormat="1" applyFont="1" applyFill="1" applyBorder="1" applyAlignment="1" applyProtection="1">
      <alignment horizontal="right" vertical="center"/>
    </xf>
    <xf numFmtId="185" fontId="3" fillId="6" borderId="57" xfId="0" applyNumberFormat="1" applyFont="1" applyFill="1" applyBorder="1" applyAlignment="1" applyProtection="1">
      <alignment horizontal="right" vertical="center"/>
    </xf>
    <xf numFmtId="185" fontId="3" fillId="2" borderId="92" xfId="0" applyNumberFormat="1" applyFont="1" applyFill="1" applyBorder="1" applyAlignment="1" applyProtection="1">
      <alignment horizontal="right" vertical="center"/>
    </xf>
    <xf numFmtId="185" fontId="3" fillId="2" borderId="93" xfId="0" applyNumberFormat="1" applyFont="1" applyFill="1" applyBorder="1" applyAlignment="1" applyProtection="1">
      <alignment horizontal="right" vertical="center"/>
    </xf>
    <xf numFmtId="185" fontId="3" fillId="2" borderId="94" xfId="0" applyNumberFormat="1" applyFont="1" applyFill="1" applyBorder="1" applyAlignment="1" applyProtection="1">
      <alignment horizontal="right" vertical="center"/>
    </xf>
    <xf numFmtId="185" fontId="0" fillId="0" borderId="22" xfId="0" applyNumberFormat="1" applyFont="1" applyFill="1" applyBorder="1" applyAlignment="1" applyProtection="1">
      <alignment horizontal="right" vertical="center"/>
      <protection locked="0"/>
    </xf>
    <xf numFmtId="185" fontId="0" fillId="0" borderId="67" xfId="0" applyNumberFormat="1" applyFont="1" applyFill="1" applyBorder="1" applyAlignment="1" applyProtection="1">
      <alignment horizontal="right" vertical="center"/>
      <protection locked="0"/>
    </xf>
    <xf numFmtId="185" fontId="0" fillId="0" borderId="24" xfId="0" applyNumberFormat="1" applyFont="1" applyFill="1" applyBorder="1" applyAlignment="1" applyProtection="1">
      <alignment horizontal="right" vertical="center"/>
      <protection locked="0"/>
    </xf>
    <xf numFmtId="185" fontId="3" fillId="2" borderId="51" xfId="0" applyNumberFormat="1" applyFont="1" applyFill="1" applyBorder="1" applyAlignment="1" applyProtection="1">
      <alignment horizontal="right" vertical="center"/>
    </xf>
    <xf numFmtId="185" fontId="3" fillId="2" borderId="80" xfId="0" applyNumberFormat="1" applyFont="1" applyFill="1" applyBorder="1" applyAlignment="1" applyProtection="1">
      <alignment horizontal="right" vertical="center"/>
    </xf>
    <xf numFmtId="185" fontId="3" fillId="2" borderId="81" xfId="0" applyNumberFormat="1" applyFont="1" applyFill="1" applyBorder="1" applyAlignment="1" applyProtection="1">
      <alignment horizontal="right" vertical="center"/>
    </xf>
    <xf numFmtId="185" fontId="3" fillId="4" borderId="175" xfId="0" applyNumberFormat="1" applyFont="1" applyFill="1" applyBorder="1" applyAlignment="1" applyProtection="1">
      <alignment horizontal="center" vertical="center"/>
    </xf>
    <xf numFmtId="0" fontId="3" fillId="4" borderId="142" xfId="0" applyFont="1" applyFill="1" applyBorder="1" applyAlignment="1" applyProtection="1">
      <alignment horizontal="center" vertical="center"/>
    </xf>
    <xf numFmtId="0" fontId="3" fillId="4" borderId="145" xfId="0" applyFont="1" applyFill="1" applyBorder="1" applyAlignment="1" applyProtection="1">
      <alignment horizontal="center" vertical="center"/>
    </xf>
    <xf numFmtId="185" fontId="3" fillId="4" borderId="141" xfId="0" applyNumberFormat="1" applyFont="1" applyFill="1" applyBorder="1" applyAlignment="1" applyProtection="1">
      <alignment horizontal="center" vertical="center"/>
    </xf>
    <xf numFmtId="185" fontId="3" fillId="2" borderId="93" xfId="0" applyNumberFormat="1" applyFont="1" applyFill="1" applyBorder="1" applyAlignment="1">
      <alignment horizontal="right" vertical="center"/>
    </xf>
    <xf numFmtId="185" fontId="3" fillId="2" borderId="94" xfId="0" applyNumberFormat="1" applyFont="1" applyFill="1" applyBorder="1" applyAlignment="1">
      <alignment horizontal="right" vertical="center"/>
    </xf>
    <xf numFmtId="178" fontId="3" fillId="2" borderId="175" xfId="0" applyNumberFormat="1" applyFont="1" applyFill="1" applyBorder="1" applyAlignment="1">
      <alignment horizontal="right" vertical="center"/>
    </xf>
    <xf numFmtId="178" fontId="3" fillId="2" borderId="142" xfId="0" applyNumberFormat="1" applyFont="1" applyFill="1" applyBorder="1" applyAlignment="1">
      <alignment horizontal="right" vertical="center"/>
    </xf>
    <xf numFmtId="178" fontId="3" fillId="2" borderId="176" xfId="0" applyNumberFormat="1" applyFont="1" applyFill="1" applyBorder="1" applyAlignment="1">
      <alignment horizontal="right" vertical="center"/>
    </xf>
    <xf numFmtId="185" fontId="0" fillId="2" borderId="67" xfId="0" applyNumberFormat="1" applyFill="1" applyBorder="1" applyAlignment="1">
      <alignment horizontal="right" vertical="center"/>
    </xf>
    <xf numFmtId="185" fontId="0" fillId="2" borderId="24" xfId="0" applyNumberFormat="1" applyFill="1" applyBorder="1" applyAlignment="1">
      <alignment horizontal="right" vertical="center"/>
    </xf>
    <xf numFmtId="0" fontId="0" fillId="3" borderId="136" xfId="0" applyFill="1" applyBorder="1" applyAlignment="1">
      <alignment horizontal="center" vertical="center"/>
    </xf>
    <xf numFmtId="0" fontId="0" fillId="3" borderId="151" xfId="0" applyFill="1" applyBorder="1" applyAlignment="1">
      <alignment horizontal="center" vertical="center"/>
    </xf>
    <xf numFmtId="0" fontId="0" fillId="3" borderId="121" xfId="0" applyFill="1" applyBorder="1" applyAlignment="1">
      <alignment horizontal="center" vertical="center"/>
    </xf>
    <xf numFmtId="0" fontId="6" fillId="0" borderId="212" xfId="0" applyFont="1" applyFill="1" applyBorder="1" applyAlignment="1" applyProtection="1">
      <alignment horizontal="center" vertical="center" wrapText="1"/>
    </xf>
    <xf numFmtId="0" fontId="6" fillId="0" borderId="213" xfId="0" applyFont="1" applyFill="1" applyBorder="1" applyAlignment="1" applyProtection="1">
      <alignment horizontal="center" vertical="center" wrapText="1"/>
    </xf>
    <xf numFmtId="0" fontId="3" fillId="5" borderId="204" xfId="0" applyFont="1" applyFill="1" applyBorder="1" applyAlignment="1">
      <alignment horizontal="left" vertical="center" wrapText="1"/>
    </xf>
    <xf numFmtId="0" fontId="3" fillId="5" borderId="22" xfId="0" applyFont="1" applyFill="1" applyBorder="1" applyAlignment="1">
      <alignment horizontal="left" vertical="center" wrapText="1"/>
    </xf>
    <xf numFmtId="0" fontId="3" fillId="5" borderId="205" xfId="0" applyFont="1" applyFill="1" applyBorder="1" applyAlignment="1">
      <alignment horizontal="left" vertical="center" wrapText="1"/>
    </xf>
    <xf numFmtId="0" fontId="3" fillId="5" borderId="206" xfId="0" applyFont="1" applyFill="1" applyBorder="1" applyAlignment="1">
      <alignment horizontal="left" vertical="center" wrapText="1"/>
    </xf>
    <xf numFmtId="0" fontId="3" fillId="5" borderId="207" xfId="0" applyFont="1" applyFill="1" applyBorder="1" applyAlignment="1">
      <alignment horizontal="left" vertical="center" wrapText="1"/>
    </xf>
    <xf numFmtId="0" fontId="7" fillId="5" borderId="184" xfId="0" applyFont="1" applyFill="1" applyBorder="1" applyAlignment="1">
      <alignment horizontal="left" vertical="center"/>
    </xf>
    <xf numFmtId="0" fontId="7" fillId="5" borderId="185" xfId="0" applyFont="1" applyFill="1" applyBorder="1" applyAlignment="1">
      <alignment horizontal="left" vertical="center"/>
    </xf>
    <xf numFmtId="0" fontId="7" fillId="5" borderId="186" xfId="0" applyFont="1" applyFill="1" applyBorder="1" applyAlignment="1">
      <alignment horizontal="left" vertical="center"/>
    </xf>
    <xf numFmtId="0" fontId="7" fillId="5" borderId="187" xfId="0" applyFont="1" applyFill="1" applyBorder="1" applyAlignment="1">
      <alignment horizontal="left" vertical="center"/>
    </xf>
    <xf numFmtId="0" fontId="7" fillId="5" borderId="188" xfId="0" applyFont="1" applyFill="1" applyBorder="1" applyAlignment="1">
      <alignment horizontal="left" vertical="center"/>
    </xf>
    <xf numFmtId="0" fontId="7" fillId="5" borderId="189" xfId="0" applyFont="1" applyFill="1" applyBorder="1" applyAlignment="1">
      <alignment horizontal="left" vertical="center"/>
    </xf>
    <xf numFmtId="0" fontId="7" fillId="5" borderId="98" xfId="0" applyFont="1" applyFill="1" applyBorder="1" applyAlignment="1">
      <alignment horizontal="left" vertical="center"/>
    </xf>
    <xf numFmtId="0" fontId="7" fillId="5" borderId="16" xfId="0" applyFont="1" applyFill="1" applyBorder="1" applyAlignment="1">
      <alignment horizontal="left" vertical="center"/>
    </xf>
    <xf numFmtId="0" fontId="7" fillId="5" borderId="105" xfId="0" applyFont="1" applyFill="1" applyBorder="1" applyAlignment="1">
      <alignment horizontal="left" vertical="center"/>
    </xf>
    <xf numFmtId="0" fontId="21" fillId="5" borderId="190" xfId="0" applyFont="1" applyFill="1" applyBorder="1" applyAlignment="1">
      <alignment horizontal="center" vertical="center"/>
    </xf>
    <xf numFmtId="0" fontId="21" fillId="5" borderId="8" xfId="0" applyFont="1" applyFill="1" applyBorder="1" applyAlignment="1">
      <alignment horizontal="center" vertical="center"/>
    </xf>
    <xf numFmtId="0" fontId="21" fillId="5" borderId="2" xfId="0" applyFont="1" applyFill="1" applyBorder="1" applyAlignment="1">
      <alignment horizontal="center" vertical="center"/>
    </xf>
    <xf numFmtId="0" fontId="21" fillId="5" borderId="7" xfId="0" applyFont="1" applyFill="1" applyBorder="1" applyAlignment="1">
      <alignment horizontal="center" vertical="center"/>
    </xf>
    <xf numFmtId="0" fontId="21" fillId="5" borderId="191" xfId="0" applyFont="1" applyFill="1" applyBorder="1" applyAlignment="1">
      <alignment horizontal="center" vertical="center"/>
    </xf>
    <xf numFmtId="195" fontId="7" fillId="2" borderId="192" xfId="0" applyNumberFormat="1" applyFont="1" applyFill="1" applyBorder="1" applyAlignment="1">
      <alignment horizontal="center" vertical="center" wrapText="1"/>
    </xf>
    <xf numFmtId="195" fontId="7" fillId="2" borderId="193" xfId="0" applyNumberFormat="1" applyFont="1" applyFill="1" applyBorder="1" applyAlignment="1">
      <alignment horizontal="center" vertical="center" wrapText="1"/>
    </xf>
    <xf numFmtId="195" fontId="7" fillId="2" borderId="194" xfId="0" applyNumberFormat="1" applyFont="1" applyFill="1" applyBorder="1" applyAlignment="1">
      <alignment horizontal="center" vertical="center" wrapText="1"/>
    </xf>
    <xf numFmtId="195" fontId="7" fillId="2" borderId="195" xfId="0" applyNumberFormat="1" applyFont="1" applyFill="1" applyBorder="1" applyAlignment="1">
      <alignment horizontal="center" vertical="center" wrapText="1"/>
    </xf>
    <xf numFmtId="195" fontId="7" fillId="2" borderId="193" xfId="0" applyNumberFormat="1" applyFont="1" applyFill="1" applyBorder="1" applyAlignment="1">
      <alignment horizontal="center" vertical="center"/>
    </xf>
    <xf numFmtId="195" fontId="7" fillId="2" borderId="196" xfId="0" applyNumberFormat="1" applyFont="1" applyFill="1" applyBorder="1" applyAlignment="1">
      <alignment horizontal="center" vertical="center"/>
    </xf>
    <xf numFmtId="195" fontId="0" fillId="5" borderId="192" xfId="0" applyNumberFormat="1" applyFill="1" applyBorder="1" applyAlignment="1">
      <alignment horizontal="center" vertical="center" wrapText="1"/>
    </xf>
    <xf numFmtId="195" fontId="0" fillId="5" borderId="193" xfId="0" applyNumberFormat="1" applyFill="1" applyBorder="1" applyAlignment="1">
      <alignment horizontal="center" vertical="center" wrapText="1"/>
    </xf>
    <xf numFmtId="195" fontId="0" fillId="5" borderId="197" xfId="0" applyNumberFormat="1" applyFill="1" applyBorder="1" applyAlignment="1">
      <alignment horizontal="center" vertical="center" wrapText="1"/>
    </xf>
    <xf numFmtId="0" fontId="3" fillId="0" borderId="22"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24" xfId="0" applyFont="1" applyBorder="1" applyAlignment="1">
      <alignment horizontal="center" vertical="center" wrapText="1"/>
    </xf>
    <xf numFmtId="0" fontId="0" fillId="0" borderId="1" xfId="0" applyBorder="1" applyAlignment="1">
      <alignment horizontal="center" vertical="center"/>
    </xf>
    <xf numFmtId="185" fontId="0" fillId="0" borderId="1" xfId="0" applyNumberFormat="1" applyBorder="1" applyAlignment="1">
      <alignment horizontal="right" vertical="center"/>
    </xf>
    <xf numFmtId="2" fontId="0" fillId="0" borderId="1" xfId="0" applyNumberFormat="1" applyBorder="1" applyAlignment="1">
      <alignment horizontal="right" vertical="center"/>
    </xf>
    <xf numFmtId="0" fontId="3" fillId="0" borderId="22" xfId="0" applyFont="1" applyBorder="1" applyAlignment="1">
      <alignment horizontal="center" vertical="center"/>
    </xf>
    <xf numFmtId="0" fontId="3" fillId="0" borderId="67" xfId="0" applyFont="1" applyBorder="1" applyAlignment="1">
      <alignment horizontal="center" vertical="center"/>
    </xf>
    <xf numFmtId="0" fontId="3" fillId="0" borderId="24" xfId="0" applyFont="1" applyBorder="1" applyAlignment="1">
      <alignment horizontal="center" vertical="center"/>
    </xf>
    <xf numFmtId="0" fontId="34" fillId="0" borderId="2" xfId="3" applyFont="1" applyBorder="1" applyAlignment="1">
      <alignment horizontal="center" vertical="top"/>
    </xf>
    <xf numFmtId="0" fontId="34" fillId="0" borderId="8" xfId="3" applyFont="1" applyBorder="1" applyAlignment="1">
      <alignment horizontal="center" vertical="top"/>
    </xf>
    <xf numFmtId="0" fontId="41" fillId="0" borderId="2" xfId="3" applyFont="1" applyBorder="1" applyAlignment="1">
      <alignment horizontal="center" vertical="top"/>
    </xf>
    <xf numFmtId="0" fontId="41" fillId="0" borderId="8" xfId="3" applyFont="1" applyBorder="1" applyAlignment="1">
      <alignment horizontal="center" vertical="top"/>
    </xf>
    <xf numFmtId="177" fontId="3" fillId="2" borderId="22" xfId="0" applyNumberFormat="1" applyFont="1" applyFill="1" applyBorder="1" applyAlignment="1">
      <alignment horizontal="right" vertical="center"/>
    </xf>
    <xf numFmtId="177" fontId="3" fillId="2" borderId="67" xfId="0" applyNumberFormat="1" applyFont="1" applyFill="1" applyBorder="1" applyAlignment="1">
      <alignment horizontal="right" vertical="center"/>
    </xf>
    <xf numFmtId="177" fontId="3" fillId="2" borderId="24" xfId="0" applyNumberFormat="1" applyFont="1" applyFill="1" applyBorder="1" applyAlignment="1">
      <alignment horizontal="right" vertical="center"/>
    </xf>
    <xf numFmtId="178" fontId="3" fillId="2" borderId="22" xfId="0" applyNumberFormat="1" applyFont="1" applyFill="1" applyBorder="1" applyAlignment="1" applyProtection="1">
      <alignment horizontal="right" vertical="center"/>
    </xf>
    <xf numFmtId="178" fontId="3" fillId="2" borderId="67" xfId="0" applyNumberFormat="1" applyFont="1" applyFill="1" applyBorder="1" applyAlignment="1" applyProtection="1">
      <alignment horizontal="right" vertical="center"/>
    </xf>
    <xf numFmtId="178" fontId="3" fillId="2" borderId="24" xfId="0" applyNumberFormat="1" applyFont="1" applyFill="1" applyBorder="1" applyAlignment="1" applyProtection="1">
      <alignment horizontal="right" vertical="center"/>
    </xf>
    <xf numFmtId="177" fontId="3" fillId="2" borderId="23" xfId="0" applyNumberFormat="1" applyFont="1" applyFill="1" applyBorder="1" applyAlignment="1">
      <alignment horizontal="right" vertical="center"/>
    </xf>
    <xf numFmtId="177" fontId="3" fillId="2" borderId="46" xfId="0" applyNumberFormat="1" applyFont="1" applyFill="1" applyBorder="1" applyAlignment="1">
      <alignment horizontal="right" vertical="center"/>
    </xf>
    <xf numFmtId="177" fontId="3" fillId="2" borderId="59" xfId="0" applyNumberFormat="1" applyFont="1" applyFill="1" applyBorder="1" applyAlignment="1">
      <alignment horizontal="right" vertical="center"/>
    </xf>
    <xf numFmtId="0" fontId="3" fillId="0" borderId="1" xfId="0" applyFont="1" applyBorder="1" applyAlignment="1" applyProtection="1">
      <alignment horizontal="center" vertical="center"/>
    </xf>
    <xf numFmtId="0" fontId="3" fillId="0" borderId="123" xfId="0" applyFont="1" applyBorder="1" applyAlignment="1" applyProtection="1">
      <alignment horizontal="center" vertical="center"/>
    </xf>
    <xf numFmtId="183" fontId="3" fillId="2" borderId="82" xfId="0" applyNumberFormat="1" applyFont="1" applyFill="1" applyBorder="1" applyAlignment="1" applyProtection="1">
      <alignment horizontal="center" vertical="center" shrinkToFit="1"/>
    </xf>
    <xf numFmtId="183" fontId="3" fillId="2" borderId="83" xfId="0" applyNumberFormat="1" applyFont="1" applyFill="1" applyBorder="1" applyAlignment="1" applyProtection="1">
      <alignment horizontal="center" vertical="center" shrinkToFit="1"/>
    </xf>
    <xf numFmtId="183" fontId="3" fillId="2" borderId="127" xfId="0" applyNumberFormat="1" applyFont="1" applyFill="1" applyBorder="1" applyAlignment="1" applyProtection="1">
      <alignment horizontal="center" vertical="center" shrinkToFit="1"/>
    </xf>
    <xf numFmtId="183" fontId="3" fillId="2" borderId="82" xfId="0" applyNumberFormat="1" applyFont="1" applyFill="1" applyBorder="1" applyAlignment="1" applyProtection="1">
      <alignment horizontal="right" vertical="center" shrinkToFit="1"/>
    </xf>
    <xf numFmtId="183" fontId="3" fillId="2" borderId="83" xfId="0" applyNumberFormat="1" applyFont="1" applyFill="1" applyBorder="1" applyAlignment="1" applyProtection="1">
      <alignment horizontal="right" vertical="center" shrinkToFit="1"/>
    </xf>
    <xf numFmtId="183" fontId="3" fillId="2" borderId="127" xfId="0" applyNumberFormat="1" applyFont="1" applyFill="1" applyBorder="1" applyAlignment="1" applyProtection="1">
      <alignment horizontal="right" vertical="center" shrinkToFit="1"/>
    </xf>
    <xf numFmtId="183" fontId="3" fillId="2" borderId="82" xfId="0" applyNumberFormat="1" applyFont="1" applyFill="1" applyBorder="1" applyAlignment="1" applyProtection="1">
      <alignment horizontal="right" vertical="center"/>
    </xf>
    <xf numFmtId="183" fontId="3" fillId="2" borderId="83" xfId="0" applyNumberFormat="1" applyFont="1" applyFill="1" applyBorder="1" applyAlignment="1" applyProtection="1">
      <alignment horizontal="right" vertical="center"/>
    </xf>
    <xf numFmtId="183" fontId="3" fillId="2" borderId="127" xfId="0" applyNumberFormat="1" applyFont="1" applyFill="1" applyBorder="1" applyAlignment="1" applyProtection="1">
      <alignment horizontal="right" vertical="center"/>
    </xf>
    <xf numFmtId="0" fontId="3" fillId="5" borderId="198" xfId="0" applyFont="1" applyFill="1" applyBorder="1" applyAlignment="1">
      <alignment horizontal="left" vertical="center" wrapText="1"/>
    </xf>
    <xf numFmtId="0" fontId="3" fillId="5" borderId="199" xfId="0" applyFont="1" applyFill="1" applyBorder="1" applyAlignment="1">
      <alignment horizontal="left" vertical="center"/>
    </xf>
    <xf numFmtId="0" fontId="3" fillId="5" borderId="200" xfId="0" applyFont="1" applyFill="1" applyBorder="1" applyAlignment="1">
      <alignment horizontal="left" vertical="center"/>
    </xf>
    <xf numFmtId="0" fontId="3" fillId="5" borderId="60" xfId="0" applyFont="1" applyFill="1" applyBorder="1" applyAlignment="1">
      <alignment horizontal="left" vertical="center" wrapText="1"/>
    </xf>
    <xf numFmtId="0" fontId="3" fillId="5" borderId="1" xfId="0" applyFont="1" applyFill="1" applyBorder="1" applyAlignment="1">
      <alignment horizontal="left" vertical="center" wrapText="1"/>
    </xf>
    <xf numFmtId="0" fontId="3" fillId="5" borderId="203" xfId="0" applyFont="1" applyFill="1" applyBorder="1" applyAlignment="1">
      <alignment horizontal="left" vertical="center" wrapText="1"/>
    </xf>
    <xf numFmtId="183" fontId="3" fillId="2" borderId="41" xfId="0" applyNumberFormat="1" applyFont="1" applyFill="1" applyBorder="1" applyAlignment="1" applyProtection="1">
      <alignment horizontal="right" vertical="center"/>
    </xf>
    <xf numFmtId="183" fontId="3" fillId="2" borderId="91" xfId="0" applyNumberFormat="1" applyFont="1" applyFill="1" applyBorder="1" applyAlignment="1" applyProtection="1">
      <alignment horizontal="right" vertical="center"/>
    </xf>
    <xf numFmtId="183" fontId="0" fillId="4" borderId="22" xfId="0" applyNumberFormat="1" applyFont="1" applyFill="1" applyBorder="1" applyAlignment="1" applyProtection="1">
      <alignment horizontal="center" vertical="center"/>
    </xf>
    <xf numFmtId="183" fontId="0" fillId="4" borderId="67" xfId="0" applyNumberFormat="1" applyFont="1" applyFill="1" applyBorder="1" applyAlignment="1" applyProtection="1">
      <alignment horizontal="center" vertical="center"/>
    </xf>
    <xf numFmtId="183" fontId="3" fillId="4" borderId="100" xfId="0" applyNumberFormat="1" applyFont="1" applyFill="1" applyBorder="1" applyAlignment="1" applyProtection="1">
      <alignment horizontal="center" vertical="center"/>
    </xf>
    <xf numFmtId="183" fontId="3" fillId="4" borderId="101" xfId="0" applyNumberFormat="1" applyFont="1" applyFill="1" applyBorder="1" applyAlignment="1" applyProtection="1">
      <alignment horizontal="center" vertical="center"/>
    </xf>
    <xf numFmtId="183" fontId="3" fillId="4" borderId="234" xfId="0" applyNumberFormat="1" applyFont="1" applyFill="1" applyBorder="1" applyAlignment="1" applyProtection="1">
      <alignment horizontal="center" vertical="center"/>
    </xf>
    <xf numFmtId="183" fontId="3" fillId="2" borderId="128" xfId="0" applyNumberFormat="1" applyFont="1" applyFill="1" applyBorder="1" applyAlignment="1" applyProtection="1">
      <alignment horizontal="right" vertical="center"/>
    </xf>
    <xf numFmtId="183" fontId="3" fillId="4" borderId="102" xfId="0" applyNumberFormat="1" applyFont="1" applyFill="1" applyBorder="1" applyAlignment="1" applyProtection="1">
      <alignment horizontal="center" vertical="center"/>
    </xf>
    <xf numFmtId="187" fontId="3" fillId="4" borderId="41" xfId="0" applyNumberFormat="1" applyFont="1" applyFill="1" applyBorder="1" applyAlignment="1" applyProtection="1">
      <alignment horizontal="center" vertical="center"/>
    </xf>
    <xf numFmtId="187" fontId="3" fillId="4" borderId="91" xfId="0" applyNumberFormat="1" applyFont="1" applyFill="1" applyBorder="1" applyAlignment="1" applyProtection="1">
      <alignment horizontal="center" vertical="center"/>
    </xf>
    <xf numFmtId="183" fontId="3" fillId="8" borderId="82" xfId="0" applyNumberFormat="1" applyFont="1" applyFill="1" applyBorder="1" applyAlignment="1" applyProtection="1">
      <alignment horizontal="right" vertical="center"/>
    </xf>
    <xf numFmtId="183" fontId="3" fillId="8" borderId="83" xfId="0" applyNumberFormat="1" applyFont="1" applyFill="1" applyBorder="1" applyAlignment="1" applyProtection="1">
      <alignment horizontal="right" vertical="center"/>
    </xf>
    <xf numFmtId="183" fontId="3" fillId="8" borderId="127" xfId="0" applyNumberFormat="1" applyFont="1" applyFill="1" applyBorder="1" applyAlignment="1" applyProtection="1">
      <alignment horizontal="right" vertical="center"/>
    </xf>
    <xf numFmtId="183" fontId="3" fillId="8" borderId="84" xfId="0" applyNumberFormat="1" applyFont="1" applyFill="1" applyBorder="1" applyAlignment="1" applyProtection="1">
      <alignment horizontal="right" vertical="center"/>
    </xf>
    <xf numFmtId="0" fontId="12" fillId="0" borderId="22" xfId="0" applyFont="1" applyFill="1" applyBorder="1" applyAlignment="1">
      <alignment horizontal="center" vertical="center" wrapText="1"/>
    </xf>
    <xf numFmtId="0" fontId="12" fillId="0" borderId="67" xfId="0" applyFont="1" applyFill="1" applyBorder="1" applyAlignment="1">
      <alignment horizontal="center" vertical="center" wrapText="1"/>
    </xf>
    <xf numFmtId="0" fontId="12" fillId="0" borderId="24" xfId="0" applyFont="1" applyFill="1" applyBorder="1" applyAlignment="1">
      <alignment horizontal="center" vertical="center" wrapText="1"/>
    </xf>
    <xf numFmtId="177" fontId="3" fillId="2" borderId="23" xfId="0" applyNumberFormat="1" applyFont="1" applyFill="1" applyBorder="1" applyAlignment="1" applyProtection="1">
      <alignment horizontal="right" vertical="center"/>
    </xf>
    <xf numFmtId="177" fontId="3" fillId="2" borderId="46" xfId="0" applyNumberFormat="1" applyFont="1" applyFill="1" applyBorder="1" applyAlignment="1" applyProtection="1">
      <alignment horizontal="right" vertical="center"/>
    </xf>
    <xf numFmtId="177" fontId="3" fillId="2" borderId="59" xfId="0" applyNumberFormat="1" applyFont="1" applyFill="1" applyBorder="1" applyAlignment="1" applyProtection="1">
      <alignment horizontal="right" vertical="center"/>
    </xf>
    <xf numFmtId="182" fontId="3" fillId="0" borderId="22" xfId="0" applyNumberFormat="1" applyFont="1" applyFill="1" applyBorder="1" applyAlignment="1" applyProtection="1">
      <alignment horizontal="right" vertical="center"/>
      <protection locked="0"/>
    </xf>
    <xf numFmtId="182" fontId="3" fillId="0" borderId="67" xfId="0" applyNumberFormat="1" applyFont="1" applyFill="1" applyBorder="1" applyAlignment="1" applyProtection="1">
      <alignment horizontal="right" vertical="center"/>
      <protection locked="0"/>
    </xf>
    <xf numFmtId="182" fontId="3" fillId="0" borderId="24" xfId="0" applyNumberFormat="1" applyFont="1" applyFill="1" applyBorder="1" applyAlignment="1" applyProtection="1">
      <alignment horizontal="right" vertical="center"/>
      <protection locked="0"/>
    </xf>
    <xf numFmtId="0" fontId="12" fillId="0" borderId="97" xfId="0" applyFont="1" applyFill="1" applyBorder="1" applyAlignment="1" applyProtection="1">
      <alignment horizontal="center" vertical="center" wrapText="1"/>
    </xf>
    <xf numFmtId="0" fontId="12" fillId="0" borderId="85" xfId="0" applyFont="1" applyFill="1" applyBorder="1" applyAlignment="1" applyProtection="1">
      <alignment horizontal="center" vertical="center" wrapText="1"/>
    </xf>
    <xf numFmtId="0" fontId="12" fillId="0" borderId="98" xfId="0" applyFont="1" applyFill="1" applyBorder="1" applyAlignment="1" applyProtection="1">
      <alignment horizontal="center" vertical="center" wrapText="1"/>
    </xf>
    <xf numFmtId="0" fontId="12" fillId="0" borderId="86" xfId="0" applyFont="1" applyFill="1" applyBorder="1" applyAlignment="1" applyProtection="1">
      <alignment horizontal="center" vertical="center" wrapText="1"/>
    </xf>
    <xf numFmtId="0" fontId="0" fillId="0" borderId="97" xfId="0" applyBorder="1" applyAlignment="1">
      <alignment horizontal="left" vertical="center" wrapText="1"/>
    </xf>
    <xf numFmtId="0" fontId="0" fillId="0" borderId="58" xfId="0" applyBorder="1" applyAlignment="1">
      <alignment horizontal="left" vertical="center" wrapText="1"/>
    </xf>
    <xf numFmtId="0" fontId="0" fillId="0" borderId="85" xfId="0" applyBorder="1" applyAlignment="1">
      <alignment horizontal="left" vertical="center" wrapText="1"/>
    </xf>
    <xf numFmtId="177" fontId="0" fillId="2" borderId="87" xfId="0" applyNumberFormat="1" applyFont="1" applyFill="1" applyBorder="1" applyAlignment="1" applyProtection="1">
      <alignment horizontal="right" vertical="center"/>
    </xf>
    <xf numFmtId="177" fontId="0" fillId="2" borderId="88" xfId="0" applyNumberFormat="1" applyFont="1" applyFill="1" applyBorder="1" applyAlignment="1" applyProtection="1">
      <alignment horizontal="right" vertical="center"/>
    </xf>
    <xf numFmtId="177" fontId="0" fillId="2" borderId="89" xfId="0" applyNumberFormat="1" applyFont="1" applyFill="1" applyBorder="1" applyAlignment="1" applyProtection="1">
      <alignment horizontal="right" vertical="center"/>
    </xf>
    <xf numFmtId="183" fontId="3" fillId="4" borderId="22" xfId="0" applyNumberFormat="1" applyFont="1" applyFill="1" applyBorder="1" applyAlignment="1" applyProtection="1">
      <alignment horizontal="center" vertical="center"/>
    </xf>
    <xf numFmtId="183" fontId="3" fillId="4" borderId="67" xfId="0" applyNumberFormat="1" applyFont="1" applyFill="1" applyBorder="1" applyAlignment="1" applyProtection="1">
      <alignment horizontal="center" vertical="center"/>
    </xf>
    <xf numFmtId="183" fontId="3" fillId="4" borderId="24" xfId="0" applyNumberFormat="1" applyFont="1" applyFill="1" applyBorder="1" applyAlignment="1" applyProtection="1">
      <alignment horizontal="center" vertical="center"/>
    </xf>
    <xf numFmtId="188" fontId="3" fillId="8" borderId="67" xfId="1" applyNumberFormat="1" applyFont="1" applyFill="1" applyBorder="1" applyAlignment="1" applyProtection="1">
      <alignment horizontal="center" vertical="center"/>
    </xf>
    <xf numFmtId="188" fontId="3" fillId="8" borderId="24" xfId="1" applyNumberFormat="1" applyFont="1" applyFill="1" applyBorder="1" applyAlignment="1" applyProtection="1">
      <alignment horizontal="center" vertical="center"/>
    </xf>
    <xf numFmtId="183" fontId="0" fillId="4" borderId="24" xfId="0" applyNumberFormat="1" applyFont="1" applyFill="1" applyBorder="1" applyAlignment="1" applyProtection="1">
      <alignment horizontal="center" vertical="center"/>
    </xf>
    <xf numFmtId="183" fontId="3" fillId="8" borderId="22" xfId="0" applyNumberFormat="1" applyFont="1" applyFill="1" applyBorder="1" applyAlignment="1" applyProtection="1">
      <alignment horizontal="center" vertical="center"/>
    </xf>
    <xf numFmtId="183" fontId="3" fillId="8" borderId="67" xfId="0" applyNumberFormat="1" applyFont="1" applyFill="1" applyBorder="1" applyAlignment="1" applyProtection="1">
      <alignment horizontal="center" vertical="center"/>
    </xf>
    <xf numFmtId="183" fontId="3" fillId="8" borderId="130" xfId="0" applyNumberFormat="1" applyFont="1" applyFill="1" applyBorder="1" applyAlignment="1" applyProtection="1">
      <alignment horizontal="center" vertical="center"/>
    </xf>
    <xf numFmtId="183" fontId="3" fillId="4" borderId="130" xfId="0" applyNumberFormat="1" applyFont="1" applyFill="1" applyBorder="1" applyAlignment="1" applyProtection="1">
      <alignment horizontal="center" vertical="center"/>
    </xf>
    <xf numFmtId="181" fontId="3" fillId="8" borderId="22" xfId="0" applyNumberFormat="1" applyFont="1" applyFill="1" applyBorder="1" applyAlignment="1" applyProtection="1">
      <alignment horizontal="right" vertical="center"/>
    </xf>
    <xf numFmtId="181" fontId="3" fillId="8" borderId="67" xfId="0" applyNumberFormat="1" applyFont="1" applyFill="1" applyBorder="1" applyAlignment="1" applyProtection="1">
      <alignment horizontal="right" vertical="center"/>
    </xf>
    <xf numFmtId="181" fontId="3" fillId="8" borderId="24" xfId="0" applyNumberFormat="1" applyFont="1" applyFill="1" applyBorder="1" applyAlignment="1" applyProtection="1">
      <alignment horizontal="right" vertical="center"/>
    </xf>
    <xf numFmtId="183" fontId="3" fillId="4" borderId="41" xfId="0" applyNumberFormat="1" applyFont="1" applyFill="1" applyBorder="1" applyAlignment="1" applyProtection="1">
      <alignment horizontal="right" vertical="center"/>
    </xf>
    <xf numFmtId="183" fontId="3" fillId="4" borderId="91" xfId="0" applyNumberFormat="1" applyFont="1" applyFill="1" applyBorder="1" applyAlignment="1" applyProtection="1">
      <alignment horizontal="right" vertical="center"/>
    </xf>
    <xf numFmtId="183" fontId="3" fillId="2" borderId="85" xfId="0" applyNumberFormat="1" applyFont="1" applyFill="1" applyBorder="1" applyAlignment="1" applyProtection="1">
      <alignment horizontal="right" vertical="center"/>
    </xf>
    <xf numFmtId="183" fontId="3" fillId="2" borderId="57" xfId="0" applyNumberFormat="1" applyFont="1" applyFill="1" applyBorder="1" applyAlignment="1" applyProtection="1">
      <alignment horizontal="right" vertical="center"/>
    </xf>
    <xf numFmtId="183" fontId="3" fillId="2" borderId="86" xfId="0" applyNumberFormat="1" applyFont="1" applyFill="1" applyBorder="1" applyAlignment="1" applyProtection="1">
      <alignment horizontal="right" vertical="center"/>
    </xf>
    <xf numFmtId="183" fontId="0" fillId="4" borderId="173" xfId="0" applyNumberFormat="1" applyFont="1" applyFill="1" applyBorder="1" applyAlignment="1" applyProtection="1">
      <alignment horizontal="center" vertical="center"/>
    </xf>
    <xf numFmtId="185" fontId="3" fillId="2" borderId="78" xfId="0" applyNumberFormat="1" applyFont="1" applyFill="1" applyBorder="1" applyAlignment="1" applyProtection="1">
      <alignment horizontal="center" vertical="center"/>
    </xf>
    <xf numFmtId="185" fontId="3" fillId="2" borderId="26" xfId="0" applyNumberFormat="1" applyFont="1" applyFill="1" applyBorder="1" applyAlignment="1" applyProtection="1">
      <alignment horizontal="center" vertical="center"/>
    </xf>
    <xf numFmtId="185" fontId="3" fillId="2" borderId="79" xfId="0" applyNumberFormat="1" applyFont="1" applyFill="1" applyBorder="1" applyAlignment="1" applyProtection="1">
      <alignment horizontal="center" vertical="center"/>
    </xf>
    <xf numFmtId="183" fontId="3" fillId="8" borderId="211" xfId="0" applyNumberFormat="1" applyFont="1" applyFill="1" applyBorder="1" applyAlignment="1" applyProtection="1">
      <alignment horizontal="right" vertical="center"/>
    </xf>
    <xf numFmtId="0" fontId="3" fillId="4" borderId="41" xfId="0" applyNumberFormat="1" applyFont="1" applyFill="1" applyBorder="1" applyAlignment="1" applyProtection="1">
      <alignment horizontal="center" vertical="center"/>
    </xf>
    <xf numFmtId="187" fontId="3" fillId="4" borderId="128" xfId="0" applyNumberFormat="1" applyFont="1" applyFill="1" applyBorder="1" applyAlignment="1" applyProtection="1">
      <alignment horizontal="center" vertical="center"/>
    </xf>
    <xf numFmtId="185" fontId="3" fillId="2" borderId="172" xfId="0" applyNumberFormat="1" applyFont="1" applyFill="1" applyBorder="1" applyAlignment="1" applyProtection="1">
      <alignment horizontal="right" vertical="center"/>
    </xf>
    <xf numFmtId="185" fontId="3" fillId="2" borderId="90" xfId="0" applyNumberFormat="1" applyFont="1" applyFill="1" applyBorder="1" applyAlignment="1" applyProtection="1">
      <alignment horizontal="right" vertical="center"/>
    </xf>
    <xf numFmtId="182" fontId="3" fillId="8" borderId="83" xfId="0" applyNumberFormat="1" applyFont="1" applyFill="1" applyBorder="1" applyAlignment="1">
      <alignment horizontal="right" vertical="center"/>
    </xf>
    <xf numFmtId="182" fontId="3" fillId="8" borderId="84" xfId="0" applyNumberFormat="1" applyFont="1" applyFill="1" applyBorder="1" applyAlignment="1">
      <alignment horizontal="right" vertical="center"/>
    </xf>
    <xf numFmtId="182" fontId="3" fillId="8" borderId="82" xfId="0" applyNumberFormat="1" applyFont="1" applyFill="1" applyBorder="1" applyAlignment="1" applyProtection="1">
      <alignment horizontal="right" vertical="center"/>
    </xf>
    <xf numFmtId="182" fontId="3" fillId="8" borderId="83" xfId="0" applyNumberFormat="1" applyFont="1" applyFill="1" applyBorder="1" applyAlignment="1" applyProtection="1">
      <alignment horizontal="right" vertical="center"/>
    </xf>
    <xf numFmtId="182" fontId="3" fillId="8" borderId="84" xfId="0" applyNumberFormat="1" applyFont="1" applyFill="1" applyBorder="1" applyAlignment="1" applyProtection="1">
      <alignment horizontal="right" vertical="center"/>
    </xf>
    <xf numFmtId="0" fontId="3" fillId="0" borderId="24"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183" fontId="3" fillId="2" borderId="84" xfId="0" applyNumberFormat="1" applyFont="1" applyFill="1" applyBorder="1" applyAlignment="1" applyProtection="1">
      <alignment horizontal="right" vertical="center" shrinkToFit="1"/>
    </xf>
    <xf numFmtId="0" fontId="3" fillId="0" borderId="22" xfId="0" applyFont="1" applyBorder="1" applyAlignment="1" applyProtection="1">
      <alignment horizontal="center" vertical="center"/>
    </xf>
    <xf numFmtId="0" fontId="3" fillId="0" borderId="67" xfId="0" applyFont="1" applyBorder="1" applyAlignment="1" applyProtection="1">
      <alignment horizontal="center" vertical="center"/>
    </xf>
    <xf numFmtId="0" fontId="3" fillId="0" borderId="24" xfId="0" applyFont="1" applyBorder="1" applyAlignment="1" applyProtection="1">
      <alignment horizontal="center" vertical="center"/>
    </xf>
    <xf numFmtId="183" fontId="3" fillId="2" borderId="84" xfId="0" applyNumberFormat="1" applyFont="1" applyFill="1" applyBorder="1" applyAlignment="1" applyProtection="1">
      <alignment horizontal="center" vertical="center" shrinkToFit="1"/>
    </xf>
    <xf numFmtId="0" fontId="11" fillId="0" borderId="23" xfId="0" applyFont="1" applyBorder="1" applyAlignment="1" applyProtection="1">
      <alignment horizontal="center" vertical="center" wrapText="1"/>
    </xf>
    <xf numFmtId="0" fontId="11" fillId="0" borderId="24" xfId="0" applyFont="1" applyBorder="1" applyAlignment="1" applyProtection="1">
      <alignment horizontal="center" vertical="center" wrapText="1"/>
    </xf>
    <xf numFmtId="0" fontId="11" fillId="0" borderId="22" xfId="0" applyFont="1" applyBorder="1" applyAlignment="1" applyProtection="1">
      <alignment horizontal="center" vertical="center" wrapText="1"/>
    </xf>
    <xf numFmtId="183" fontId="3" fillId="4" borderId="41" xfId="0" applyNumberFormat="1" applyFont="1" applyFill="1" applyBorder="1" applyAlignment="1" applyProtection="1">
      <alignment horizontal="right" vertical="center" shrinkToFit="1"/>
    </xf>
    <xf numFmtId="183" fontId="3" fillId="4" borderId="91" xfId="0" applyNumberFormat="1" applyFont="1" applyFill="1" applyBorder="1" applyAlignment="1" applyProtection="1">
      <alignment horizontal="right" vertical="center" shrinkToFit="1"/>
    </xf>
    <xf numFmtId="0" fontId="7" fillId="0" borderId="56" xfId="0" applyFont="1" applyBorder="1" applyAlignment="1" applyProtection="1">
      <alignment horizontal="center" vertical="center"/>
    </xf>
    <xf numFmtId="0" fontId="4" fillId="0" borderId="1" xfId="0" applyFont="1" applyBorder="1" applyAlignment="1" applyProtection="1">
      <alignment horizontal="center" vertical="top" wrapText="1"/>
    </xf>
    <xf numFmtId="0" fontId="4" fillId="0" borderId="1" xfId="0" applyFont="1" applyBorder="1" applyAlignment="1" applyProtection="1">
      <alignment horizontal="center" vertical="top"/>
    </xf>
    <xf numFmtId="0" fontId="7" fillId="0" borderId="56" xfId="0" applyFont="1" applyBorder="1" applyAlignment="1" applyProtection="1">
      <alignment horizontal="center" vertical="center" shrinkToFit="1"/>
      <protection locked="0"/>
    </xf>
    <xf numFmtId="0" fontId="6" fillId="0" borderId="67" xfId="0" applyFont="1" applyBorder="1" applyAlignment="1" applyProtection="1">
      <alignment horizontal="center" vertical="center"/>
    </xf>
    <xf numFmtId="0" fontId="9" fillId="0" borderId="67" xfId="0" applyFont="1" applyBorder="1" applyAlignment="1" applyProtection="1">
      <alignment horizontal="center" vertical="center"/>
    </xf>
    <xf numFmtId="0" fontId="9" fillId="0" borderId="24" xfId="0" applyFont="1" applyBorder="1" applyAlignment="1" applyProtection="1">
      <alignment horizontal="center" vertical="center"/>
    </xf>
    <xf numFmtId="0" fontId="6" fillId="0" borderId="22" xfId="0" applyFont="1" applyBorder="1" applyAlignment="1">
      <alignment horizontal="center" vertical="center" textRotation="255"/>
    </xf>
    <xf numFmtId="0" fontId="6" fillId="0" borderId="67" xfId="0" applyFont="1" applyBorder="1" applyAlignment="1">
      <alignment horizontal="center" vertical="center" textRotation="255"/>
    </xf>
    <xf numFmtId="0" fontId="6" fillId="0" borderId="24" xfId="0" applyFont="1" applyBorder="1" applyAlignment="1">
      <alignment horizontal="center" vertical="center" textRotation="255"/>
    </xf>
    <xf numFmtId="0" fontId="6" fillId="0" borderId="22" xfId="0" applyFont="1" applyBorder="1" applyAlignment="1" applyProtection="1">
      <alignment horizontal="center" vertical="center" textRotation="255"/>
    </xf>
    <xf numFmtId="0" fontId="6" fillId="0" borderId="67" xfId="0" applyFont="1" applyBorder="1" applyAlignment="1" applyProtection="1">
      <alignment horizontal="center" vertical="center" textRotation="255"/>
    </xf>
    <xf numFmtId="0" fontId="6" fillId="0" borderId="24" xfId="0" applyFont="1" applyBorder="1" applyAlignment="1" applyProtection="1">
      <alignment horizontal="center" vertical="center" textRotation="255"/>
    </xf>
    <xf numFmtId="0" fontId="11" fillId="0" borderId="22" xfId="0" applyFont="1" applyBorder="1" applyAlignment="1" applyProtection="1">
      <alignment horizontal="center" vertical="center"/>
    </xf>
    <xf numFmtId="0" fontId="11" fillId="0" borderId="24" xfId="0" applyFont="1" applyBorder="1" applyAlignment="1" applyProtection="1">
      <alignment horizontal="center" vertical="center"/>
    </xf>
    <xf numFmtId="0" fontId="11" fillId="0" borderId="1"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xf>
    <xf numFmtId="0" fontId="4" fillId="0" borderId="142" xfId="0" applyFont="1" applyFill="1" applyBorder="1" applyAlignment="1">
      <alignment vertical="center" wrapText="1"/>
    </xf>
    <xf numFmtId="0" fontId="4" fillId="0" borderId="145" xfId="0" applyFont="1" applyFill="1" applyBorder="1" applyAlignment="1">
      <alignment vertical="center" wrapText="1"/>
    </xf>
    <xf numFmtId="0" fontId="3" fillId="8" borderId="22" xfId="0" applyNumberFormat="1" applyFont="1" applyFill="1" applyBorder="1" applyAlignment="1" applyProtection="1">
      <alignment horizontal="right" vertical="center"/>
    </xf>
    <xf numFmtId="0" fontId="3" fillId="8" borderId="67" xfId="0" applyNumberFormat="1" applyFont="1" applyFill="1" applyBorder="1" applyAlignment="1" applyProtection="1">
      <alignment horizontal="right" vertical="center"/>
    </xf>
    <xf numFmtId="0" fontId="3" fillId="8" borderId="24" xfId="0" applyNumberFormat="1" applyFont="1" applyFill="1" applyBorder="1" applyAlignment="1" applyProtection="1">
      <alignment horizontal="right" vertical="center"/>
    </xf>
    <xf numFmtId="0" fontId="11" fillId="0" borderId="67" xfId="0" applyFont="1" applyBorder="1" applyAlignment="1" applyProtection="1">
      <alignment horizontal="center" vertical="center" wrapText="1"/>
    </xf>
    <xf numFmtId="0" fontId="11" fillId="0" borderId="58" xfId="0" applyFont="1" applyFill="1" applyBorder="1" applyAlignment="1" applyProtection="1">
      <alignment horizontal="center" vertical="center" wrapText="1"/>
    </xf>
    <xf numFmtId="0" fontId="11" fillId="0" borderId="85" xfId="0" applyFont="1" applyFill="1" applyBorder="1" applyAlignment="1" applyProtection="1">
      <alignment horizontal="center" vertical="center" wrapText="1"/>
    </xf>
    <xf numFmtId="0" fontId="11" fillId="0" borderId="16" xfId="0" applyFont="1" applyFill="1" applyBorder="1" applyAlignment="1" applyProtection="1">
      <alignment horizontal="center" vertical="center" wrapText="1"/>
    </xf>
    <xf numFmtId="0" fontId="11" fillId="0" borderId="86"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1" fillId="0" borderId="25" xfId="0" applyFont="1" applyFill="1" applyBorder="1" applyAlignment="1" applyProtection="1">
      <alignment horizontal="center" vertical="top" wrapText="1"/>
    </xf>
    <xf numFmtId="0" fontId="11" fillId="0" borderId="26" xfId="0" applyFont="1" applyFill="1" applyBorder="1" applyAlignment="1" applyProtection="1">
      <alignment horizontal="center" vertical="top" wrapText="1"/>
    </xf>
    <xf numFmtId="0" fontId="11" fillId="0" borderId="79" xfId="0" applyFont="1" applyFill="1" applyBorder="1" applyAlignment="1" applyProtection="1">
      <alignment horizontal="center" vertical="top" wrapText="1"/>
    </xf>
    <xf numFmtId="0" fontId="11" fillId="0" borderId="23" xfId="0" applyFont="1" applyFill="1" applyBorder="1" applyAlignment="1">
      <alignment horizontal="center" vertical="center" wrapText="1"/>
    </xf>
    <xf numFmtId="0" fontId="11" fillId="0" borderId="58" xfId="0" applyFont="1" applyFill="1" applyBorder="1" applyAlignment="1">
      <alignment horizontal="center" vertical="center" wrapText="1"/>
    </xf>
    <xf numFmtId="0" fontId="11" fillId="0" borderId="46" xfId="0" applyFont="1" applyFill="1" applyBorder="1" applyAlignment="1">
      <alignment horizontal="center" vertical="center" wrapText="1"/>
    </xf>
    <xf numFmtId="0" fontId="11" fillId="0" borderId="0" xfId="0" applyFont="1" applyFill="1" applyAlignment="1">
      <alignment horizontal="center" vertical="center" wrapText="1"/>
    </xf>
    <xf numFmtId="0" fontId="11" fillId="0" borderId="59"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4" fillId="0" borderId="7" xfId="0" applyFont="1" applyBorder="1" applyAlignment="1" applyProtection="1">
      <alignment horizontal="center" vertical="center" wrapText="1"/>
    </xf>
    <xf numFmtId="0" fontId="4" fillId="0" borderId="58" xfId="0" applyFont="1" applyBorder="1" applyAlignment="1" applyProtection="1">
      <alignment horizontal="center" vertical="center" wrapText="1"/>
    </xf>
    <xf numFmtId="0" fontId="12" fillId="0" borderId="22" xfId="0" applyFont="1" applyBorder="1" applyAlignment="1" applyProtection="1">
      <alignment horizontal="center" vertical="center" wrapText="1"/>
    </xf>
    <xf numFmtId="0" fontId="12" fillId="0" borderId="67" xfId="0" applyFont="1" applyBorder="1" applyAlignment="1" applyProtection="1">
      <alignment horizontal="center" vertical="center" wrapText="1"/>
    </xf>
    <xf numFmtId="0" fontId="12" fillId="0" borderId="24" xfId="0" applyFont="1" applyBorder="1" applyAlignment="1" applyProtection="1">
      <alignment horizontal="center" vertical="center" wrapText="1"/>
    </xf>
    <xf numFmtId="0" fontId="11" fillId="0" borderId="97" xfId="0" applyFont="1" applyBorder="1" applyAlignment="1">
      <alignment horizontal="center" vertical="center" wrapText="1"/>
    </xf>
    <xf numFmtId="0" fontId="11" fillId="0" borderId="58" xfId="0" applyFont="1" applyBorder="1" applyAlignment="1">
      <alignment horizontal="center" vertical="center" wrapText="1"/>
    </xf>
    <xf numFmtId="0" fontId="11" fillId="0" borderId="103" xfId="0" applyFont="1" applyBorder="1" applyAlignment="1">
      <alignment horizontal="center" vertical="center" wrapText="1"/>
    </xf>
    <xf numFmtId="0" fontId="11" fillId="0" borderId="97" xfId="0" applyFont="1" applyFill="1" applyBorder="1" applyAlignment="1" applyProtection="1">
      <alignment horizontal="center" vertical="center" wrapText="1"/>
    </xf>
    <xf numFmtId="0" fontId="11" fillId="0" borderId="17" xfId="0" applyFont="1" applyFill="1" applyBorder="1" applyAlignment="1" applyProtection="1">
      <alignment horizontal="center" vertical="center" wrapText="1"/>
    </xf>
    <xf numFmtId="0" fontId="11" fillId="0" borderId="57" xfId="0" applyFont="1" applyFill="1" applyBorder="1" applyAlignment="1" applyProtection="1">
      <alignment horizontal="center" vertical="center" wrapText="1"/>
    </xf>
    <xf numFmtId="0" fontId="11" fillId="0" borderId="98" xfId="0" applyFont="1" applyFill="1" applyBorder="1" applyAlignment="1" applyProtection="1">
      <alignment horizontal="center" vertical="center" wrapText="1"/>
    </xf>
    <xf numFmtId="0" fontId="13" fillId="0" borderId="95" xfId="0" applyFont="1" applyFill="1" applyBorder="1" applyAlignment="1">
      <alignment horizontal="center" vertical="center" wrapText="1"/>
    </xf>
    <xf numFmtId="0" fontId="13" fillId="0" borderId="96" xfId="0" applyFont="1" applyFill="1" applyBorder="1" applyAlignment="1">
      <alignment horizontal="center" vertical="center" wrapText="1"/>
    </xf>
    <xf numFmtId="0" fontId="14" fillId="0" borderId="96" xfId="0" applyFont="1" applyFill="1" applyBorder="1">
      <alignment vertical="center"/>
    </xf>
    <xf numFmtId="0" fontId="67" fillId="0" borderId="95" xfId="0" applyFont="1" applyFill="1" applyBorder="1" applyAlignment="1">
      <alignment horizontal="center" vertical="center" wrapText="1"/>
    </xf>
    <xf numFmtId="0" fontId="67" fillId="0" borderId="96" xfId="0" applyFont="1" applyFill="1" applyBorder="1" applyAlignment="1">
      <alignment horizontal="center" vertical="center" wrapText="1"/>
    </xf>
    <xf numFmtId="0" fontId="68" fillId="0" borderId="96" xfId="0" applyFont="1" applyFill="1" applyBorder="1">
      <alignment vertical="center"/>
    </xf>
    <xf numFmtId="183" fontId="3" fillId="8" borderId="24" xfId="0" applyNumberFormat="1" applyFont="1" applyFill="1" applyBorder="1" applyAlignment="1" applyProtection="1">
      <alignment horizontal="center" vertical="center"/>
    </xf>
    <xf numFmtId="0" fontId="13" fillId="0" borderId="25" xfId="0" applyFont="1" applyFill="1" applyBorder="1" applyAlignment="1">
      <alignment horizontal="center" vertical="center" wrapText="1"/>
    </xf>
    <xf numFmtId="0" fontId="13" fillId="0" borderId="26" xfId="0" applyFont="1" applyFill="1" applyBorder="1" applyAlignment="1">
      <alignment horizontal="center" vertical="center" wrapText="1"/>
    </xf>
    <xf numFmtId="0" fontId="13" fillId="0" borderId="79" xfId="0" applyFont="1" applyFill="1" applyBorder="1" applyAlignment="1">
      <alignment horizontal="center" vertical="center" wrapText="1"/>
    </xf>
    <xf numFmtId="178" fontId="3" fillId="2" borderId="78" xfId="0" applyNumberFormat="1" applyFont="1" applyFill="1" applyBorder="1" applyAlignment="1" applyProtection="1">
      <alignment horizontal="right" vertical="center"/>
    </xf>
    <xf numFmtId="178" fontId="3" fillId="2" borderId="26" xfId="0" applyNumberFormat="1" applyFont="1" applyFill="1" applyBorder="1" applyAlignment="1" applyProtection="1">
      <alignment horizontal="right" vertical="center"/>
    </xf>
    <xf numFmtId="178" fontId="3" fillId="2" borderId="79" xfId="0" applyNumberFormat="1" applyFont="1" applyFill="1" applyBorder="1" applyAlignment="1" applyProtection="1">
      <alignment horizontal="right" vertical="center"/>
    </xf>
    <xf numFmtId="0" fontId="11" fillId="0" borderId="58" xfId="0" applyFont="1" applyBorder="1" applyAlignment="1" applyProtection="1">
      <alignment horizontal="center" vertical="center" wrapText="1"/>
    </xf>
    <xf numFmtId="0" fontId="11" fillId="0" borderId="85" xfId="0" applyFont="1" applyBorder="1" applyAlignment="1" applyProtection="1">
      <alignment horizontal="center" vertical="center" wrapText="1"/>
    </xf>
    <xf numFmtId="0" fontId="11" fillId="0" borderId="46"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1" fillId="0" borderId="57" xfId="0" applyFont="1" applyBorder="1" applyAlignment="1" applyProtection="1">
      <alignment horizontal="center" vertical="center" wrapText="1"/>
    </xf>
    <xf numFmtId="0" fontId="11" fillId="0" borderId="59" xfId="0" applyFont="1" applyBorder="1" applyAlignment="1" applyProtection="1">
      <alignment horizontal="center" vertical="center" wrapText="1"/>
    </xf>
    <xf numFmtId="0" fontId="11" fillId="0" borderId="16" xfId="0" applyFont="1" applyBorder="1" applyAlignment="1" applyProtection="1">
      <alignment horizontal="center" vertical="center" wrapText="1"/>
    </xf>
    <xf numFmtId="0" fontId="11" fillId="0" borderId="86" xfId="0" applyFont="1" applyBorder="1" applyAlignment="1" applyProtection="1">
      <alignment horizontal="center" vertical="center" wrapText="1"/>
    </xf>
    <xf numFmtId="0" fontId="11" fillId="0" borderId="190" xfId="0" applyFont="1" applyBorder="1" applyAlignment="1" applyProtection="1">
      <alignment horizontal="center" vertical="center" wrapText="1"/>
    </xf>
    <xf numFmtId="0" fontId="11" fillId="0" borderId="7" xfId="0" applyFont="1" applyBorder="1" applyAlignment="1" applyProtection="1">
      <alignment horizontal="center" vertical="center" wrapText="1"/>
    </xf>
    <xf numFmtId="0" fontId="11" fillId="0" borderId="191" xfId="0" applyFont="1" applyBorder="1" applyAlignment="1" applyProtection="1">
      <alignment horizontal="center" vertical="center" wrapText="1"/>
    </xf>
    <xf numFmtId="0" fontId="12" fillId="0" borderId="103" xfId="0" applyFont="1" applyFill="1" applyBorder="1" applyAlignment="1">
      <alignment horizontal="center" vertical="center" wrapText="1"/>
    </xf>
    <xf numFmtId="0" fontId="12" fillId="0" borderId="104" xfId="0" applyFont="1" applyFill="1" applyBorder="1" applyAlignment="1">
      <alignment horizontal="center" vertical="center" wrapText="1"/>
    </xf>
    <xf numFmtId="0" fontId="12" fillId="0" borderId="105" xfId="0" applyFont="1" applyFill="1" applyBorder="1" applyAlignment="1">
      <alignment horizontal="center" vertical="center" wrapText="1"/>
    </xf>
    <xf numFmtId="177" fontId="3" fillId="2" borderId="77" xfId="0" applyNumberFormat="1" applyFont="1" applyFill="1" applyBorder="1" applyAlignment="1" applyProtection="1">
      <alignment vertical="center"/>
    </xf>
    <xf numFmtId="177" fontId="3" fillId="2" borderId="149" xfId="0" applyNumberFormat="1" applyFont="1" applyFill="1" applyBorder="1" applyAlignment="1" applyProtection="1">
      <alignment vertical="center"/>
    </xf>
    <xf numFmtId="177" fontId="3" fillId="2" borderId="174" xfId="0" applyNumberFormat="1" applyFont="1" applyFill="1" applyBorder="1" applyAlignment="1" applyProtection="1">
      <alignment vertical="center"/>
    </xf>
    <xf numFmtId="177" fontId="3" fillId="2" borderId="132" xfId="0" applyNumberFormat="1" applyFont="1" applyFill="1" applyBorder="1" applyAlignment="1">
      <alignment horizontal="right" vertical="center"/>
    </xf>
    <xf numFmtId="182" fontId="3" fillId="2" borderId="173" xfId="0" applyNumberFormat="1" applyFont="1" applyFill="1" applyBorder="1" applyAlignment="1">
      <alignment horizontal="right" vertical="center"/>
    </xf>
    <xf numFmtId="182" fontId="3" fillId="2" borderId="67" xfId="0" applyNumberFormat="1" applyFont="1" applyFill="1" applyBorder="1" applyAlignment="1">
      <alignment horizontal="right" vertical="center"/>
    </xf>
    <xf numFmtId="182" fontId="3" fillId="2" borderId="24" xfId="0" applyNumberFormat="1" applyFont="1" applyFill="1" applyBorder="1" applyAlignment="1">
      <alignment horizontal="right" vertical="center"/>
    </xf>
    <xf numFmtId="177" fontId="3" fillId="2" borderId="120" xfId="0" applyNumberFormat="1" applyFont="1" applyFill="1" applyBorder="1" applyAlignment="1" applyProtection="1">
      <alignment vertical="center"/>
    </xf>
    <xf numFmtId="178" fontId="3" fillId="2" borderId="130" xfId="0" applyNumberFormat="1" applyFont="1" applyFill="1" applyBorder="1" applyAlignment="1" applyProtection="1">
      <alignment horizontal="right" vertical="center"/>
    </xf>
    <xf numFmtId="177" fontId="3" fillId="2" borderId="130" xfId="0" applyNumberFormat="1" applyFont="1" applyFill="1" applyBorder="1" applyAlignment="1">
      <alignment horizontal="right" vertical="center"/>
    </xf>
    <xf numFmtId="185" fontId="3" fillId="2" borderId="131" xfId="0" applyNumberFormat="1" applyFont="1" applyFill="1" applyBorder="1" applyAlignment="1" applyProtection="1">
      <alignment horizontal="right" vertical="center"/>
    </xf>
    <xf numFmtId="185" fontId="3" fillId="2" borderId="134" xfId="0" applyNumberFormat="1" applyFont="1" applyFill="1" applyBorder="1" applyAlignment="1" applyProtection="1">
      <alignment horizontal="right" vertical="center"/>
    </xf>
    <xf numFmtId="185" fontId="0" fillId="0" borderId="130" xfId="0" applyNumberFormat="1" applyFont="1" applyFill="1" applyBorder="1" applyAlignment="1" applyProtection="1">
      <alignment horizontal="right" vertical="center"/>
      <protection locked="0"/>
    </xf>
    <xf numFmtId="184" fontId="0" fillId="2" borderId="132" xfId="0" applyNumberFormat="1" applyFont="1" applyFill="1" applyBorder="1" applyAlignment="1" applyProtection="1">
      <alignment horizontal="right" vertical="center"/>
    </xf>
    <xf numFmtId="178" fontId="3" fillId="2" borderId="131" xfId="0" applyNumberFormat="1" applyFont="1" applyFill="1" applyBorder="1" applyAlignment="1" applyProtection="1">
      <alignment horizontal="right" vertical="center"/>
    </xf>
    <xf numFmtId="181" fontId="3" fillId="2" borderId="129" xfId="0" applyNumberFormat="1" applyFont="1" applyFill="1" applyBorder="1" applyAlignment="1" applyProtection="1">
      <alignment horizontal="right" vertical="center"/>
    </xf>
    <xf numFmtId="177" fontId="0" fillId="2" borderId="133" xfId="0" applyNumberFormat="1" applyFont="1" applyFill="1" applyBorder="1" applyAlignment="1" applyProtection="1">
      <alignment horizontal="right" vertical="center"/>
    </xf>
    <xf numFmtId="178" fontId="3" fillId="2" borderId="90" xfId="0" applyNumberFormat="1" applyFont="1" applyFill="1" applyBorder="1" applyAlignment="1" applyProtection="1">
      <alignment horizontal="right" vertical="center"/>
    </xf>
    <xf numFmtId="182" fontId="3" fillId="0" borderId="130" xfId="0" applyNumberFormat="1" applyFont="1" applyFill="1" applyBorder="1" applyAlignment="1" applyProtection="1">
      <alignment horizontal="right" vertical="center"/>
      <protection locked="0"/>
    </xf>
    <xf numFmtId="185" fontId="3" fillId="2" borderId="135" xfId="0" applyNumberFormat="1" applyFont="1" applyFill="1" applyBorder="1" applyAlignment="1" applyProtection="1">
      <alignment horizontal="right" vertical="center"/>
    </xf>
    <xf numFmtId="178" fontId="3" fillId="0" borderId="143" xfId="0" applyNumberFormat="1" applyFont="1" applyFill="1" applyBorder="1" applyAlignment="1" applyProtection="1">
      <alignment horizontal="right" vertical="center"/>
      <protection locked="0"/>
    </xf>
    <xf numFmtId="185" fontId="3" fillId="2" borderId="131" xfId="0" applyNumberFormat="1" applyFont="1" applyFill="1" applyBorder="1" applyAlignment="1" applyProtection="1">
      <alignment horizontal="center" vertical="center"/>
    </xf>
    <xf numFmtId="188" fontId="3" fillId="8" borderId="149" xfId="1" applyNumberFormat="1" applyFont="1" applyFill="1" applyBorder="1" applyAlignment="1" applyProtection="1">
      <alignment horizontal="center" vertical="center"/>
    </xf>
    <xf numFmtId="188" fontId="3" fillId="8" borderId="174" xfId="1" applyNumberFormat="1" applyFont="1" applyFill="1" applyBorder="1" applyAlignment="1" applyProtection="1">
      <alignment horizontal="center" vertical="center"/>
    </xf>
    <xf numFmtId="188" fontId="3" fillId="8" borderId="120" xfId="1" applyNumberFormat="1" applyFont="1" applyFill="1" applyBorder="1" applyAlignment="1" applyProtection="1">
      <alignment horizontal="center" vertical="center"/>
    </xf>
    <xf numFmtId="182" fontId="3" fillId="8" borderId="127" xfId="0" applyNumberFormat="1" applyFont="1" applyFill="1" applyBorder="1" applyAlignment="1" applyProtection="1">
      <alignment horizontal="right" vertical="center"/>
    </xf>
    <xf numFmtId="181" fontId="3" fillId="8" borderId="130" xfId="0" applyNumberFormat="1" applyFont="1" applyFill="1" applyBorder="1" applyAlignment="1" applyProtection="1">
      <alignment horizontal="right" vertical="center"/>
    </xf>
    <xf numFmtId="185" fontId="3" fillId="2" borderId="172" xfId="0" applyNumberFormat="1" applyFont="1" applyFill="1" applyBorder="1" applyAlignment="1" applyProtection="1">
      <alignment horizontal="center" vertical="center"/>
    </xf>
    <xf numFmtId="185" fontId="3" fillId="2" borderId="90" xfId="0" applyNumberFormat="1" applyFont="1" applyFill="1" applyBorder="1" applyAlignment="1" applyProtection="1">
      <alignment horizontal="center" vertical="center"/>
    </xf>
    <xf numFmtId="0" fontId="12" fillId="0" borderId="55" xfId="0" applyFont="1" applyBorder="1" applyAlignment="1" applyProtection="1">
      <alignment horizontal="center" vertical="center" wrapText="1"/>
    </xf>
    <xf numFmtId="0" fontId="12" fillId="0" borderId="47" xfId="0" applyFont="1" applyBorder="1" applyAlignment="1" applyProtection="1">
      <alignment horizontal="center" vertical="center" wrapText="1"/>
    </xf>
    <xf numFmtId="0" fontId="12" fillId="0" borderId="99" xfId="0" applyFont="1" applyBorder="1" applyAlignment="1" applyProtection="1">
      <alignment horizontal="center" vertical="center" wrapText="1"/>
    </xf>
    <xf numFmtId="183" fontId="3" fillId="8" borderId="41" xfId="0" applyNumberFormat="1" applyFont="1" applyFill="1" applyBorder="1" applyAlignment="1" applyProtection="1">
      <alignment horizontal="right" vertical="center"/>
    </xf>
    <xf numFmtId="183" fontId="3" fillId="8" borderId="91" xfId="0" applyNumberFormat="1" applyFont="1" applyFill="1" applyBorder="1" applyAlignment="1" applyProtection="1">
      <alignment horizontal="right" vertical="center"/>
    </xf>
    <xf numFmtId="183" fontId="3" fillId="4" borderId="128" xfId="0" applyNumberFormat="1" applyFont="1" applyFill="1" applyBorder="1" applyAlignment="1" applyProtection="1">
      <alignment horizontal="right" vertical="center" shrinkToFit="1"/>
    </xf>
    <xf numFmtId="183" fontId="3" fillId="4" borderId="128" xfId="0" applyNumberFormat="1" applyFont="1" applyFill="1" applyBorder="1" applyAlignment="1" applyProtection="1">
      <alignment horizontal="right" vertical="center"/>
    </xf>
    <xf numFmtId="0" fontId="3" fillId="0" borderId="0" xfId="0" applyFont="1" applyAlignment="1">
      <alignment horizontal="center" vertical="center"/>
    </xf>
    <xf numFmtId="183" fontId="3" fillId="8" borderId="58" xfId="0" applyNumberFormat="1" applyFont="1" applyFill="1" applyBorder="1" applyAlignment="1" applyProtection="1">
      <alignment horizontal="right" vertical="center"/>
    </xf>
    <xf numFmtId="183" fontId="3" fillId="8" borderId="0" xfId="0" applyNumberFormat="1" applyFont="1" applyFill="1" applyBorder="1" applyAlignment="1" applyProtection="1">
      <alignment horizontal="right" vertical="center"/>
    </xf>
    <xf numFmtId="183" fontId="3" fillId="8" borderId="16" xfId="0" applyNumberFormat="1" applyFont="1" applyFill="1" applyBorder="1" applyAlignment="1" applyProtection="1">
      <alignment horizontal="right" vertical="center"/>
    </xf>
    <xf numFmtId="0" fontId="12" fillId="0" borderId="23" xfId="0" applyFont="1" applyBorder="1" applyAlignment="1" applyProtection="1">
      <alignment horizontal="center" vertical="center" wrapText="1"/>
    </xf>
    <xf numFmtId="0" fontId="12" fillId="0" borderId="46" xfId="0" applyFont="1" applyBorder="1" applyAlignment="1" applyProtection="1">
      <alignment horizontal="center" vertical="center" wrapText="1"/>
    </xf>
    <xf numFmtId="0" fontId="12" fillId="0" borderId="59" xfId="0" applyFont="1" applyBorder="1" applyAlignment="1" applyProtection="1">
      <alignment horizontal="center" vertical="center" wrapText="1"/>
    </xf>
    <xf numFmtId="0" fontId="4" fillId="0" borderId="8" xfId="0" applyFont="1" applyBorder="1" applyAlignment="1" applyProtection="1">
      <alignment horizontal="center" vertical="top" wrapText="1"/>
    </xf>
    <xf numFmtId="0" fontId="11" fillId="0" borderId="23" xfId="0" applyFont="1" applyFill="1" applyBorder="1" applyAlignment="1" applyProtection="1">
      <alignment horizontal="center" vertical="center" wrapText="1"/>
    </xf>
    <xf numFmtId="0" fontId="11" fillId="0" borderId="46" xfId="0" applyFont="1" applyFill="1" applyBorder="1" applyAlignment="1" applyProtection="1">
      <alignment horizontal="center" vertical="center" wrapText="1"/>
    </xf>
    <xf numFmtId="0" fontId="11" fillId="0" borderId="59" xfId="0" applyFont="1" applyFill="1" applyBorder="1" applyAlignment="1" applyProtection="1">
      <alignment horizontal="center" vertical="center" wrapText="1"/>
    </xf>
    <xf numFmtId="0" fontId="11" fillId="0" borderId="23" xfId="0" applyFont="1" applyFill="1" applyBorder="1" applyAlignment="1">
      <alignment vertical="center" wrapText="1"/>
    </xf>
    <xf numFmtId="0" fontId="11" fillId="0" borderId="85" xfId="0" applyFont="1" applyFill="1" applyBorder="1" applyAlignment="1">
      <alignment vertical="center" wrapText="1"/>
    </xf>
    <xf numFmtId="0" fontId="11" fillId="0" borderId="46" xfId="0" applyFont="1" applyFill="1" applyBorder="1" applyAlignment="1">
      <alignment vertical="center" wrapText="1"/>
    </xf>
    <xf numFmtId="0" fontId="11" fillId="0" borderId="57" xfId="0" applyFont="1" applyFill="1" applyBorder="1" applyAlignment="1">
      <alignment vertical="center" wrapText="1"/>
    </xf>
    <xf numFmtId="0" fontId="11" fillId="0" borderId="59" xfId="0" applyFont="1" applyFill="1" applyBorder="1" applyAlignment="1">
      <alignment vertical="center" wrapText="1"/>
    </xf>
    <xf numFmtId="0" fontId="11" fillId="0" borderId="86" xfId="0" applyFont="1" applyFill="1" applyBorder="1" applyAlignment="1">
      <alignment vertical="center" wrapText="1"/>
    </xf>
    <xf numFmtId="0" fontId="4" fillId="0" borderId="46"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57" xfId="0" applyFont="1" applyBorder="1" applyAlignment="1" applyProtection="1">
      <alignment horizontal="center" vertical="center" wrapText="1"/>
    </xf>
    <xf numFmtId="0" fontId="11" fillId="0" borderId="85" xfId="0" applyFont="1" applyBorder="1" applyAlignment="1" applyProtection="1">
      <alignment horizontal="center" vertical="center"/>
    </xf>
    <xf numFmtId="0" fontId="11" fillId="0" borderId="86" xfId="0" applyFont="1" applyBorder="1" applyAlignment="1" applyProtection="1">
      <alignment horizontal="center" vertical="center"/>
    </xf>
    <xf numFmtId="0" fontId="0" fillId="0" borderId="1" xfId="0" applyNumberFormat="1" applyBorder="1" applyAlignment="1" applyProtection="1">
      <alignment horizontal="right" vertical="center"/>
    </xf>
    <xf numFmtId="185" fontId="0" fillId="0" borderId="1" xfId="0" applyNumberFormat="1" applyBorder="1" applyAlignment="1" applyProtection="1">
      <alignment horizontal="right" vertical="center"/>
    </xf>
    <xf numFmtId="0" fontId="3" fillId="0" borderId="1" xfId="0" applyFont="1" applyBorder="1" applyAlignment="1">
      <alignment horizontal="center" vertical="center"/>
    </xf>
    <xf numFmtId="181" fontId="3" fillId="2" borderId="0" xfId="0" applyNumberFormat="1" applyFont="1" applyFill="1" applyAlignment="1">
      <alignment horizontal="right" vertical="center"/>
    </xf>
    <xf numFmtId="181" fontId="3" fillId="2" borderId="16" xfId="0" applyNumberFormat="1" applyFont="1" applyFill="1" applyBorder="1" applyAlignment="1">
      <alignment horizontal="right" vertical="center"/>
    </xf>
    <xf numFmtId="0" fontId="4" fillId="0" borderId="26" xfId="0" applyFont="1" applyFill="1" applyBorder="1" applyAlignment="1">
      <alignment horizontal="center" vertical="center" wrapText="1"/>
    </xf>
    <xf numFmtId="0" fontId="4" fillId="0" borderId="79" xfId="0" applyFont="1" applyFill="1" applyBorder="1" applyAlignment="1">
      <alignment horizontal="center" vertical="center" wrapText="1"/>
    </xf>
    <xf numFmtId="0" fontId="7" fillId="0" borderId="108" xfId="0" applyFont="1" applyBorder="1" applyAlignment="1" applyProtection="1">
      <alignment horizontal="center" vertical="center" wrapText="1"/>
    </xf>
    <xf numFmtId="0" fontId="7" fillId="0" borderId="110" xfId="0" applyFont="1" applyBorder="1" applyAlignment="1" applyProtection="1">
      <alignment horizontal="center" vertical="center" wrapText="1"/>
    </xf>
    <xf numFmtId="0" fontId="4" fillId="0" borderId="25" xfId="0" applyFont="1" applyFill="1" applyBorder="1" applyAlignment="1">
      <alignment horizontal="center" vertical="center" wrapText="1"/>
    </xf>
    <xf numFmtId="0" fontId="64" fillId="0" borderId="22" xfId="0" applyFont="1" applyBorder="1" applyAlignment="1">
      <alignment horizontal="center" vertical="center" wrapText="1"/>
    </xf>
    <xf numFmtId="0" fontId="64" fillId="0" borderId="24" xfId="0" applyFont="1" applyBorder="1" applyAlignment="1">
      <alignment horizontal="center" vertical="center" wrapText="1"/>
    </xf>
    <xf numFmtId="0" fontId="64" fillId="0" borderId="2" xfId="0" applyFont="1" applyBorder="1" applyAlignment="1">
      <alignment horizontal="center" vertical="center" wrapText="1"/>
    </xf>
    <xf numFmtId="0" fontId="64" fillId="0" borderId="7" xfId="0" applyFont="1" applyBorder="1" applyAlignment="1">
      <alignment horizontal="center" vertical="center" wrapText="1"/>
    </xf>
    <xf numFmtId="0" fontId="64" fillId="0" borderId="8" xfId="0" applyFont="1" applyBorder="1" applyAlignment="1">
      <alignment horizontal="center" vertical="center" wrapText="1"/>
    </xf>
    <xf numFmtId="0" fontId="62" fillId="0" borderId="22" xfId="0" applyFont="1" applyBorder="1" applyAlignment="1">
      <alignment horizontal="center" vertical="center" wrapText="1"/>
    </xf>
    <xf numFmtId="0" fontId="62" fillId="0" borderId="24" xfId="0" applyFont="1" applyBorder="1" applyAlignment="1">
      <alignment horizontal="center" vertical="center" wrapText="1"/>
    </xf>
    <xf numFmtId="0" fontId="64" fillId="0" borderId="22" xfId="0" applyFont="1" applyBorder="1" applyAlignment="1">
      <alignment horizontal="center" vertical="center"/>
    </xf>
    <xf numFmtId="0" fontId="64" fillId="0" borderId="24" xfId="0" applyFont="1" applyBorder="1" applyAlignment="1">
      <alignment horizontal="center" vertical="center"/>
    </xf>
    <xf numFmtId="185" fontId="0" fillId="0" borderId="0" xfId="0" applyNumberFormat="1" applyAlignment="1">
      <alignment horizontal="center" vertical="center"/>
    </xf>
    <xf numFmtId="0" fontId="3" fillId="0" borderId="106" xfId="0" applyFont="1" applyBorder="1" applyAlignment="1">
      <alignment horizontal="center" vertical="center"/>
    </xf>
    <xf numFmtId="0" fontId="3" fillId="0" borderId="107" xfId="0" applyFont="1" applyBorder="1" applyAlignment="1">
      <alignment horizontal="center" vertical="center"/>
    </xf>
    <xf numFmtId="0" fontId="3" fillId="0" borderId="13" xfId="0" applyFont="1" applyBorder="1" applyAlignment="1">
      <alignment horizontal="center" vertical="center"/>
    </xf>
    <xf numFmtId="0" fontId="3" fillId="0" borderId="23" xfId="0" applyFont="1" applyBorder="1" applyAlignment="1">
      <alignment horizontal="center" vertical="center"/>
    </xf>
    <xf numFmtId="0" fontId="3" fillId="0" borderId="46" xfId="0" applyFont="1" applyBorder="1" applyAlignment="1">
      <alignment horizontal="center" vertical="center"/>
    </xf>
    <xf numFmtId="190" fontId="0" fillId="2" borderId="55" xfId="0" applyNumberFormat="1" applyFill="1" applyBorder="1" applyAlignment="1">
      <alignment horizontal="center" vertical="center"/>
    </xf>
    <xf numFmtId="190" fontId="0" fillId="2" borderId="99" xfId="0" applyNumberFormat="1" applyFill="1" applyBorder="1" applyAlignment="1">
      <alignment horizontal="center" vertical="center"/>
    </xf>
    <xf numFmtId="190" fontId="0" fillId="2" borderId="45" xfId="0" applyNumberFormat="1" applyFill="1" applyBorder="1" applyAlignment="1">
      <alignment horizontal="center" vertical="center"/>
    </xf>
    <xf numFmtId="0" fontId="3" fillId="0" borderId="59" xfId="0" applyFont="1" applyBorder="1" applyAlignment="1">
      <alignment horizontal="center" vertical="center"/>
    </xf>
    <xf numFmtId="0" fontId="0" fillId="0" borderId="37" xfId="0" applyBorder="1" applyAlignment="1">
      <alignment horizontal="center" vertical="center"/>
    </xf>
    <xf numFmtId="0" fontId="0" fillId="0" borderId="7" xfId="0" applyBorder="1" applyAlignment="1">
      <alignment horizontal="center" vertical="center"/>
    </xf>
    <xf numFmtId="0" fontId="0" fillId="0" borderId="18" xfId="0" applyBorder="1" applyAlignment="1">
      <alignment horizontal="center" vertical="center"/>
    </xf>
    <xf numFmtId="0" fontId="0" fillId="0" borderId="0" xfId="0" applyAlignment="1">
      <alignment horizontal="center" vertical="center" wrapText="1"/>
    </xf>
    <xf numFmtId="0" fontId="4" fillId="0" borderId="0" xfId="0" applyFont="1" applyAlignment="1">
      <alignment horizontal="center" vertical="center" wrapText="1"/>
    </xf>
    <xf numFmtId="0" fontId="3" fillId="2" borderId="23" xfId="0" applyFont="1" applyFill="1" applyBorder="1" applyAlignment="1">
      <alignment horizontal="left" vertical="center" wrapText="1"/>
    </xf>
    <xf numFmtId="0" fontId="3" fillId="2" borderId="58" xfId="0" applyFont="1" applyFill="1" applyBorder="1" applyAlignment="1">
      <alignment horizontal="left" vertical="center" wrapText="1"/>
    </xf>
    <xf numFmtId="0" fontId="3" fillId="2" borderId="85" xfId="0" applyFont="1" applyFill="1" applyBorder="1" applyAlignment="1">
      <alignment horizontal="left" vertical="center" wrapText="1"/>
    </xf>
    <xf numFmtId="0" fontId="3" fillId="2" borderId="59"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3" fillId="2" borderId="86" xfId="0" applyFont="1" applyFill="1" applyBorder="1" applyAlignment="1">
      <alignment horizontal="left" vertical="center" wrapText="1"/>
    </xf>
    <xf numFmtId="0" fontId="0" fillId="0" borderId="23" xfId="0" applyBorder="1" applyAlignment="1">
      <alignment horizontal="center" vertical="center"/>
    </xf>
    <xf numFmtId="0" fontId="0" fillId="0" borderId="85" xfId="0" applyBorder="1" applyAlignment="1">
      <alignment horizontal="center" vertical="center"/>
    </xf>
    <xf numFmtId="0" fontId="0" fillId="0" borderId="59" xfId="0" applyBorder="1" applyAlignment="1">
      <alignment horizontal="center" vertical="center"/>
    </xf>
    <xf numFmtId="0" fontId="0" fillId="0" borderId="86" xfId="0" applyBorder="1" applyAlignment="1">
      <alignment horizontal="center" vertical="center"/>
    </xf>
    <xf numFmtId="0" fontId="0" fillId="0" borderId="2" xfId="0" applyBorder="1" applyAlignment="1">
      <alignment horizontal="center" vertical="center"/>
    </xf>
    <xf numFmtId="0" fontId="0" fillId="0" borderId="8" xfId="0" applyBorder="1" applyAlignment="1">
      <alignment horizontal="center" vertical="center"/>
    </xf>
    <xf numFmtId="0" fontId="21" fillId="0" borderId="0" xfId="0" applyFont="1" applyFill="1" applyAlignment="1">
      <alignment horizontal="center" vertical="center"/>
    </xf>
    <xf numFmtId="0" fontId="10" fillId="7" borderId="0" xfId="0" applyFont="1" applyFill="1" applyAlignment="1">
      <alignment horizontal="center" vertical="center"/>
    </xf>
    <xf numFmtId="0" fontId="7" fillId="0" borderId="2" xfId="0" applyFont="1" applyBorder="1" applyAlignment="1" applyProtection="1">
      <alignment horizontal="center" vertical="center"/>
    </xf>
    <xf numFmtId="0" fontId="7" fillId="0" borderId="7" xfId="0" applyFont="1" applyBorder="1" applyAlignment="1" applyProtection="1">
      <alignment horizontal="center" vertical="center"/>
    </xf>
    <xf numFmtId="0" fontId="0" fillId="0" borderId="7" xfId="0" applyBorder="1" applyAlignment="1" applyProtection="1">
      <alignment horizontal="center" vertical="center"/>
    </xf>
    <xf numFmtId="0" fontId="4" fillId="0" borderId="2" xfId="0" applyFont="1" applyBorder="1" applyAlignment="1" applyProtection="1">
      <alignment horizontal="center" vertical="center"/>
    </xf>
    <xf numFmtId="0" fontId="4" fillId="0" borderId="7" xfId="0" applyFont="1" applyBorder="1" applyAlignment="1" applyProtection="1">
      <alignment horizontal="center" vertical="center"/>
    </xf>
    <xf numFmtId="0" fontId="0" fillId="0" borderId="2"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4" fillId="0" borderId="22" xfId="0" applyFont="1" applyBorder="1" applyAlignment="1" applyProtection="1">
      <alignment horizontal="center" vertical="center"/>
    </xf>
    <xf numFmtId="0" fontId="5" fillId="0" borderId="67" xfId="0" applyFont="1" applyBorder="1" applyAlignment="1" applyProtection="1">
      <alignment horizontal="center" vertical="center"/>
    </xf>
    <xf numFmtId="0" fontId="4" fillId="0" borderId="23" xfId="0" applyFont="1" applyBorder="1" applyAlignment="1" applyProtection="1">
      <alignment horizontal="center" vertical="center"/>
    </xf>
    <xf numFmtId="0" fontId="0" fillId="0" borderId="85" xfId="0" applyBorder="1" applyAlignment="1" applyProtection="1">
      <alignment horizontal="center" vertical="center"/>
    </xf>
    <xf numFmtId="0" fontId="0" fillId="0" borderId="59" xfId="0" applyBorder="1" applyAlignment="1" applyProtection="1">
      <alignment horizontal="center" vertical="center"/>
    </xf>
    <xf numFmtId="0" fontId="0" fillId="0" borderId="86" xfId="0" applyBorder="1" applyAlignment="1" applyProtection="1">
      <alignment horizontal="center" vertical="center"/>
    </xf>
    <xf numFmtId="0" fontId="0" fillId="0" borderId="12" xfId="0"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14" xfId="0" applyBorder="1" applyAlignment="1" applyProtection="1">
      <alignment horizontal="center" vertical="center" wrapText="1"/>
    </xf>
    <xf numFmtId="186" fontId="7" fillId="2" borderId="108" xfId="0" applyNumberFormat="1" applyFont="1" applyFill="1" applyBorder="1" applyAlignment="1" applyProtection="1">
      <alignment horizontal="center" vertical="center" shrinkToFit="1"/>
    </xf>
    <xf numFmtId="0" fontId="0" fillId="2" borderId="109" xfId="0" applyFill="1" applyBorder="1" applyAlignment="1" applyProtection="1">
      <alignment horizontal="center" vertical="center" shrinkToFit="1"/>
    </xf>
    <xf numFmtId="0" fontId="0" fillId="2" borderId="110" xfId="0" applyFill="1" applyBorder="1" applyAlignment="1" applyProtection="1">
      <alignment horizontal="center" vertical="center" shrinkToFit="1"/>
    </xf>
    <xf numFmtId="0" fontId="0" fillId="0" borderId="0" xfId="0" applyBorder="1" applyAlignment="1" applyProtection="1">
      <alignment horizontal="center" vertical="center"/>
    </xf>
    <xf numFmtId="0" fontId="0" fillId="0" borderId="23" xfId="0" applyBorder="1" applyAlignment="1" applyProtection="1">
      <alignment horizontal="center" vertical="center"/>
      <protection locked="0"/>
    </xf>
    <xf numFmtId="0" fontId="0" fillId="0" borderId="85" xfId="0" applyBorder="1" applyAlignment="1" applyProtection="1">
      <alignment horizontal="center" vertical="center"/>
      <protection locked="0"/>
    </xf>
    <xf numFmtId="0" fontId="21" fillId="0" borderId="1" xfId="0" applyFont="1" applyBorder="1" applyAlignment="1" applyProtection="1">
      <alignment horizontal="center" vertical="center" wrapText="1"/>
    </xf>
    <xf numFmtId="0" fontId="57" fillId="0" borderId="2" xfId="0" applyFont="1" applyBorder="1" applyAlignment="1">
      <alignment horizontal="center" vertical="center"/>
    </xf>
    <xf numFmtId="0" fontId="57" fillId="0" borderId="7" xfId="0" applyFont="1" applyBorder="1" applyAlignment="1">
      <alignment horizontal="center" vertical="center"/>
    </xf>
    <xf numFmtId="0" fontId="57" fillId="0" borderId="18" xfId="0" applyFont="1" applyBorder="1" applyAlignment="1">
      <alignment horizontal="center" vertical="center"/>
    </xf>
    <xf numFmtId="0" fontId="58" fillId="0" borderId="7" xfId="0" applyFont="1" applyBorder="1" applyAlignment="1">
      <alignment horizontal="center" vertical="center"/>
    </xf>
    <xf numFmtId="0" fontId="7" fillId="0" borderId="0" xfId="0" applyNumberFormat="1" applyFont="1" applyAlignment="1" applyProtection="1">
      <alignment horizontal="right" vertical="center"/>
    </xf>
    <xf numFmtId="0" fontId="7" fillId="0" borderId="104" xfId="0" applyNumberFormat="1" applyFont="1" applyBorder="1" applyAlignment="1" applyProtection="1">
      <alignment horizontal="right" vertical="center"/>
    </xf>
    <xf numFmtId="186" fontId="7" fillId="2" borderId="109" xfId="0" applyNumberFormat="1" applyFont="1" applyFill="1" applyBorder="1" applyAlignment="1" applyProtection="1">
      <alignment horizontal="center" vertical="center" shrinkToFit="1"/>
    </xf>
    <xf numFmtId="186" fontId="7" fillId="2" borderId="110" xfId="0" applyNumberFormat="1" applyFont="1" applyFill="1" applyBorder="1" applyAlignment="1" applyProtection="1">
      <alignment horizontal="center" vertical="center" shrinkToFit="1"/>
    </xf>
    <xf numFmtId="0" fontId="0" fillId="0" borderId="1" xfId="0" applyBorder="1" applyAlignment="1" applyProtection="1">
      <alignment horizontal="center" vertical="center" wrapText="1"/>
    </xf>
    <xf numFmtId="0" fontId="0" fillId="0" borderId="33" xfId="0" applyBorder="1" applyAlignment="1" applyProtection="1">
      <alignment horizontal="center" vertical="center" wrapText="1"/>
    </xf>
    <xf numFmtId="0" fontId="0" fillId="0" borderId="2" xfId="0" applyBorder="1" applyAlignment="1" applyProtection="1">
      <alignment horizontal="center" vertical="center" wrapText="1"/>
    </xf>
    <xf numFmtId="0" fontId="0" fillId="0" borderId="8" xfId="0" applyBorder="1" applyAlignment="1" applyProtection="1">
      <alignment horizontal="center" vertical="center" wrapText="1"/>
    </xf>
    <xf numFmtId="0" fontId="5" fillId="0" borderId="24" xfId="0" applyFont="1" applyBorder="1" applyAlignment="1" applyProtection="1">
      <alignment horizontal="center" vertical="center"/>
    </xf>
    <xf numFmtId="0" fontId="4" fillId="0" borderId="22" xfId="0" applyFont="1" applyBorder="1" applyAlignment="1" applyProtection="1">
      <alignment horizontal="center" vertical="center" wrapText="1"/>
    </xf>
    <xf numFmtId="0" fontId="5" fillId="0" borderId="67" xfId="0" applyFont="1" applyBorder="1" applyAlignment="1" applyProtection="1">
      <alignment vertical="center"/>
    </xf>
    <xf numFmtId="0" fontId="5" fillId="0" borderId="24" xfId="0" applyFont="1" applyBorder="1" applyAlignment="1" applyProtection="1">
      <alignment vertical="center"/>
    </xf>
    <xf numFmtId="0" fontId="4" fillId="0" borderId="114" xfId="0" applyFont="1" applyBorder="1" applyAlignment="1" applyProtection="1">
      <alignment horizontal="center" vertical="center" wrapText="1"/>
    </xf>
    <xf numFmtId="0" fontId="4" fillId="0" borderId="115" xfId="0" applyFont="1" applyBorder="1" applyAlignment="1" applyProtection="1">
      <alignment horizontal="center" vertical="center" wrapText="1"/>
    </xf>
    <xf numFmtId="0" fontId="4" fillId="0" borderId="16" xfId="0" applyFont="1" applyBorder="1" applyAlignment="1" applyProtection="1">
      <alignment horizontal="center" vertical="center" wrapText="1"/>
    </xf>
    <xf numFmtId="0" fontId="4" fillId="0" borderId="116" xfId="0" applyFont="1" applyBorder="1" applyAlignment="1" applyProtection="1">
      <alignment horizontal="center" vertical="center" wrapText="1"/>
    </xf>
    <xf numFmtId="0" fontId="0" fillId="0" borderId="12" xfId="0" applyBorder="1" applyAlignment="1" applyProtection="1">
      <alignment horizontal="left" vertical="center" wrapText="1"/>
    </xf>
    <xf numFmtId="0" fontId="0" fillId="0" borderId="13" xfId="0" applyBorder="1" applyAlignment="1" applyProtection="1">
      <alignment horizontal="left" vertical="center" wrapText="1"/>
    </xf>
    <xf numFmtId="0" fontId="0" fillId="0" borderId="15" xfId="0" applyBorder="1" applyAlignment="1" applyProtection="1">
      <alignment horizontal="left" vertical="center" wrapText="1"/>
    </xf>
    <xf numFmtId="0" fontId="0" fillId="0" borderId="16" xfId="0" applyBorder="1" applyAlignment="1" applyProtection="1">
      <alignment horizontal="left" vertical="center" wrapText="1"/>
    </xf>
    <xf numFmtId="0" fontId="0" fillId="0" borderId="32" xfId="0" applyBorder="1" applyAlignment="1" applyProtection="1">
      <alignment horizontal="center" vertical="center" wrapText="1"/>
    </xf>
    <xf numFmtId="178" fontId="3" fillId="2" borderId="59" xfId="0" applyNumberFormat="1" applyFont="1" applyFill="1" applyBorder="1" applyAlignment="1" applyProtection="1">
      <alignment vertical="center"/>
    </xf>
    <xf numFmtId="178" fontId="3" fillId="2" borderId="86" xfId="0" applyNumberFormat="1" applyFont="1" applyFill="1" applyBorder="1" applyAlignment="1" applyProtection="1">
      <alignment vertical="center"/>
    </xf>
    <xf numFmtId="0" fontId="7" fillId="0" borderId="2" xfId="0" applyFont="1" applyBorder="1" applyAlignment="1" applyProtection="1">
      <alignment horizontal="center" vertical="center" shrinkToFit="1"/>
    </xf>
    <xf numFmtId="0" fontId="7" fillId="0" borderId="7" xfId="0" applyFont="1" applyBorder="1" applyAlignment="1" applyProtection="1">
      <alignment horizontal="center" vertical="center" shrinkToFit="1"/>
    </xf>
    <xf numFmtId="0" fontId="7" fillId="0" borderId="18" xfId="0" applyFont="1" applyBorder="1" applyAlignment="1" applyProtection="1">
      <alignment horizontal="center" vertical="center" shrinkToFit="1"/>
    </xf>
    <xf numFmtId="178" fontId="3" fillId="0" borderId="111" xfId="0" applyNumberFormat="1" applyFont="1" applyBorder="1" applyProtection="1">
      <alignment vertical="center"/>
      <protection locked="0"/>
    </xf>
    <xf numFmtId="178" fontId="3" fillId="0" borderId="112" xfId="0" applyNumberFormat="1" applyFont="1" applyBorder="1" applyProtection="1">
      <alignment vertical="center"/>
      <protection locked="0"/>
    </xf>
    <xf numFmtId="178" fontId="3" fillId="2" borderId="7" xfId="0" applyNumberFormat="1" applyFont="1" applyFill="1" applyBorder="1" applyAlignment="1" applyProtection="1">
      <alignment vertical="center"/>
    </xf>
    <xf numFmtId="178" fontId="3" fillId="2" borderId="8" xfId="0" applyNumberFormat="1" applyFont="1" applyFill="1" applyBorder="1" applyAlignment="1" applyProtection="1">
      <alignment vertical="center"/>
    </xf>
    <xf numFmtId="178" fontId="3" fillId="2" borderId="2" xfId="0" applyNumberFormat="1" applyFont="1" applyFill="1" applyBorder="1" applyAlignment="1" applyProtection="1">
      <alignment vertical="center"/>
    </xf>
    <xf numFmtId="178" fontId="3" fillId="2" borderId="24" xfId="0" applyNumberFormat="1" applyFont="1" applyFill="1" applyBorder="1" applyAlignment="1" applyProtection="1">
      <alignment vertical="center"/>
    </xf>
    <xf numFmtId="0" fontId="7" fillId="0" borderId="46"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57" xfId="0" applyFont="1" applyBorder="1" applyAlignment="1" applyProtection="1">
      <alignment horizontal="center" vertical="center"/>
    </xf>
    <xf numFmtId="178" fontId="3" fillId="2" borderId="46" xfId="0" applyNumberFormat="1" applyFont="1" applyFill="1" applyBorder="1" applyAlignment="1" applyProtection="1">
      <alignment vertical="center"/>
    </xf>
    <xf numFmtId="178" fontId="3" fillId="2" borderId="57" xfId="0" applyNumberFormat="1" applyFont="1" applyFill="1" applyBorder="1" applyAlignment="1" applyProtection="1">
      <alignment vertical="center"/>
    </xf>
    <xf numFmtId="178" fontId="3" fillId="2" borderId="2" xfId="0" applyNumberFormat="1" applyFont="1" applyFill="1" applyBorder="1" applyAlignment="1" applyProtection="1">
      <alignment horizontal="right" vertical="center"/>
    </xf>
    <xf numFmtId="178" fontId="3" fillId="2" borderId="8" xfId="0" applyNumberFormat="1" applyFont="1" applyFill="1" applyBorder="1" applyAlignment="1" applyProtection="1">
      <alignment horizontal="right" vertical="center"/>
    </xf>
    <xf numFmtId="178" fontId="3" fillId="2" borderId="1" xfId="0" applyNumberFormat="1" applyFont="1" applyFill="1" applyBorder="1" applyAlignment="1" applyProtection="1">
      <alignment vertical="center"/>
    </xf>
    <xf numFmtId="198" fontId="3" fillId="2" borderId="59" xfId="0" applyNumberFormat="1" applyFont="1" applyFill="1" applyBorder="1" applyAlignment="1" applyProtection="1">
      <alignment vertical="center"/>
    </xf>
    <xf numFmtId="198" fontId="3" fillId="2" borderId="86" xfId="0" applyNumberFormat="1" applyFont="1" applyFill="1" applyBorder="1" applyAlignment="1" applyProtection="1">
      <alignment vertical="center"/>
    </xf>
    <xf numFmtId="0" fontId="7" fillId="0" borderId="59" xfId="0" applyFont="1" applyBorder="1" applyAlignment="1" applyProtection="1">
      <alignment horizontal="center" vertical="center" shrinkToFit="1"/>
    </xf>
    <xf numFmtId="0" fontId="7" fillId="0" borderId="16" xfId="0" applyFont="1" applyBorder="1" applyAlignment="1" applyProtection="1">
      <alignment horizontal="center" vertical="center" shrinkToFit="1"/>
    </xf>
    <xf numFmtId="0" fontId="7" fillId="0" borderId="86" xfId="0" applyFont="1" applyBorder="1" applyAlignment="1" applyProtection="1">
      <alignment horizontal="center" vertical="center" shrinkToFit="1"/>
    </xf>
    <xf numFmtId="178" fontId="3" fillId="2" borderId="16" xfId="0" applyNumberFormat="1" applyFont="1" applyFill="1" applyBorder="1" applyAlignment="1" applyProtection="1">
      <alignment vertical="center"/>
    </xf>
    <xf numFmtId="178" fontId="3" fillId="2" borderId="113" xfId="0" applyNumberFormat="1" applyFont="1" applyFill="1" applyBorder="1" applyAlignment="1" applyProtection="1">
      <alignment horizontal="right" vertical="center"/>
    </xf>
    <xf numFmtId="178" fontId="3" fillId="2" borderId="1" xfId="0" applyNumberFormat="1" applyFont="1" applyFill="1" applyBorder="1" applyAlignment="1" applyProtection="1">
      <alignment horizontal="right" vertical="center"/>
    </xf>
    <xf numFmtId="179" fontId="73" fillId="0" borderId="22" xfId="0" applyNumberFormat="1" applyFont="1" applyFill="1" applyBorder="1" applyAlignment="1">
      <alignment horizontal="right" vertical="center"/>
    </xf>
    <xf numFmtId="179" fontId="73" fillId="0" borderId="24" xfId="0" applyNumberFormat="1" applyFont="1" applyFill="1" applyBorder="1" applyAlignment="1">
      <alignment horizontal="right" vertical="center"/>
    </xf>
    <xf numFmtId="182" fontId="79" fillId="13" borderId="239" xfId="0" applyNumberFormat="1" applyFont="1" applyFill="1" applyBorder="1" applyAlignment="1">
      <alignment horizontal="right" vertical="center" shrinkToFit="1"/>
    </xf>
    <xf numFmtId="182" fontId="79" fillId="13" borderId="164" xfId="0" applyNumberFormat="1" applyFont="1" applyFill="1" applyBorder="1" applyAlignment="1">
      <alignment horizontal="right" vertical="center" shrinkToFit="1"/>
    </xf>
    <xf numFmtId="0" fontId="77" fillId="0" borderId="235" xfId="0" applyFont="1" applyFill="1" applyBorder="1" applyAlignment="1">
      <alignment horizontal="center" vertical="center"/>
    </xf>
    <xf numFmtId="0" fontId="77" fillId="0" borderId="59" xfId="0" applyFont="1" applyFill="1" applyBorder="1" applyAlignment="1">
      <alignment horizontal="center" vertical="center"/>
    </xf>
    <xf numFmtId="0" fontId="75" fillId="0" borderId="230" xfId="0" applyFont="1" applyFill="1" applyBorder="1" applyAlignment="1">
      <alignment horizontal="center" vertical="center"/>
    </xf>
    <xf numFmtId="0" fontId="75" fillId="0" borderId="222" xfId="0" applyFont="1" applyFill="1" applyBorder="1" applyAlignment="1">
      <alignment horizontal="center" vertical="center"/>
    </xf>
    <xf numFmtId="0" fontId="75" fillId="0" borderId="61" xfId="0" applyFont="1" applyFill="1" applyBorder="1" applyAlignment="1">
      <alignment horizontal="center" vertical="center"/>
    </xf>
    <xf numFmtId="0" fontId="76" fillId="0" borderId="113" xfId="0" applyFont="1" applyFill="1" applyBorder="1" applyAlignment="1">
      <alignment horizontal="center" vertical="center" wrapText="1"/>
    </xf>
    <xf numFmtId="0" fontId="75" fillId="0" borderId="2" xfId="0" applyFont="1" applyFill="1" applyBorder="1" applyAlignment="1">
      <alignment horizontal="center" vertical="center"/>
    </xf>
    <xf numFmtId="0" fontId="75" fillId="0" borderId="8" xfId="0" applyFont="1" applyFill="1" applyBorder="1" applyAlignment="1">
      <alignment horizontal="center" vertical="center"/>
    </xf>
    <xf numFmtId="178" fontId="3" fillId="2" borderId="2" xfId="0" applyNumberFormat="1" applyFont="1" applyFill="1" applyBorder="1" applyAlignment="1" applyProtection="1">
      <alignment vertical="center"/>
      <protection locked="0"/>
    </xf>
    <xf numFmtId="178" fontId="3" fillId="2" borderId="8" xfId="0" applyNumberFormat="1" applyFont="1" applyFill="1" applyBorder="1" applyAlignment="1" applyProtection="1">
      <alignment vertical="center"/>
      <protection locked="0"/>
    </xf>
    <xf numFmtId="178" fontId="3" fillId="2" borderId="7" xfId="0" applyNumberFormat="1" applyFont="1" applyFill="1" applyBorder="1" applyAlignment="1" applyProtection="1">
      <alignment vertical="center"/>
      <protection locked="0"/>
    </xf>
    <xf numFmtId="178" fontId="3" fillId="2" borderId="2" xfId="0" applyNumberFormat="1" applyFont="1" applyFill="1" applyBorder="1" applyAlignment="1" applyProtection="1">
      <alignment horizontal="right" vertical="center"/>
      <protection locked="0"/>
    </xf>
    <xf numFmtId="178" fontId="3" fillId="2" borderId="8" xfId="0" applyNumberFormat="1" applyFont="1" applyFill="1" applyBorder="1" applyAlignment="1" applyProtection="1">
      <alignment horizontal="right" vertical="center"/>
      <protection locked="0"/>
    </xf>
    <xf numFmtId="178" fontId="3" fillId="0" borderId="111" xfId="0" applyNumberFormat="1" applyFont="1" applyBorder="1" applyAlignment="1" applyProtection="1">
      <alignment vertical="center"/>
      <protection locked="0"/>
    </xf>
    <xf numFmtId="178" fontId="3" fillId="0" borderId="112" xfId="0" applyNumberFormat="1" applyFont="1" applyBorder="1" applyAlignment="1" applyProtection="1">
      <alignment vertical="center"/>
      <protection locked="0"/>
    </xf>
    <xf numFmtId="0" fontId="0" fillId="0" borderId="16" xfId="0" applyBorder="1" applyAlignment="1" applyProtection="1">
      <alignment horizontal="center" vertical="center" wrapText="1"/>
    </xf>
    <xf numFmtId="0" fontId="0" fillId="0" borderId="116" xfId="0" applyBorder="1" applyAlignment="1" applyProtection="1">
      <alignment horizontal="center" vertical="center" wrapText="1"/>
    </xf>
    <xf numFmtId="0" fontId="5" fillId="2" borderId="2"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0" fillId="0" borderId="0" xfId="0" applyBorder="1" applyAlignment="1" applyProtection="1">
      <alignment horizontal="center" vertical="center"/>
      <protection locked="0"/>
    </xf>
    <xf numFmtId="0" fontId="4" fillId="0" borderId="23" xfId="0" applyFont="1" applyBorder="1" applyAlignment="1" applyProtection="1">
      <alignment horizontal="center" vertical="center" wrapText="1"/>
    </xf>
    <xf numFmtId="0" fontId="4" fillId="0" borderId="59" xfId="0" applyFont="1" applyBorder="1" applyAlignment="1" applyProtection="1">
      <alignment horizontal="center" vertical="center" wrapText="1"/>
    </xf>
    <xf numFmtId="186" fontId="7" fillId="0" borderId="108" xfId="0" applyNumberFormat="1" applyFont="1" applyBorder="1" applyAlignment="1" applyProtection="1">
      <alignment horizontal="center" vertical="center" shrinkToFit="1"/>
    </xf>
    <xf numFmtId="186" fontId="7" fillId="0" borderId="109" xfId="0" applyNumberFormat="1" applyFont="1" applyBorder="1" applyAlignment="1" applyProtection="1">
      <alignment horizontal="center" vertical="center" shrinkToFit="1"/>
    </xf>
    <xf numFmtId="186" fontId="7" fillId="0" borderId="110" xfId="0" applyNumberFormat="1" applyFont="1" applyBorder="1" applyAlignment="1" applyProtection="1">
      <alignment horizontal="center" vertical="center" shrinkToFit="1"/>
    </xf>
  </cellXfs>
  <cellStyles count="4">
    <cellStyle name="桁区切り" xfId="1" builtinId="6"/>
    <cellStyle name="標準" xfId="0" builtinId="0"/>
    <cellStyle name="標準 2" xfId="3" xr:uid="{91A5394A-07E5-4E86-A343-569B82DDF3BE}"/>
    <cellStyle name="標準 6" xfId="2" xr:uid="{00000000-0005-0000-0000-000002000000}"/>
  </cellStyles>
  <dxfs count="36">
    <dxf>
      <fill>
        <patternFill>
          <bgColor theme="0"/>
        </patternFill>
      </fill>
    </dxf>
    <dxf>
      <fill>
        <patternFill>
          <bgColor theme="1" tint="0.499984740745262"/>
        </patternFill>
      </fill>
    </dxf>
    <dxf>
      <fill>
        <patternFill patternType="solid">
          <bgColor rgb="FFFFFF00"/>
        </patternFill>
      </fill>
    </dxf>
    <dxf>
      <fill>
        <patternFill>
          <bgColor rgb="FFFFFF00"/>
        </patternFill>
      </fill>
    </dxf>
    <dxf>
      <font>
        <color rgb="FF9C0006"/>
      </font>
      <fill>
        <patternFill>
          <bgColor rgb="FFFFC7CE"/>
        </patternFill>
      </fill>
    </dxf>
    <dxf>
      <font>
        <b/>
        <i val="0"/>
        <color rgb="FF9C0006"/>
      </font>
      <fill>
        <patternFill>
          <bgColor rgb="FFFFC7CE"/>
        </patternFill>
      </fill>
    </dxf>
    <dxf>
      <font>
        <b/>
        <i val="0"/>
        <color theme="1"/>
      </font>
      <fill>
        <patternFill>
          <bgColor theme="8" tint="0.79998168889431442"/>
        </patternFill>
      </fill>
    </dxf>
    <dxf>
      <font>
        <b/>
        <i val="0"/>
        <color rgb="FF9C0006"/>
      </font>
      <fill>
        <patternFill>
          <bgColor rgb="FFFFC7CE"/>
        </patternFill>
      </fill>
    </dxf>
    <dxf>
      <font>
        <b/>
        <i val="0"/>
        <color theme="1"/>
      </font>
      <fill>
        <patternFill>
          <bgColor theme="8" tint="0.79998168889431442"/>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DAEEF3"/>
      <color rgb="FFCCECFF"/>
      <color rgb="FFCCFFFF"/>
      <color rgb="FFD9D9D9"/>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43</xdr:col>
      <xdr:colOff>50061</xdr:colOff>
      <xdr:row>5</xdr:row>
      <xdr:rowOff>657701</xdr:rowOff>
    </xdr:from>
    <xdr:to>
      <xdr:col>43</xdr:col>
      <xdr:colOff>557613</xdr:colOff>
      <xdr:row>6</xdr:row>
      <xdr:rowOff>7243</xdr:rowOff>
    </xdr:to>
    <xdr:sp macro="" textlink="">
      <xdr:nvSpPr>
        <xdr:cNvPr id="30721" name="Text Box 1">
          <a:extLst>
            <a:ext uri="{FF2B5EF4-FFF2-40B4-BE49-F238E27FC236}">
              <a16:creationId xmlns:a16="http://schemas.microsoft.com/office/drawing/2014/main" id="{D921860C-AFC6-4772-ABFF-4EB5935E4CC2}"/>
            </a:ext>
          </a:extLst>
        </xdr:cNvPr>
        <xdr:cNvSpPr txBox="1">
          <a:spLocks noChangeArrowheads="1"/>
        </xdr:cNvSpPr>
      </xdr:nvSpPr>
      <xdr:spPr bwMode="auto">
        <a:xfrm>
          <a:off x="26159144" y="3303534"/>
          <a:ext cx="507552" cy="280876"/>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a:t>
          </a:r>
          <a:endParaRPr lang="ja-JP" altLang="en-US"/>
        </a:p>
      </xdr:txBody>
    </xdr:sp>
    <xdr:clientData/>
  </xdr:twoCellAnchor>
  <xdr:twoCellAnchor>
    <xdr:from>
      <xdr:col>62</xdr:col>
      <xdr:colOff>40005</xdr:colOff>
      <xdr:row>5</xdr:row>
      <xdr:rowOff>677545</xdr:rowOff>
    </xdr:from>
    <xdr:to>
      <xdr:col>62</xdr:col>
      <xdr:colOff>643299</xdr:colOff>
      <xdr:row>6</xdr:row>
      <xdr:rowOff>24442</xdr:rowOff>
    </xdr:to>
    <xdr:sp macro="" textlink="">
      <xdr:nvSpPr>
        <xdr:cNvPr id="30722" name="Text Box 2">
          <a:extLst>
            <a:ext uri="{FF2B5EF4-FFF2-40B4-BE49-F238E27FC236}">
              <a16:creationId xmlns:a16="http://schemas.microsoft.com/office/drawing/2014/main" id="{0E5F07D1-6C1B-41A8-8BD3-727E115F31A6}"/>
            </a:ext>
          </a:extLst>
        </xdr:cNvPr>
        <xdr:cNvSpPr txBox="1">
          <a:spLocks noChangeArrowheads="1"/>
        </xdr:cNvSpPr>
      </xdr:nvSpPr>
      <xdr:spPr bwMode="auto">
        <a:xfrm>
          <a:off x="35779922" y="3323378"/>
          <a:ext cx="603294" cy="278231"/>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C</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57</xdr:col>
      <xdr:colOff>253047</xdr:colOff>
      <xdr:row>5</xdr:row>
      <xdr:rowOff>562768</xdr:rowOff>
    </xdr:from>
    <xdr:to>
      <xdr:col>58</xdr:col>
      <xdr:colOff>432593</xdr:colOff>
      <xdr:row>5</xdr:row>
      <xdr:rowOff>858358</xdr:rowOff>
    </xdr:to>
    <xdr:sp macro="" textlink="">
      <xdr:nvSpPr>
        <xdr:cNvPr id="30724" name="Text Box 4">
          <a:extLst>
            <a:ext uri="{FF2B5EF4-FFF2-40B4-BE49-F238E27FC236}">
              <a16:creationId xmlns:a16="http://schemas.microsoft.com/office/drawing/2014/main" id="{6F0CE292-13F2-4968-99EE-7DB561C29B34}"/>
            </a:ext>
          </a:extLst>
        </xdr:cNvPr>
        <xdr:cNvSpPr txBox="1">
          <a:spLocks noChangeArrowheads="1"/>
        </xdr:cNvSpPr>
      </xdr:nvSpPr>
      <xdr:spPr bwMode="auto">
        <a:xfrm>
          <a:off x="33135464" y="3208601"/>
          <a:ext cx="803962" cy="295590"/>
        </a:xfrm>
        <a:prstGeom prst="rect">
          <a:avLst/>
        </a:prstGeom>
        <a:noFill/>
        <a:ln>
          <a:noFill/>
        </a:ln>
      </xdr:spPr>
      <xdr:txBody>
        <a:bodyPr vertOverflow="clip" wrap="square" lIns="27432" tIns="18288" rIns="27432" bIns="0" anchor="t" upright="1"/>
        <a:lstStyle/>
        <a:p>
          <a:pPr algn="ctr" rtl="0">
            <a:lnSpc>
              <a:spcPts val="1200"/>
            </a:lnSpc>
            <a:defRPr sz="1000"/>
          </a:pPr>
          <a:r>
            <a:rPr lang="ja-JP" altLang="en-US" sz="1000" b="1" i="0" u="none" strike="noStrike" baseline="0">
              <a:solidFill>
                <a:srgbClr val="000000"/>
              </a:solidFill>
              <a:latin typeface="ＭＳ Ｐゴシック"/>
              <a:ea typeface="ＭＳ Ｐゴシック"/>
            </a:rPr>
            <a:t>(様式３)</a:t>
          </a:r>
          <a:endParaRPr lang="ja-JP" altLang="en-US"/>
        </a:p>
      </xdr:txBody>
    </xdr:sp>
    <xdr:clientData/>
  </xdr:twoCellAnchor>
  <xdr:twoCellAnchor>
    <xdr:from>
      <xdr:col>62</xdr:col>
      <xdr:colOff>35719</xdr:colOff>
      <xdr:row>5</xdr:row>
      <xdr:rowOff>352902</xdr:rowOff>
    </xdr:from>
    <xdr:to>
      <xdr:col>62</xdr:col>
      <xdr:colOff>635000</xdr:colOff>
      <xdr:row>5</xdr:row>
      <xdr:rowOff>695802</xdr:rowOff>
    </xdr:to>
    <xdr:sp macro="" textlink="">
      <xdr:nvSpPr>
        <xdr:cNvPr id="30725" name="Text Box 5">
          <a:extLst>
            <a:ext uri="{FF2B5EF4-FFF2-40B4-BE49-F238E27FC236}">
              <a16:creationId xmlns:a16="http://schemas.microsoft.com/office/drawing/2014/main" id="{1D823955-8290-404E-B7A4-ECCD1605188A}"/>
            </a:ext>
          </a:extLst>
        </xdr:cNvPr>
        <xdr:cNvSpPr txBox="1">
          <a:spLocks noChangeArrowheads="1"/>
        </xdr:cNvSpPr>
      </xdr:nvSpPr>
      <xdr:spPr bwMode="auto">
        <a:xfrm>
          <a:off x="35775636" y="2998735"/>
          <a:ext cx="599281" cy="342900"/>
        </a:xfrm>
        <a:prstGeom prst="rect">
          <a:avLst/>
        </a:prstGeom>
        <a:noFill/>
        <a:ln>
          <a:noFill/>
        </a:ln>
      </xdr:spPr>
      <xdr:txBody>
        <a:bodyPr vertOverflow="clip" wrap="square" lIns="27432" tIns="18288" rIns="27432" bIns="0" anchor="t" upright="1"/>
        <a:lstStyle/>
        <a:p>
          <a:pPr marL="0" marR="0" lvl="0" indent="0" algn="ctr" defTabSz="914400" rtl="0" eaLnBrk="1" fontAlgn="auto" latinLnBrk="0" hangingPunct="1">
            <a:lnSpc>
              <a:spcPts val="1000"/>
            </a:lnSpc>
            <a:spcBef>
              <a:spcPts val="0"/>
            </a:spcBef>
            <a:spcAft>
              <a:spcPts val="0"/>
            </a:spcAft>
            <a:buClrTx/>
            <a:buSzTx/>
            <a:buFontTx/>
            <a:buNone/>
            <a:tabLst/>
            <a:defRPr sz="1000"/>
          </a:pPr>
          <a:r>
            <a:rPr lang="ja-JP" altLang="en-US" sz="1100" b="1" i="0" u="none" strike="noStrike" baseline="0">
              <a:solidFill>
                <a:sysClr val="windowText" lastClr="000000"/>
              </a:solidFill>
              <a:effectLst/>
              <a:latin typeface="+mn-lt"/>
              <a:ea typeface="+mn-ea"/>
              <a:cs typeface="+mn-cs"/>
            </a:rPr>
            <a:t>⑰</a:t>
          </a:r>
          <a:r>
            <a:rPr lang="ja-JP" altLang="en-US" sz="1050" b="1" i="0" u="none" strike="noStrike" baseline="0">
              <a:solidFill>
                <a:srgbClr val="000000"/>
              </a:solidFill>
              <a:latin typeface="ＭＳ Ｐゴシック"/>
              <a:ea typeface="ＭＳ Ｐゴシック"/>
            </a:rPr>
            <a:t>～</a:t>
          </a:r>
          <a:r>
            <a:rPr lang="ja-JP" altLang="en-US" sz="1100" b="1" i="0" u="none" strike="noStrike" baseline="0">
              <a:solidFill>
                <a:sysClr val="windowText" lastClr="000000"/>
              </a:solidFill>
              <a:effectLst/>
              <a:latin typeface="+mn-lt"/>
              <a:ea typeface="+mn-ea"/>
              <a:cs typeface="+mn-cs"/>
            </a:rPr>
            <a:t>⑳</a:t>
          </a:r>
          <a:r>
            <a:rPr lang="ja-JP" altLang="en-US" sz="1050" b="1" i="0" u="none" strike="noStrike" baseline="0">
              <a:solidFill>
                <a:srgbClr val="000000"/>
              </a:solidFill>
              <a:latin typeface="ＭＳ Ｐゴシック"/>
              <a:ea typeface="ＭＳ Ｐゴシック"/>
            </a:rPr>
            <a:t>の合計</a:t>
          </a:r>
          <a:endParaRPr lang="ja-JP" altLang="en-US" sz="1100"/>
        </a:p>
      </xdr:txBody>
    </xdr:sp>
    <xdr:clientData/>
  </xdr:twoCellAnchor>
  <xdr:twoCellAnchor>
    <xdr:from>
      <xdr:col>46</xdr:col>
      <xdr:colOff>20955</xdr:colOff>
      <xdr:row>5</xdr:row>
      <xdr:rowOff>695325</xdr:rowOff>
    </xdr:from>
    <xdr:to>
      <xdr:col>46</xdr:col>
      <xdr:colOff>499599</xdr:colOff>
      <xdr:row>6</xdr:row>
      <xdr:rowOff>0</xdr:rowOff>
    </xdr:to>
    <xdr:sp macro="" textlink="">
      <xdr:nvSpPr>
        <xdr:cNvPr id="30730" name="Text Box 10">
          <a:extLst>
            <a:ext uri="{FF2B5EF4-FFF2-40B4-BE49-F238E27FC236}">
              <a16:creationId xmlns:a16="http://schemas.microsoft.com/office/drawing/2014/main" id="{741D56E3-8199-4F2C-914A-6C42C57B088E}"/>
            </a:ext>
          </a:extLst>
        </xdr:cNvPr>
        <xdr:cNvSpPr txBox="1">
          <a:spLocks noChangeArrowheads="1"/>
        </xdr:cNvSpPr>
      </xdr:nvSpPr>
      <xdr:spPr bwMode="auto">
        <a:xfrm>
          <a:off x="27939788" y="3341158"/>
          <a:ext cx="478644" cy="236009"/>
        </a:xfrm>
        <a:prstGeom prst="rect">
          <a:avLst/>
        </a:prstGeom>
        <a:noFill/>
        <a:ln>
          <a:noFill/>
        </a:ln>
      </xdr:spPr>
      <xdr:txBody>
        <a:bodyPr vertOverflow="clip" wrap="square" lIns="36576" tIns="18288" rIns="36576" bIns="0" anchor="t" upright="1"/>
        <a:lstStyle/>
        <a:p>
          <a:pPr algn="ctr" rtl="0">
            <a:defRPr sz="1000"/>
          </a:pPr>
          <a:endParaRPr lang="ja-JP" altLang="en-US"/>
        </a:p>
      </xdr:txBody>
    </xdr:sp>
    <xdr:clientData/>
  </xdr:twoCellAnchor>
  <xdr:twoCellAnchor>
    <xdr:from>
      <xdr:col>22</xdr:col>
      <xdr:colOff>328080</xdr:colOff>
      <xdr:row>5</xdr:row>
      <xdr:rowOff>685799</xdr:rowOff>
    </xdr:from>
    <xdr:to>
      <xdr:col>23</xdr:col>
      <xdr:colOff>329138</xdr:colOff>
      <xdr:row>5</xdr:row>
      <xdr:rowOff>930274</xdr:rowOff>
    </xdr:to>
    <xdr:sp macro="" textlink="">
      <xdr:nvSpPr>
        <xdr:cNvPr id="16" name="Text Box 9">
          <a:extLst>
            <a:ext uri="{FF2B5EF4-FFF2-40B4-BE49-F238E27FC236}">
              <a16:creationId xmlns:a16="http://schemas.microsoft.com/office/drawing/2014/main" id="{48B590D7-63C5-4F89-82BA-AC0E87DE5B03}"/>
            </a:ext>
          </a:extLst>
        </xdr:cNvPr>
        <xdr:cNvSpPr txBox="1">
          <a:spLocks noChangeArrowheads="1"/>
        </xdr:cNvSpPr>
      </xdr:nvSpPr>
      <xdr:spPr bwMode="auto">
        <a:xfrm>
          <a:off x="13684247" y="3331632"/>
          <a:ext cx="604308" cy="2444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①</a:t>
          </a:r>
          <a:endParaRPr lang="ja-JP" altLang="en-US"/>
        </a:p>
      </xdr:txBody>
    </xdr:sp>
    <xdr:clientData/>
  </xdr:twoCellAnchor>
  <xdr:twoCellAnchor>
    <xdr:from>
      <xdr:col>27</xdr:col>
      <xdr:colOff>10582</xdr:colOff>
      <xdr:row>5</xdr:row>
      <xdr:rowOff>696383</xdr:rowOff>
    </xdr:from>
    <xdr:to>
      <xdr:col>27</xdr:col>
      <xdr:colOff>592665</xdr:colOff>
      <xdr:row>5</xdr:row>
      <xdr:rowOff>931332</xdr:rowOff>
    </xdr:to>
    <xdr:sp macro="" textlink="">
      <xdr:nvSpPr>
        <xdr:cNvPr id="17" name="Text Box 9">
          <a:extLst>
            <a:ext uri="{FF2B5EF4-FFF2-40B4-BE49-F238E27FC236}">
              <a16:creationId xmlns:a16="http://schemas.microsoft.com/office/drawing/2014/main" id="{AA122886-ADF2-4646-9381-547283EC9765}"/>
            </a:ext>
          </a:extLst>
        </xdr:cNvPr>
        <xdr:cNvSpPr txBox="1">
          <a:spLocks noChangeArrowheads="1"/>
        </xdr:cNvSpPr>
      </xdr:nvSpPr>
      <xdr:spPr bwMode="auto">
        <a:xfrm>
          <a:off x="16382999" y="3342216"/>
          <a:ext cx="582083" cy="23494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②</a:t>
          </a:r>
          <a:endParaRPr lang="ja-JP" altLang="en-US"/>
        </a:p>
      </xdr:txBody>
    </xdr:sp>
    <xdr:clientData/>
  </xdr:twoCellAnchor>
  <xdr:twoCellAnchor>
    <xdr:from>
      <xdr:col>29</xdr:col>
      <xdr:colOff>19577</xdr:colOff>
      <xdr:row>5</xdr:row>
      <xdr:rowOff>698500</xdr:rowOff>
    </xdr:from>
    <xdr:to>
      <xdr:col>29</xdr:col>
      <xdr:colOff>599014</xdr:colOff>
      <xdr:row>5</xdr:row>
      <xdr:rowOff>920750</xdr:rowOff>
    </xdr:to>
    <xdr:sp macro="" textlink="">
      <xdr:nvSpPr>
        <xdr:cNvPr id="19" name="Text Box 9">
          <a:extLst>
            <a:ext uri="{FF2B5EF4-FFF2-40B4-BE49-F238E27FC236}">
              <a16:creationId xmlns:a16="http://schemas.microsoft.com/office/drawing/2014/main" id="{85A35011-7778-414C-910B-FFBD7D99DEBA}"/>
            </a:ext>
          </a:extLst>
        </xdr:cNvPr>
        <xdr:cNvSpPr txBox="1">
          <a:spLocks noChangeArrowheads="1"/>
        </xdr:cNvSpPr>
      </xdr:nvSpPr>
      <xdr:spPr bwMode="auto">
        <a:xfrm>
          <a:off x="17598494" y="3344333"/>
          <a:ext cx="579437" cy="22225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③</a:t>
          </a:r>
          <a:endParaRPr lang="ja-JP" altLang="en-US"/>
        </a:p>
      </xdr:txBody>
    </xdr:sp>
    <xdr:clientData/>
  </xdr:twoCellAnchor>
  <xdr:twoCellAnchor>
    <xdr:from>
      <xdr:col>30</xdr:col>
      <xdr:colOff>11375</xdr:colOff>
      <xdr:row>5</xdr:row>
      <xdr:rowOff>698500</xdr:rowOff>
    </xdr:from>
    <xdr:to>
      <xdr:col>31</xdr:col>
      <xdr:colOff>0</xdr:colOff>
      <xdr:row>6</xdr:row>
      <xdr:rowOff>1</xdr:rowOff>
    </xdr:to>
    <xdr:sp macro="" textlink="">
      <xdr:nvSpPr>
        <xdr:cNvPr id="20" name="Text Box 9">
          <a:extLst>
            <a:ext uri="{FF2B5EF4-FFF2-40B4-BE49-F238E27FC236}">
              <a16:creationId xmlns:a16="http://schemas.microsoft.com/office/drawing/2014/main" id="{F54E0451-A63E-4C9E-A28B-C3F263FE1211}"/>
            </a:ext>
          </a:extLst>
        </xdr:cNvPr>
        <xdr:cNvSpPr txBox="1">
          <a:spLocks noChangeArrowheads="1"/>
        </xdr:cNvSpPr>
      </xdr:nvSpPr>
      <xdr:spPr bwMode="auto">
        <a:xfrm>
          <a:off x="18193542" y="3344333"/>
          <a:ext cx="591875" cy="23283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④</a:t>
          </a:r>
          <a:endParaRPr lang="ja-JP" altLang="en-US"/>
        </a:p>
      </xdr:txBody>
    </xdr:sp>
    <xdr:clientData/>
  </xdr:twoCellAnchor>
  <xdr:twoCellAnchor>
    <xdr:from>
      <xdr:col>33</xdr:col>
      <xdr:colOff>8732</xdr:colOff>
      <xdr:row>5</xdr:row>
      <xdr:rowOff>686063</xdr:rowOff>
    </xdr:from>
    <xdr:to>
      <xdr:col>34</xdr:col>
      <xdr:colOff>16933</xdr:colOff>
      <xdr:row>5</xdr:row>
      <xdr:rowOff>928421</xdr:rowOff>
    </xdr:to>
    <xdr:sp macro="" textlink="">
      <xdr:nvSpPr>
        <xdr:cNvPr id="21" name="Text Box 9">
          <a:extLst>
            <a:ext uri="{FF2B5EF4-FFF2-40B4-BE49-F238E27FC236}">
              <a16:creationId xmlns:a16="http://schemas.microsoft.com/office/drawing/2014/main" id="{BE092B9B-6E77-4A03-A0D9-0E24192D002C}"/>
            </a:ext>
          </a:extLst>
        </xdr:cNvPr>
        <xdr:cNvSpPr txBox="1">
          <a:spLocks noChangeArrowheads="1"/>
        </xdr:cNvSpPr>
      </xdr:nvSpPr>
      <xdr:spPr bwMode="auto">
        <a:xfrm>
          <a:off x="20000649" y="3331896"/>
          <a:ext cx="611451" cy="242358"/>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⑤</a:t>
          </a:r>
          <a:endParaRPr lang="ja-JP" altLang="en-US"/>
        </a:p>
      </xdr:txBody>
    </xdr:sp>
    <xdr:clientData/>
  </xdr:twoCellAnchor>
  <xdr:twoCellAnchor>
    <xdr:from>
      <xdr:col>35</xdr:col>
      <xdr:colOff>73290</xdr:colOff>
      <xdr:row>5</xdr:row>
      <xdr:rowOff>688447</xdr:rowOff>
    </xdr:from>
    <xdr:to>
      <xdr:col>35</xdr:col>
      <xdr:colOff>540017</xdr:colOff>
      <xdr:row>6</xdr:row>
      <xdr:rowOff>4234</xdr:rowOff>
    </xdr:to>
    <xdr:sp macro="" textlink="">
      <xdr:nvSpPr>
        <xdr:cNvPr id="22" name="Text Box 9">
          <a:extLst>
            <a:ext uri="{FF2B5EF4-FFF2-40B4-BE49-F238E27FC236}">
              <a16:creationId xmlns:a16="http://schemas.microsoft.com/office/drawing/2014/main" id="{7A07E71C-8092-47CB-9206-3C55DFDC5595}"/>
            </a:ext>
          </a:extLst>
        </xdr:cNvPr>
        <xdr:cNvSpPr txBox="1">
          <a:spLocks noChangeArrowheads="1"/>
        </xdr:cNvSpPr>
      </xdr:nvSpPr>
      <xdr:spPr bwMode="auto">
        <a:xfrm>
          <a:off x="21271707" y="3334280"/>
          <a:ext cx="466727" cy="247121"/>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endParaRPr lang="en-US" altLang="ja-JP" sz="1200" b="1" i="0" u="none" strike="noStrike" baseline="0">
            <a:solidFill>
              <a:srgbClr val="000000"/>
            </a:solidFill>
            <a:latin typeface="ＭＳ Ｐゴシック"/>
            <a:ea typeface="ＭＳ Ｐゴシック"/>
          </a:endParaRPr>
        </a:p>
      </xdr:txBody>
    </xdr:sp>
    <xdr:clientData/>
  </xdr:twoCellAnchor>
  <xdr:twoCellAnchor>
    <xdr:from>
      <xdr:col>38</xdr:col>
      <xdr:colOff>43706</xdr:colOff>
      <xdr:row>5</xdr:row>
      <xdr:rowOff>685318</xdr:rowOff>
    </xdr:from>
    <xdr:to>
      <xdr:col>38</xdr:col>
      <xdr:colOff>592667</xdr:colOff>
      <xdr:row>5</xdr:row>
      <xdr:rowOff>888999</xdr:rowOff>
    </xdr:to>
    <xdr:sp macro="" textlink="">
      <xdr:nvSpPr>
        <xdr:cNvPr id="23" name="Text Box 9">
          <a:extLst>
            <a:ext uri="{FF2B5EF4-FFF2-40B4-BE49-F238E27FC236}">
              <a16:creationId xmlns:a16="http://schemas.microsoft.com/office/drawing/2014/main" id="{ADEEA588-EB96-4D6F-8853-1B343137CE93}"/>
            </a:ext>
          </a:extLst>
        </xdr:cNvPr>
        <xdr:cNvSpPr txBox="1">
          <a:spLocks noChangeArrowheads="1"/>
        </xdr:cNvSpPr>
      </xdr:nvSpPr>
      <xdr:spPr bwMode="auto">
        <a:xfrm>
          <a:off x="23136539" y="3331151"/>
          <a:ext cx="548961" cy="203681"/>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⑦</a:t>
          </a:r>
          <a:endParaRPr lang="ja-JP" altLang="en-US"/>
        </a:p>
      </xdr:txBody>
    </xdr:sp>
    <xdr:clientData/>
  </xdr:twoCellAnchor>
  <xdr:twoCellAnchor>
    <xdr:from>
      <xdr:col>46</xdr:col>
      <xdr:colOff>104243</xdr:colOff>
      <xdr:row>5</xdr:row>
      <xdr:rowOff>705909</xdr:rowOff>
    </xdr:from>
    <xdr:to>
      <xdr:col>46</xdr:col>
      <xdr:colOff>519640</xdr:colOff>
      <xdr:row>6</xdr:row>
      <xdr:rowOff>16934</xdr:rowOff>
    </xdr:to>
    <xdr:sp macro="" textlink="">
      <xdr:nvSpPr>
        <xdr:cNvPr id="24" name="Text Box 9">
          <a:extLst>
            <a:ext uri="{FF2B5EF4-FFF2-40B4-BE49-F238E27FC236}">
              <a16:creationId xmlns:a16="http://schemas.microsoft.com/office/drawing/2014/main" id="{AA8C4406-FEC4-4934-AA38-F557BE4F6106}"/>
            </a:ext>
          </a:extLst>
        </xdr:cNvPr>
        <xdr:cNvSpPr txBox="1">
          <a:spLocks noChangeArrowheads="1"/>
        </xdr:cNvSpPr>
      </xdr:nvSpPr>
      <xdr:spPr bwMode="auto">
        <a:xfrm>
          <a:off x="28023076" y="3351742"/>
          <a:ext cx="415397" cy="242359"/>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⑪</a:t>
          </a:r>
          <a:endParaRPr lang="ja-JP" altLang="en-US"/>
        </a:p>
      </xdr:txBody>
    </xdr:sp>
    <xdr:clientData/>
  </xdr:twoCellAnchor>
  <xdr:twoCellAnchor>
    <xdr:from>
      <xdr:col>66</xdr:col>
      <xdr:colOff>114302</xdr:colOff>
      <xdr:row>5</xdr:row>
      <xdr:rowOff>687916</xdr:rowOff>
    </xdr:from>
    <xdr:to>
      <xdr:col>66</xdr:col>
      <xdr:colOff>561977</xdr:colOff>
      <xdr:row>5</xdr:row>
      <xdr:rowOff>924982</xdr:rowOff>
    </xdr:to>
    <xdr:sp macro="" textlink="">
      <xdr:nvSpPr>
        <xdr:cNvPr id="25" name="Text Box 9">
          <a:extLst>
            <a:ext uri="{FF2B5EF4-FFF2-40B4-BE49-F238E27FC236}">
              <a16:creationId xmlns:a16="http://schemas.microsoft.com/office/drawing/2014/main" id="{E5F9F809-F3D1-4F93-9886-38BAA19DF919}"/>
            </a:ext>
          </a:extLst>
        </xdr:cNvPr>
        <xdr:cNvSpPr txBox="1">
          <a:spLocks noChangeArrowheads="1"/>
        </xdr:cNvSpPr>
      </xdr:nvSpPr>
      <xdr:spPr bwMode="auto">
        <a:xfrm>
          <a:off x="37981469" y="3333749"/>
          <a:ext cx="447675" cy="237066"/>
        </a:xfrm>
        <a:prstGeom prst="rect">
          <a:avLst/>
        </a:prstGeom>
        <a:noFill/>
        <a:ln>
          <a:noFill/>
        </a:ln>
      </xdr:spPr>
      <xdr:txBody>
        <a:bodyPr vertOverflow="clip" wrap="square" lIns="36576" tIns="18288" rIns="36576" bIns="0" anchor="t" upright="1"/>
        <a:lstStyle/>
        <a:p>
          <a:pPr algn="ctr" rtl="0">
            <a:defRPr sz="1000"/>
          </a:pPr>
          <a:r>
            <a:rPr lang="ja-JP" altLang="en-US" sz="1200" b="1" i="0" baseline="0">
              <a:effectLst/>
              <a:latin typeface="+mn-lt"/>
              <a:ea typeface="+mn-ea"/>
              <a:cs typeface="+mn-cs"/>
            </a:rPr>
            <a:t>㉑</a:t>
          </a:r>
          <a:endParaRPr lang="en-US" altLang="ja-JP" sz="1200" b="1" i="0" baseline="0">
            <a:effectLst/>
            <a:latin typeface="+mn-lt"/>
            <a:ea typeface="+mn-ea"/>
            <a:cs typeface="+mn-cs"/>
          </a:endParaRPr>
        </a:p>
        <a:p>
          <a:pPr algn="ctr" rtl="0">
            <a:defRPr sz="1000"/>
          </a:pPr>
          <a:endParaRPr lang="ja-JP" altLang="en-US" sz="1200"/>
        </a:p>
      </xdr:txBody>
    </xdr:sp>
    <xdr:clientData/>
  </xdr:twoCellAnchor>
  <xdr:twoCellAnchor>
    <xdr:from>
      <xdr:col>41</xdr:col>
      <xdr:colOff>82286</xdr:colOff>
      <xdr:row>5</xdr:row>
      <xdr:rowOff>668603</xdr:rowOff>
    </xdr:from>
    <xdr:to>
      <xdr:col>41</xdr:col>
      <xdr:colOff>523611</xdr:colOff>
      <xdr:row>5</xdr:row>
      <xdr:rowOff>910433</xdr:rowOff>
    </xdr:to>
    <xdr:sp macro="" textlink="">
      <xdr:nvSpPr>
        <xdr:cNvPr id="26" name="Text Box 9">
          <a:extLst>
            <a:ext uri="{FF2B5EF4-FFF2-40B4-BE49-F238E27FC236}">
              <a16:creationId xmlns:a16="http://schemas.microsoft.com/office/drawing/2014/main" id="{6A65FEF4-AC11-436B-8622-3A69884C369E}"/>
            </a:ext>
          </a:extLst>
        </xdr:cNvPr>
        <xdr:cNvSpPr txBox="1">
          <a:spLocks noChangeArrowheads="1"/>
        </xdr:cNvSpPr>
      </xdr:nvSpPr>
      <xdr:spPr bwMode="auto">
        <a:xfrm>
          <a:off x="24984869" y="3314436"/>
          <a:ext cx="441325" cy="24183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⑨</a:t>
          </a:r>
          <a:endParaRPr lang="ja-JP" altLang="en-US"/>
        </a:p>
      </xdr:txBody>
    </xdr:sp>
    <xdr:clientData/>
  </xdr:twoCellAnchor>
  <xdr:twoCellAnchor>
    <xdr:from>
      <xdr:col>60</xdr:col>
      <xdr:colOff>277918</xdr:colOff>
      <xdr:row>5</xdr:row>
      <xdr:rowOff>524934</xdr:rowOff>
    </xdr:from>
    <xdr:to>
      <xdr:col>61</xdr:col>
      <xdr:colOff>322792</xdr:colOff>
      <xdr:row>5</xdr:row>
      <xdr:rowOff>820524</xdr:rowOff>
    </xdr:to>
    <xdr:sp macro="" textlink="">
      <xdr:nvSpPr>
        <xdr:cNvPr id="28" name="Text Box 4">
          <a:extLst>
            <a:ext uri="{FF2B5EF4-FFF2-40B4-BE49-F238E27FC236}">
              <a16:creationId xmlns:a16="http://schemas.microsoft.com/office/drawing/2014/main" id="{C717E928-D8E0-4CD5-A991-BDA1AA665F23}"/>
            </a:ext>
          </a:extLst>
        </xdr:cNvPr>
        <xdr:cNvSpPr txBox="1">
          <a:spLocks noChangeArrowheads="1"/>
        </xdr:cNvSpPr>
      </xdr:nvSpPr>
      <xdr:spPr bwMode="auto">
        <a:xfrm>
          <a:off x="34896001" y="3170767"/>
          <a:ext cx="679874" cy="295590"/>
        </a:xfrm>
        <a:prstGeom prst="rect">
          <a:avLst/>
        </a:prstGeom>
        <a:noFill/>
        <a:ln>
          <a:noFill/>
        </a:ln>
      </xdr:spPr>
      <xdr:txBody>
        <a:bodyPr vertOverflow="clip" wrap="square" lIns="27432" tIns="18288" rIns="27432" bIns="0" anchor="t" upright="1"/>
        <a:lstStyle/>
        <a:p>
          <a:pPr algn="ctr" rtl="0">
            <a:defRPr sz="1000"/>
          </a:pPr>
          <a:r>
            <a:rPr lang="ja-JP" altLang="en-US" sz="1000" b="1" i="0" u="none" strike="noStrike" baseline="0">
              <a:solidFill>
                <a:srgbClr val="000000"/>
              </a:solidFill>
              <a:latin typeface="ＭＳ Ｐゴシック"/>
              <a:ea typeface="ＭＳ Ｐゴシック"/>
            </a:rPr>
            <a:t>(様式３)</a:t>
          </a:r>
          <a:endParaRPr lang="ja-JP" altLang="en-US"/>
        </a:p>
      </xdr:txBody>
    </xdr:sp>
    <xdr:clientData/>
  </xdr:twoCellAnchor>
  <xdr:twoCellAnchor>
    <xdr:from>
      <xdr:col>56</xdr:col>
      <xdr:colOff>79639</xdr:colOff>
      <xdr:row>5</xdr:row>
      <xdr:rowOff>709083</xdr:rowOff>
    </xdr:from>
    <xdr:to>
      <xdr:col>56</xdr:col>
      <xdr:colOff>527314</xdr:colOff>
      <xdr:row>5</xdr:row>
      <xdr:rowOff>919429</xdr:rowOff>
    </xdr:to>
    <xdr:sp macro="" textlink="">
      <xdr:nvSpPr>
        <xdr:cNvPr id="50" name="Text Box 9">
          <a:extLst>
            <a:ext uri="{FF2B5EF4-FFF2-40B4-BE49-F238E27FC236}">
              <a16:creationId xmlns:a16="http://schemas.microsoft.com/office/drawing/2014/main" id="{3149789E-C305-41F2-B96D-B62C885DBC75}"/>
            </a:ext>
          </a:extLst>
        </xdr:cNvPr>
        <xdr:cNvSpPr txBox="1">
          <a:spLocks noChangeArrowheads="1"/>
        </xdr:cNvSpPr>
      </xdr:nvSpPr>
      <xdr:spPr bwMode="auto">
        <a:xfrm>
          <a:off x="32358806" y="3354916"/>
          <a:ext cx="447675" cy="210346"/>
        </a:xfrm>
        <a:prstGeom prst="rect">
          <a:avLst/>
        </a:prstGeom>
        <a:noFill/>
        <a:ln>
          <a:noFill/>
        </a:ln>
      </xdr:spPr>
      <xdr:txBody>
        <a:bodyPr vertOverflow="clip" wrap="square" lIns="36576" tIns="18288" rIns="36576"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en-US" sz="1200" b="1" i="0" baseline="0">
              <a:effectLst/>
              <a:latin typeface="+mn-lt"/>
              <a:ea typeface="+mn-ea"/>
              <a:cs typeface="+mn-cs"/>
            </a:rPr>
            <a:t>⑰</a:t>
          </a:r>
          <a:endParaRPr lang="ja-JP" altLang="ja-JP" sz="1200">
            <a:effectLst/>
          </a:endParaRPr>
        </a:p>
        <a:p>
          <a:pPr algn="ctr" rtl="0">
            <a:defRPr sz="1000"/>
          </a:pPr>
          <a:endParaRPr lang="ja-JP" altLang="en-US" sz="1200"/>
        </a:p>
      </xdr:txBody>
    </xdr:sp>
    <xdr:clientData/>
  </xdr:twoCellAnchor>
  <xdr:twoCellAnchor>
    <xdr:from>
      <xdr:col>58</xdr:col>
      <xdr:colOff>77257</xdr:colOff>
      <xdr:row>5</xdr:row>
      <xdr:rowOff>709082</xdr:rowOff>
    </xdr:from>
    <xdr:to>
      <xdr:col>58</xdr:col>
      <xdr:colOff>524932</xdr:colOff>
      <xdr:row>6</xdr:row>
      <xdr:rowOff>13228</xdr:rowOff>
    </xdr:to>
    <xdr:sp macro="" textlink="">
      <xdr:nvSpPr>
        <xdr:cNvPr id="51" name="Text Box 9">
          <a:extLst>
            <a:ext uri="{FF2B5EF4-FFF2-40B4-BE49-F238E27FC236}">
              <a16:creationId xmlns:a16="http://schemas.microsoft.com/office/drawing/2014/main" id="{F2EB246F-9BF8-4BB4-88A3-A77983A306C0}"/>
            </a:ext>
          </a:extLst>
        </xdr:cNvPr>
        <xdr:cNvSpPr txBox="1">
          <a:spLocks noChangeArrowheads="1"/>
        </xdr:cNvSpPr>
      </xdr:nvSpPr>
      <xdr:spPr bwMode="auto">
        <a:xfrm>
          <a:off x="33584090" y="3354915"/>
          <a:ext cx="447675" cy="235480"/>
        </a:xfrm>
        <a:prstGeom prst="rect">
          <a:avLst/>
        </a:prstGeom>
        <a:noFill/>
        <a:ln>
          <a:noFill/>
        </a:ln>
      </xdr:spPr>
      <xdr:txBody>
        <a:bodyPr vertOverflow="clip" wrap="square" lIns="36576" tIns="18288" rIns="36576" bIns="0" anchor="t" upright="1"/>
        <a:lstStyle/>
        <a:p>
          <a:pPr algn="ctr" rtl="0">
            <a:defRPr sz="1000"/>
          </a:pPr>
          <a:r>
            <a:rPr lang="ja-JP" altLang="en-US" sz="1200" b="1" i="0" baseline="0">
              <a:effectLst/>
              <a:latin typeface="+mn-lt"/>
              <a:ea typeface="+mn-ea"/>
              <a:cs typeface="+mn-cs"/>
            </a:rPr>
            <a:t>⑱</a:t>
          </a:r>
          <a:endParaRPr lang="ja-JP" altLang="en-US" sz="1200"/>
        </a:p>
      </xdr:txBody>
    </xdr:sp>
    <xdr:clientData/>
  </xdr:twoCellAnchor>
  <xdr:twoCellAnchor>
    <xdr:from>
      <xdr:col>59</xdr:col>
      <xdr:colOff>23285</xdr:colOff>
      <xdr:row>5</xdr:row>
      <xdr:rowOff>709082</xdr:rowOff>
    </xdr:from>
    <xdr:to>
      <xdr:col>59</xdr:col>
      <xdr:colOff>472018</xdr:colOff>
      <xdr:row>6</xdr:row>
      <xdr:rowOff>2646</xdr:rowOff>
    </xdr:to>
    <xdr:sp macro="" textlink="">
      <xdr:nvSpPr>
        <xdr:cNvPr id="52" name="Text Box 9">
          <a:extLst>
            <a:ext uri="{FF2B5EF4-FFF2-40B4-BE49-F238E27FC236}">
              <a16:creationId xmlns:a16="http://schemas.microsoft.com/office/drawing/2014/main" id="{EEB4F4F4-FC46-4F20-9A69-F35CC85FA52A}"/>
            </a:ext>
          </a:extLst>
        </xdr:cNvPr>
        <xdr:cNvSpPr txBox="1">
          <a:spLocks noChangeArrowheads="1"/>
        </xdr:cNvSpPr>
      </xdr:nvSpPr>
      <xdr:spPr bwMode="auto">
        <a:xfrm>
          <a:off x="34154535" y="3354915"/>
          <a:ext cx="448733" cy="224898"/>
        </a:xfrm>
        <a:prstGeom prst="rect">
          <a:avLst/>
        </a:prstGeom>
        <a:noFill/>
        <a:ln>
          <a:noFill/>
        </a:ln>
      </xdr:spPr>
      <xdr:txBody>
        <a:bodyPr vertOverflow="clip" wrap="square" lIns="36576" tIns="18288" rIns="36576" bIns="0" anchor="t" upright="1"/>
        <a:lstStyle/>
        <a:p>
          <a:pPr algn="ctr" rtl="0">
            <a:defRPr sz="1000"/>
          </a:pPr>
          <a:r>
            <a:rPr lang="ja-JP" altLang="en-US" sz="1200" b="1" i="0" baseline="0">
              <a:effectLst/>
              <a:latin typeface="+mn-lt"/>
              <a:ea typeface="+mn-ea"/>
              <a:cs typeface="+mn-cs"/>
            </a:rPr>
            <a:t>⑲</a:t>
          </a:r>
          <a:endParaRPr lang="ja-JP" altLang="en-US" sz="1200"/>
        </a:p>
      </xdr:txBody>
    </xdr:sp>
    <xdr:clientData/>
  </xdr:twoCellAnchor>
  <xdr:twoCellAnchor>
    <xdr:from>
      <xdr:col>61</xdr:col>
      <xdr:colOff>0</xdr:colOff>
      <xdr:row>5</xdr:row>
      <xdr:rowOff>711993</xdr:rowOff>
    </xdr:from>
    <xdr:to>
      <xdr:col>62</xdr:col>
      <xdr:colOff>14024</xdr:colOff>
      <xdr:row>5</xdr:row>
      <xdr:rowOff>931332</xdr:rowOff>
    </xdr:to>
    <xdr:sp macro="" textlink="">
      <xdr:nvSpPr>
        <xdr:cNvPr id="31" name="Text Box 9">
          <a:extLst>
            <a:ext uri="{FF2B5EF4-FFF2-40B4-BE49-F238E27FC236}">
              <a16:creationId xmlns:a16="http://schemas.microsoft.com/office/drawing/2014/main" id="{0996895F-16D5-4B92-A90F-436087AD95F7}"/>
            </a:ext>
          </a:extLst>
        </xdr:cNvPr>
        <xdr:cNvSpPr txBox="1">
          <a:spLocks noChangeArrowheads="1"/>
        </xdr:cNvSpPr>
      </xdr:nvSpPr>
      <xdr:spPr bwMode="auto">
        <a:xfrm>
          <a:off x="35253083" y="3357826"/>
          <a:ext cx="500858" cy="219339"/>
        </a:xfrm>
        <a:prstGeom prst="rect">
          <a:avLst/>
        </a:prstGeom>
        <a:noFill/>
        <a:ln>
          <a:noFill/>
        </a:ln>
      </xdr:spPr>
      <xdr:txBody>
        <a:bodyPr vertOverflow="clip" wrap="square" lIns="36576" tIns="18288" rIns="36576" bIns="0" anchor="t" upright="1"/>
        <a:lstStyle/>
        <a:p>
          <a:pPr algn="ctr" rtl="0">
            <a:defRPr sz="1000"/>
          </a:pPr>
          <a:r>
            <a:rPr lang="ja-JP" altLang="en-US" sz="1200" b="1" i="0" baseline="0">
              <a:effectLst/>
              <a:latin typeface="+mn-lt"/>
              <a:ea typeface="+mn-ea"/>
              <a:cs typeface="+mn-cs"/>
            </a:rPr>
            <a:t>⑳</a:t>
          </a:r>
          <a:endParaRPr lang="ja-JP" altLang="en-US" sz="1200"/>
        </a:p>
      </xdr:txBody>
    </xdr:sp>
    <xdr:clientData/>
  </xdr:twoCellAnchor>
  <xdr:twoCellAnchor>
    <xdr:from>
      <xdr:col>39</xdr:col>
      <xdr:colOff>103450</xdr:colOff>
      <xdr:row>5</xdr:row>
      <xdr:rowOff>689769</xdr:rowOff>
    </xdr:from>
    <xdr:to>
      <xdr:col>39</xdr:col>
      <xdr:colOff>544775</xdr:colOff>
      <xdr:row>6</xdr:row>
      <xdr:rowOff>266</xdr:rowOff>
    </xdr:to>
    <xdr:sp macro="" textlink="">
      <xdr:nvSpPr>
        <xdr:cNvPr id="29" name="Text Box 9">
          <a:extLst>
            <a:ext uri="{FF2B5EF4-FFF2-40B4-BE49-F238E27FC236}">
              <a16:creationId xmlns:a16="http://schemas.microsoft.com/office/drawing/2014/main" id="{D9522463-B807-4A46-8C28-6AF2C6BABDD2}"/>
            </a:ext>
          </a:extLst>
        </xdr:cNvPr>
        <xdr:cNvSpPr txBox="1">
          <a:spLocks noChangeArrowheads="1"/>
        </xdr:cNvSpPr>
      </xdr:nvSpPr>
      <xdr:spPr bwMode="auto">
        <a:xfrm>
          <a:off x="23799533" y="3335602"/>
          <a:ext cx="441325" cy="241831"/>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⑧</a:t>
          </a:r>
          <a:endParaRPr lang="ja-JP" altLang="en-US"/>
        </a:p>
      </xdr:txBody>
    </xdr:sp>
    <xdr:clientData/>
  </xdr:twoCellAnchor>
  <xdr:twoCellAnchor>
    <xdr:from>
      <xdr:col>55</xdr:col>
      <xdr:colOff>10584</xdr:colOff>
      <xdr:row>5</xdr:row>
      <xdr:rowOff>539296</xdr:rowOff>
    </xdr:from>
    <xdr:to>
      <xdr:col>57</xdr:col>
      <xdr:colOff>37465</xdr:colOff>
      <xdr:row>5</xdr:row>
      <xdr:rowOff>720587</xdr:rowOff>
    </xdr:to>
    <xdr:sp macro="" textlink="">
      <xdr:nvSpPr>
        <xdr:cNvPr id="30" name="Text Box 4">
          <a:extLst>
            <a:ext uri="{FF2B5EF4-FFF2-40B4-BE49-F238E27FC236}">
              <a16:creationId xmlns:a16="http://schemas.microsoft.com/office/drawing/2014/main" id="{3DD52660-5496-498A-BC4D-2908A2465CB0}"/>
            </a:ext>
          </a:extLst>
        </xdr:cNvPr>
        <xdr:cNvSpPr txBox="1">
          <a:spLocks noChangeArrowheads="1"/>
        </xdr:cNvSpPr>
      </xdr:nvSpPr>
      <xdr:spPr bwMode="auto">
        <a:xfrm>
          <a:off x="32215667" y="3185129"/>
          <a:ext cx="704215" cy="181291"/>
        </a:xfrm>
        <a:prstGeom prst="rect">
          <a:avLst/>
        </a:prstGeom>
        <a:noFill/>
        <a:ln>
          <a:noFill/>
        </a:ln>
      </xdr:spPr>
      <xdr:txBody>
        <a:bodyPr vertOverflow="clip" wrap="square" lIns="27432" tIns="18288" rIns="27432" bIns="0" anchor="t" upright="1"/>
        <a:lstStyle/>
        <a:p>
          <a:pPr algn="ctr" rtl="0">
            <a:defRPr sz="1000"/>
          </a:pPr>
          <a:r>
            <a:rPr lang="ja-JP" altLang="en-US" sz="1000" b="1" i="0" u="none" strike="noStrike" baseline="0">
              <a:solidFill>
                <a:srgbClr val="000000"/>
              </a:solidFill>
              <a:latin typeface="ＭＳ Ｐゴシック"/>
              <a:ea typeface="ＭＳ Ｐゴシック"/>
            </a:rPr>
            <a:t>(様式２)</a:t>
          </a:r>
          <a:endParaRPr lang="en-US" altLang="ja-JP" sz="1000" b="1" i="0" u="none" strike="noStrike" baseline="0">
            <a:solidFill>
              <a:srgbClr val="000000"/>
            </a:solidFill>
            <a:latin typeface="ＭＳ Ｐゴシック"/>
            <a:ea typeface="ＭＳ Ｐゴシック"/>
          </a:endParaRPr>
        </a:p>
      </xdr:txBody>
    </xdr:sp>
    <xdr:clientData/>
  </xdr:twoCellAnchor>
  <xdr:twoCellAnchor>
    <xdr:from>
      <xdr:col>24</xdr:col>
      <xdr:colOff>317497</xdr:colOff>
      <xdr:row>5</xdr:row>
      <xdr:rowOff>685799</xdr:rowOff>
    </xdr:from>
    <xdr:to>
      <xdr:col>25</xdr:col>
      <xdr:colOff>318555</xdr:colOff>
      <xdr:row>5</xdr:row>
      <xdr:rowOff>930274</xdr:rowOff>
    </xdr:to>
    <xdr:sp macro="" textlink="">
      <xdr:nvSpPr>
        <xdr:cNvPr id="32" name="Text Box 9">
          <a:extLst>
            <a:ext uri="{FF2B5EF4-FFF2-40B4-BE49-F238E27FC236}">
              <a16:creationId xmlns:a16="http://schemas.microsoft.com/office/drawing/2014/main" id="{73401CEA-F8FE-43EE-8E74-30BC1392CD9A}"/>
            </a:ext>
          </a:extLst>
        </xdr:cNvPr>
        <xdr:cNvSpPr txBox="1">
          <a:spLocks noChangeArrowheads="1"/>
        </xdr:cNvSpPr>
      </xdr:nvSpPr>
      <xdr:spPr bwMode="auto">
        <a:xfrm>
          <a:off x="14880164" y="3331632"/>
          <a:ext cx="604308" cy="244475"/>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①</a:t>
          </a:r>
          <a:endParaRPr lang="ja-JP" altLang="en-US"/>
        </a:p>
      </xdr:txBody>
    </xdr:sp>
    <xdr:clientData/>
  </xdr:twoCellAnchor>
  <xdr:twoCellAnchor>
    <xdr:from>
      <xdr:col>49</xdr:col>
      <xdr:colOff>82550</xdr:colOff>
      <xdr:row>5</xdr:row>
      <xdr:rowOff>699030</xdr:rowOff>
    </xdr:from>
    <xdr:to>
      <xdr:col>49</xdr:col>
      <xdr:colOff>530225</xdr:colOff>
      <xdr:row>6</xdr:row>
      <xdr:rowOff>14817</xdr:rowOff>
    </xdr:to>
    <xdr:sp macro="" textlink="">
      <xdr:nvSpPr>
        <xdr:cNvPr id="34" name="Text Box 9">
          <a:extLst>
            <a:ext uri="{FF2B5EF4-FFF2-40B4-BE49-F238E27FC236}">
              <a16:creationId xmlns:a16="http://schemas.microsoft.com/office/drawing/2014/main" id="{534D138D-3B0F-4CFB-BCC4-B44641C9B318}"/>
            </a:ext>
          </a:extLst>
        </xdr:cNvPr>
        <xdr:cNvSpPr txBox="1">
          <a:spLocks noChangeArrowheads="1"/>
        </xdr:cNvSpPr>
      </xdr:nvSpPr>
      <xdr:spPr bwMode="auto">
        <a:xfrm>
          <a:off x="29811133" y="3344863"/>
          <a:ext cx="447675" cy="247121"/>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⑭</a:t>
          </a:r>
          <a:endParaRPr lang="ja-JP" altLang="en-US"/>
        </a:p>
      </xdr:txBody>
    </xdr:sp>
    <xdr:clientData/>
  </xdr:twoCellAnchor>
  <xdr:twoCellAnchor>
    <xdr:from>
      <xdr:col>47</xdr:col>
      <xdr:colOff>82550</xdr:colOff>
      <xdr:row>5</xdr:row>
      <xdr:rowOff>699030</xdr:rowOff>
    </xdr:from>
    <xdr:to>
      <xdr:col>47</xdr:col>
      <xdr:colOff>530225</xdr:colOff>
      <xdr:row>6</xdr:row>
      <xdr:rowOff>14817</xdr:rowOff>
    </xdr:to>
    <xdr:sp macro="" textlink="">
      <xdr:nvSpPr>
        <xdr:cNvPr id="35" name="Text Box 9">
          <a:extLst>
            <a:ext uri="{FF2B5EF4-FFF2-40B4-BE49-F238E27FC236}">
              <a16:creationId xmlns:a16="http://schemas.microsoft.com/office/drawing/2014/main" id="{737567A5-E2A2-4841-B54C-243499C6D062}"/>
            </a:ext>
          </a:extLst>
        </xdr:cNvPr>
        <xdr:cNvSpPr txBox="1">
          <a:spLocks noChangeArrowheads="1"/>
        </xdr:cNvSpPr>
      </xdr:nvSpPr>
      <xdr:spPr bwMode="auto">
        <a:xfrm>
          <a:off x="28604633" y="3344863"/>
          <a:ext cx="447675" cy="247121"/>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⑫</a:t>
          </a:r>
          <a:endParaRPr lang="ja-JP" altLang="en-US"/>
        </a:p>
      </xdr:txBody>
    </xdr:sp>
    <xdr:clientData/>
  </xdr:twoCellAnchor>
  <xdr:twoCellAnchor>
    <xdr:from>
      <xdr:col>46</xdr:col>
      <xdr:colOff>550333</xdr:colOff>
      <xdr:row>5</xdr:row>
      <xdr:rowOff>445899</xdr:rowOff>
    </xdr:from>
    <xdr:to>
      <xdr:col>48</xdr:col>
      <xdr:colOff>53601</xdr:colOff>
      <xdr:row>5</xdr:row>
      <xdr:rowOff>711993</xdr:rowOff>
    </xdr:to>
    <xdr:sp macro="" textlink="">
      <xdr:nvSpPr>
        <xdr:cNvPr id="36" name="Text Box 4">
          <a:extLst>
            <a:ext uri="{FF2B5EF4-FFF2-40B4-BE49-F238E27FC236}">
              <a16:creationId xmlns:a16="http://schemas.microsoft.com/office/drawing/2014/main" id="{D8461852-93F1-4BC0-8A7F-D5DFF998BC46}"/>
            </a:ext>
          </a:extLst>
        </xdr:cNvPr>
        <xdr:cNvSpPr txBox="1">
          <a:spLocks noChangeArrowheads="1"/>
        </xdr:cNvSpPr>
      </xdr:nvSpPr>
      <xdr:spPr bwMode="auto">
        <a:xfrm>
          <a:off x="28469166" y="3091732"/>
          <a:ext cx="709768" cy="266094"/>
        </a:xfrm>
        <a:prstGeom prst="rect">
          <a:avLst/>
        </a:prstGeom>
        <a:noFill/>
        <a:ln>
          <a:noFill/>
        </a:ln>
      </xdr:spPr>
      <xdr:txBody>
        <a:bodyPr vertOverflow="clip" wrap="square" lIns="27432" tIns="18288" rIns="27432" bIns="0" anchor="t" upright="1"/>
        <a:lstStyle/>
        <a:p>
          <a:pPr algn="ctr" rtl="0">
            <a:defRPr sz="1000"/>
          </a:pPr>
          <a:r>
            <a:rPr lang="ja-JP" altLang="en-US" sz="1000" b="1" i="0" u="none" strike="noStrike" baseline="0">
              <a:solidFill>
                <a:srgbClr val="000000"/>
              </a:solidFill>
              <a:latin typeface="ＭＳ Ｐゴシック"/>
              <a:ea typeface="ＭＳ Ｐゴシック"/>
            </a:rPr>
            <a:t>(様式</a:t>
          </a:r>
          <a:r>
            <a:rPr lang="en-US" altLang="ja-JP" sz="1000" b="1" i="0" u="none" strike="noStrike" baseline="0">
              <a:solidFill>
                <a:srgbClr val="000000"/>
              </a:solidFill>
              <a:latin typeface="ＭＳ Ｐゴシック"/>
              <a:ea typeface="ＭＳ Ｐゴシック"/>
            </a:rPr>
            <a:t>1-1</a:t>
          </a:r>
          <a:r>
            <a:rPr lang="ja-JP" altLang="en-US" sz="10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48</xdr:col>
      <xdr:colOff>73290</xdr:colOff>
      <xdr:row>5</xdr:row>
      <xdr:rowOff>698500</xdr:rowOff>
    </xdr:from>
    <xdr:to>
      <xdr:col>48</xdr:col>
      <xdr:colOff>520965</xdr:colOff>
      <xdr:row>6</xdr:row>
      <xdr:rowOff>7673</xdr:rowOff>
    </xdr:to>
    <xdr:sp macro="" textlink="">
      <xdr:nvSpPr>
        <xdr:cNvPr id="37" name="Text Box 9">
          <a:extLst>
            <a:ext uri="{FF2B5EF4-FFF2-40B4-BE49-F238E27FC236}">
              <a16:creationId xmlns:a16="http://schemas.microsoft.com/office/drawing/2014/main" id="{7F821525-644F-4C76-8BFD-2079C502A365}"/>
            </a:ext>
          </a:extLst>
        </xdr:cNvPr>
        <xdr:cNvSpPr txBox="1">
          <a:spLocks noChangeArrowheads="1"/>
        </xdr:cNvSpPr>
      </xdr:nvSpPr>
      <xdr:spPr bwMode="auto">
        <a:xfrm>
          <a:off x="29198623" y="3344333"/>
          <a:ext cx="447675" cy="240507"/>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⑬</a:t>
          </a:r>
          <a:endParaRPr lang="ja-JP" altLang="en-US"/>
        </a:p>
      </xdr:txBody>
    </xdr:sp>
    <xdr:clientData/>
  </xdr:twoCellAnchor>
  <xdr:twoCellAnchor>
    <xdr:from>
      <xdr:col>47</xdr:col>
      <xdr:colOff>539752</xdr:colOff>
      <xdr:row>5</xdr:row>
      <xdr:rowOff>456482</xdr:rowOff>
    </xdr:from>
    <xdr:to>
      <xdr:col>49</xdr:col>
      <xdr:colOff>63500</xdr:colOff>
      <xdr:row>5</xdr:row>
      <xdr:rowOff>722576</xdr:rowOff>
    </xdr:to>
    <xdr:sp macro="" textlink="">
      <xdr:nvSpPr>
        <xdr:cNvPr id="41" name="Text Box 4">
          <a:extLst>
            <a:ext uri="{FF2B5EF4-FFF2-40B4-BE49-F238E27FC236}">
              <a16:creationId xmlns:a16="http://schemas.microsoft.com/office/drawing/2014/main" id="{DCFC7DBD-86F1-4C52-A16D-7305880FCEDE}"/>
            </a:ext>
          </a:extLst>
        </xdr:cNvPr>
        <xdr:cNvSpPr txBox="1">
          <a:spLocks noChangeArrowheads="1"/>
        </xdr:cNvSpPr>
      </xdr:nvSpPr>
      <xdr:spPr bwMode="auto">
        <a:xfrm>
          <a:off x="29061835" y="3102315"/>
          <a:ext cx="730248" cy="266094"/>
        </a:xfrm>
        <a:prstGeom prst="rect">
          <a:avLst/>
        </a:prstGeom>
        <a:noFill/>
        <a:ln>
          <a:noFill/>
        </a:ln>
      </xdr:spPr>
      <xdr:txBody>
        <a:bodyPr vertOverflow="clip" wrap="square" lIns="27432" tIns="18288" rIns="27432" bIns="0" anchor="t" upright="1"/>
        <a:lstStyle/>
        <a:p>
          <a:pPr algn="ctr" rtl="0">
            <a:defRPr sz="1000"/>
          </a:pPr>
          <a:r>
            <a:rPr lang="ja-JP" altLang="en-US" sz="1000" b="1" i="0" u="none" strike="noStrike" baseline="0">
              <a:solidFill>
                <a:srgbClr val="000000"/>
              </a:solidFill>
              <a:latin typeface="ＭＳ Ｐゴシック"/>
              <a:ea typeface="ＭＳ Ｐゴシック"/>
            </a:rPr>
            <a:t>(様式</a:t>
          </a:r>
          <a:r>
            <a:rPr lang="en-US" altLang="ja-JP" sz="1000" b="1" i="0" u="none" strike="noStrike" baseline="0">
              <a:solidFill>
                <a:srgbClr val="000000"/>
              </a:solidFill>
              <a:latin typeface="ＭＳ Ｐゴシック"/>
              <a:ea typeface="ＭＳ Ｐゴシック"/>
            </a:rPr>
            <a:t>1-2</a:t>
          </a:r>
          <a:r>
            <a:rPr lang="ja-JP" altLang="en-US" sz="10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50</xdr:col>
      <xdr:colOff>71967</xdr:colOff>
      <xdr:row>5</xdr:row>
      <xdr:rowOff>699030</xdr:rowOff>
    </xdr:from>
    <xdr:to>
      <xdr:col>50</xdr:col>
      <xdr:colOff>519642</xdr:colOff>
      <xdr:row>6</xdr:row>
      <xdr:rowOff>14817</xdr:rowOff>
    </xdr:to>
    <xdr:sp macro="" textlink="">
      <xdr:nvSpPr>
        <xdr:cNvPr id="45" name="Text Box 9">
          <a:extLst>
            <a:ext uri="{FF2B5EF4-FFF2-40B4-BE49-F238E27FC236}">
              <a16:creationId xmlns:a16="http://schemas.microsoft.com/office/drawing/2014/main" id="{06FED97C-C3CE-4F78-A128-CB32B8A1F0BB}"/>
            </a:ext>
          </a:extLst>
        </xdr:cNvPr>
        <xdr:cNvSpPr txBox="1">
          <a:spLocks noChangeArrowheads="1"/>
        </xdr:cNvSpPr>
      </xdr:nvSpPr>
      <xdr:spPr bwMode="auto">
        <a:xfrm>
          <a:off x="30403800" y="3344863"/>
          <a:ext cx="447675" cy="247121"/>
        </a:xfrm>
        <a:prstGeom prst="rect">
          <a:avLst/>
        </a:prstGeom>
        <a:noFill/>
        <a:ln>
          <a:noFill/>
        </a:ln>
      </xdr:spPr>
      <xdr:txBody>
        <a:bodyPr vertOverflow="clip" wrap="square" lIns="36576" tIns="18288" rIns="36576" bIns="0" anchor="t" upright="1"/>
        <a:lstStyle/>
        <a:p>
          <a:pPr algn="ctr" rtl="0">
            <a:defRPr sz="1000"/>
          </a:pPr>
          <a:r>
            <a:rPr lang="ja-JP" altLang="en-US" sz="1200" b="1"/>
            <a:t>⑮</a:t>
          </a:r>
        </a:p>
      </xdr:txBody>
    </xdr:sp>
    <xdr:clientData/>
  </xdr:twoCellAnchor>
  <xdr:twoCellAnchor>
    <xdr:from>
      <xdr:col>52</xdr:col>
      <xdr:colOff>31750</xdr:colOff>
      <xdr:row>5</xdr:row>
      <xdr:rowOff>657701</xdr:rowOff>
    </xdr:from>
    <xdr:to>
      <xdr:col>52</xdr:col>
      <xdr:colOff>599945</xdr:colOff>
      <xdr:row>6</xdr:row>
      <xdr:rowOff>7243</xdr:rowOff>
    </xdr:to>
    <xdr:sp macro="" textlink="">
      <xdr:nvSpPr>
        <xdr:cNvPr id="48" name="Text Box 1">
          <a:extLst>
            <a:ext uri="{FF2B5EF4-FFF2-40B4-BE49-F238E27FC236}">
              <a16:creationId xmlns:a16="http://schemas.microsoft.com/office/drawing/2014/main" id="{D88735B0-46A2-46F4-AC06-9E9DD14431E1}"/>
            </a:ext>
          </a:extLst>
        </xdr:cNvPr>
        <xdr:cNvSpPr txBox="1">
          <a:spLocks noChangeArrowheads="1"/>
        </xdr:cNvSpPr>
      </xdr:nvSpPr>
      <xdr:spPr bwMode="auto">
        <a:xfrm>
          <a:off x="31570083" y="3303534"/>
          <a:ext cx="568195" cy="280876"/>
        </a:xfrm>
        <a:prstGeom prst="rect">
          <a:avLst/>
        </a:prstGeom>
        <a:noFill/>
        <a:ln>
          <a:noFill/>
        </a:ln>
      </xdr:spPr>
      <xdr:txBody>
        <a:bodyPr vertOverflow="clip" wrap="square" lIns="36576" tIns="18288" rIns="36576" bIns="0" anchor="t" upright="1"/>
        <a:lstStyle/>
        <a:p>
          <a:pPr algn="ctr" rtl="0">
            <a:defRPr sz="1000"/>
          </a:pPr>
          <a:r>
            <a:rPr lang="ja-JP" altLang="en-US" sz="1300" b="1" i="0" u="none" strike="noStrike" baseline="0">
              <a:solidFill>
                <a:srgbClr val="000000"/>
              </a:solidFill>
              <a:latin typeface="ＭＳ Ｐゴシック"/>
              <a:ea typeface="ＭＳ Ｐゴシック"/>
            </a:rPr>
            <a:t>(</a:t>
          </a:r>
          <a:r>
            <a:rPr lang="en-US" altLang="ja-JP" sz="1300" b="1" i="0" u="none" strike="noStrike" baseline="0">
              <a:solidFill>
                <a:srgbClr val="000000"/>
              </a:solidFill>
              <a:latin typeface="ＭＳ Ｐゴシック"/>
              <a:ea typeface="ＭＳ Ｐゴシック"/>
            </a:rPr>
            <a:t>B</a:t>
          </a:r>
          <a:r>
            <a:rPr lang="ja-JP" altLang="en-US" sz="13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57</xdr:col>
      <xdr:colOff>357187</xdr:colOff>
      <xdr:row>5</xdr:row>
      <xdr:rowOff>381000</xdr:rowOff>
    </xdr:from>
    <xdr:to>
      <xdr:col>58</xdr:col>
      <xdr:colOff>312629</xdr:colOff>
      <xdr:row>5</xdr:row>
      <xdr:rowOff>676590</xdr:rowOff>
    </xdr:to>
    <xdr:sp macro="" textlink="">
      <xdr:nvSpPr>
        <xdr:cNvPr id="211" name="Text Box 4">
          <a:extLst>
            <a:ext uri="{FF2B5EF4-FFF2-40B4-BE49-F238E27FC236}">
              <a16:creationId xmlns:a16="http://schemas.microsoft.com/office/drawing/2014/main" id="{6ECDBF69-1045-4400-873A-80691D9A1DBF}"/>
            </a:ext>
          </a:extLst>
        </xdr:cNvPr>
        <xdr:cNvSpPr txBox="1">
          <a:spLocks noChangeArrowheads="1"/>
        </xdr:cNvSpPr>
      </xdr:nvSpPr>
      <xdr:spPr bwMode="auto">
        <a:xfrm>
          <a:off x="33239604" y="3026833"/>
          <a:ext cx="579858" cy="295590"/>
        </a:xfrm>
        <a:prstGeom prst="rect">
          <a:avLst/>
        </a:prstGeom>
        <a:noFill/>
        <a:ln>
          <a:noFill/>
        </a:ln>
      </xdr:spPr>
      <xdr:txBody>
        <a:bodyPr vertOverflow="clip" wrap="square" lIns="27432" tIns="18288" rIns="27432" bIns="0" anchor="t" upright="1"/>
        <a:lstStyle/>
        <a:p>
          <a:pPr algn="ctr" rtl="0">
            <a:defRPr sz="1000"/>
          </a:pPr>
          <a:r>
            <a:rPr lang="ja-JP" altLang="en-US" sz="1000" b="1" i="0" u="none" strike="noStrike" baseline="0">
              <a:solidFill>
                <a:srgbClr val="000000"/>
              </a:solidFill>
              <a:latin typeface="ＭＳ Ｐゴシック"/>
              <a:ea typeface="ＭＳ Ｐゴシック"/>
            </a:rPr>
            <a:t>(様式２)</a:t>
          </a:r>
          <a:endParaRPr lang="ja-JP" altLang="en-US"/>
        </a:p>
      </xdr:txBody>
    </xdr:sp>
    <xdr:clientData/>
  </xdr:twoCellAnchor>
  <xdr:twoCellAnchor>
    <xdr:from>
      <xdr:col>44</xdr:col>
      <xdr:colOff>26989</xdr:colOff>
      <xdr:row>5</xdr:row>
      <xdr:rowOff>694004</xdr:rowOff>
    </xdr:from>
    <xdr:to>
      <xdr:col>45</xdr:col>
      <xdr:colOff>592667</xdr:colOff>
      <xdr:row>6</xdr:row>
      <xdr:rowOff>0</xdr:rowOff>
    </xdr:to>
    <xdr:sp macro="" textlink="">
      <xdr:nvSpPr>
        <xdr:cNvPr id="213" name="Text Box 9">
          <a:extLst>
            <a:ext uri="{FF2B5EF4-FFF2-40B4-BE49-F238E27FC236}">
              <a16:creationId xmlns:a16="http://schemas.microsoft.com/office/drawing/2014/main" id="{DCB20A95-706E-4D99-B8BA-A85F58FF6275}"/>
            </a:ext>
          </a:extLst>
        </xdr:cNvPr>
        <xdr:cNvSpPr txBox="1">
          <a:spLocks noChangeArrowheads="1"/>
        </xdr:cNvSpPr>
      </xdr:nvSpPr>
      <xdr:spPr bwMode="auto">
        <a:xfrm>
          <a:off x="26739322" y="3339837"/>
          <a:ext cx="1168928" cy="237330"/>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⑩</a:t>
          </a:r>
          <a:endParaRPr lang="ja-JP" altLang="en-US"/>
        </a:p>
      </xdr:txBody>
    </xdr:sp>
    <xdr:clientData/>
  </xdr:twoCellAnchor>
  <xdr:twoCellAnchor>
    <xdr:from>
      <xdr:col>18</xdr:col>
      <xdr:colOff>583406</xdr:colOff>
      <xdr:row>53</xdr:row>
      <xdr:rowOff>333371</xdr:rowOff>
    </xdr:from>
    <xdr:to>
      <xdr:col>33</xdr:col>
      <xdr:colOff>309562</xdr:colOff>
      <xdr:row>53</xdr:row>
      <xdr:rowOff>1321593</xdr:rowOff>
    </xdr:to>
    <xdr:sp macro="" textlink="">
      <xdr:nvSpPr>
        <xdr:cNvPr id="234" name="正方形/長方形 233">
          <a:extLst>
            <a:ext uri="{FF2B5EF4-FFF2-40B4-BE49-F238E27FC236}">
              <a16:creationId xmlns:a16="http://schemas.microsoft.com/office/drawing/2014/main" id="{39EB4353-6EE2-47B4-8177-65A1CBC60544}"/>
            </a:ext>
          </a:extLst>
        </xdr:cNvPr>
        <xdr:cNvSpPr/>
      </xdr:nvSpPr>
      <xdr:spPr bwMode="auto">
        <a:xfrm>
          <a:off x="11441906" y="21256621"/>
          <a:ext cx="8859573" cy="988222"/>
        </a:xfrm>
        <a:prstGeom prst="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100">
              <a:solidFill>
                <a:srgbClr val="FF0000"/>
              </a:solidFill>
              <a:latin typeface="BIZ UDゴシック" panose="020B0400000000000000" pitchFamily="49" charset="-128"/>
              <a:ea typeface="BIZ UDゴシック" panose="020B0400000000000000" pitchFamily="49" charset="-128"/>
            </a:rPr>
            <a:t> 「適用済」の場合、現在の実配置数で、それぞれ</a:t>
          </a:r>
          <a:r>
            <a:rPr kumimoji="1" lang="en-US" altLang="ja-JP" sz="1100">
              <a:solidFill>
                <a:srgbClr val="FF0000"/>
              </a:solidFill>
              <a:latin typeface="BIZ UDゴシック" panose="020B0400000000000000" pitchFamily="49" charset="-128"/>
              <a:ea typeface="BIZ UDゴシック" panose="020B0400000000000000" pitchFamily="49" charset="-128"/>
            </a:rPr>
            <a:t>AR</a:t>
          </a:r>
          <a:r>
            <a:rPr kumimoji="1" lang="ja-JP" altLang="en-US" sz="1100">
              <a:solidFill>
                <a:srgbClr val="FF0000"/>
              </a:solidFill>
              <a:latin typeface="BIZ UDゴシック" panose="020B0400000000000000" pitchFamily="49" charset="-128"/>
              <a:ea typeface="BIZ UDゴシック" panose="020B0400000000000000" pitchFamily="49" charset="-128"/>
            </a:rPr>
            <a:t>～</a:t>
          </a:r>
          <a:r>
            <a:rPr kumimoji="1" lang="en-US" altLang="ja-JP" sz="1100">
              <a:solidFill>
                <a:srgbClr val="FF0000"/>
              </a:solidFill>
              <a:latin typeface="BIZ UDゴシック" panose="020B0400000000000000" pitchFamily="49" charset="-128"/>
              <a:ea typeface="BIZ UDゴシック" panose="020B0400000000000000" pitchFamily="49" charset="-128"/>
            </a:rPr>
            <a:t>AZ</a:t>
          </a:r>
          <a:r>
            <a:rPr kumimoji="1" lang="ja-JP" altLang="en-US" sz="1100">
              <a:solidFill>
                <a:srgbClr val="FF0000"/>
              </a:solidFill>
              <a:latin typeface="BIZ UDゴシック" panose="020B0400000000000000" pitchFamily="49" charset="-128"/>
              <a:ea typeface="BIZ UDゴシック" panose="020B0400000000000000" pitchFamily="49" charset="-128"/>
            </a:rPr>
            <a:t>列</a:t>
          </a:r>
          <a:r>
            <a:rPr kumimoji="1" lang="en-US" altLang="ja-JP" sz="1100">
              <a:solidFill>
                <a:srgbClr val="FF0000"/>
              </a:solidFill>
              <a:latin typeface="BIZ UDゴシック" panose="020B0400000000000000" pitchFamily="49" charset="-128"/>
              <a:ea typeface="BIZ UDゴシック" panose="020B0400000000000000" pitchFamily="49" charset="-128"/>
            </a:rPr>
            <a:t>43</a:t>
          </a:r>
          <a:r>
            <a:rPr kumimoji="1" lang="ja-JP" altLang="en-US" sz="1100">
              <a:solidFill>
                <a:srgbClr val="FF0000"/>
              </a:solidFill>
              <a:latin typeface="BIZ UDゴシック" panose="020B0400000000000000" pitchFamily="49" charset="-128"/>
              <a:ea typeface="BIZ UDゴシック" panose="020B0400000000000000" pitchFamily="49" charset="-128"/>
            </a:rPr>
            <a:t>行目に記載の加配数が補助上限の算定に当たって考慮されています。</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100">
              <a:solidFill>
                <a:srgbClr val="FF0000"/>
              </a:solidFill>
              <a:latin typeface="BIZ UDゴシック" panose="020B0400000000000000" pitchFamily="49" charset="-128"/>
              <a:ea typeface="BIZ UDゴシック" panose="020B0400000000000000" pitchFamily="49" charset="-128"/>
            </a:rPr>
            <a:t> 数値が入っている場合は、各々記載の分、実配置数を増やすことで、当該加算が考慮されるようになります。</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pPr algn="l"/>
          <a:r>
            <a:rPr kumimoji="1" lang="en-US" altLang="ja-JP" sz="1100">
              <a:solidFill>
                <a:srgbClr val="FF0000"/>
              </a:solidFill>
              <a:latin typeface="BIZ UDゴシック" panose="020B0400000000000000" pitchFamily="49" charset="-128"/>
              <a:ea typeface="BIZ UDゴシック" panose="020B0400000000000000" pitchFamily="49" charset="-128"/>
            </a:rPr>
            <a:t> </a:t>
          </a:r>
          <a:r>
            <a:rPr kumimoji="1" lang="en-US" altLang="ja-JP" sz="1100">
              <a:solidFill>
                <a:schemeClr val="tx1"/>
              </a:solidFill>
              <a:latin typeface="BIZ UDゴシック" panose="020B0400000000000000" pitchFamily="49" charset="-128"/>
              <a:ea typeface="BIZ UDゴシック" panose="020B0400000000000000" pitchFamily="49" charset="-128"/>
            </a:rPr>
            <a:t>※</a:t>
          </a:r>
          <a:r>
            <a:rPr kumimoji="1" lang="ja-JP" altLang="en-US" sz="1100">
              <a:solidFill>
                <a:schemeClr val="tx1"/>
              </a:solidFill>
              <a:latin typeface="BIZ UDゴシック" panose="020B0400000000000000" pitchFamily="49" charset="-128"/>
              <a:ea typeface="BIZ UDゴシック" panose="020B0400000000000000" pitchFamily="49" charset="-128"/>
            </a:rPr>
            <a:t>「障害児加配」以外の加配は、「適用済」であれば、実配置数の限りでなく、当該加配の人数（</a:t>
          </a:r>
          <a:r>
            <a:rPr kumimoji="1" lang="en-US" altLang="ja-JP" sz="1100">
              <a:solidFill>
                <a:schemeClr val="tx1"/>
              </a:solidFill>
              <a:latin typeface="BIZ UDゴシック" panose="020B0400000000000000" pitchFamily="49" charset="-128"/>
              <a:ea typeface="BIZ UDゴシック" panose="020B0400000000000000" pitchFamily="49" charset="-128"/>
            </a:rPr>
            <a:t>AR</a:t>
          </a:r>
          <a:r>
            <a:rPr kumimoji="1" lang="ja-JP" altLang="en-US" sz="1100">
              <a:solidFill>
                <a:schemeClr val="tx1"/>
              </a:solidFill>
              <a:latin typeface="BIZ UDゴシック" panose="020B0400000000000000" pitchFamily="49" charset="-128"/>
              <a:ea typeface="BIZ UDゴシック" panose="020B0400000000000000" pitchFamily="49" charset="-128"/>
            </a:rPr>
            <a:t>～</a:t>
          </a:r>
          <a:r>
            <a:rPr kumimoji="1" lang="en-US" altLang="ja-JP" sz="1100">
              <a:solidFill>
                <a:schemeClr val="tx1"/>
              </a:solidFill>
              <a:latin typeface="BIZ UDゴシック" panose="020B0400000000000000" pitchFamily="49" charset="-128"/>
              <a:ea typeface="BIZ UDゴシック" panose="020B0400000000000000" pitchFamily="49" charset="-128"/>
            </a:rPr>
            <a:t>AZ</a:t>
          </a:r>
          <a:r>
            <a:rPr kumimoji="1" lang="ja-JP" altLang="en-US" sz="1100">
              <a:solidFill>
                <a:schemeClr val="tx1"/>
              </a:solidFill>
              <a:latin typeface="BIZ UDゴシック" panose="020B0400000000000000" pitchFamily="49" charset="-128"/>
              <a:ea typeface="BIZ UDゴシック" panose="020B0400000000000000" pitchFamily="49" charset="-128"/>
            </a:rPr>
            <a:t>列</a:t>
          </a:r>
          <a:r>
            <a:rPr kumimoji="1" lang="en-US" altLang="ja-JP" sz="1100">
              <a:solidFill>
                <a:schemeClr val="tx1"/>
              </a:solidFill>
              <a:latin typeface="BIZ UDゴシック" panose="020B0400000000000000" pitchFamily="49" charset="-128"/>
              <a:ea typeface="BIZ UDゴシック" panose="020B0400000000000000" pitchFamily="49" charset="-128"/>
            </a:rPr>
            <a:t>43</a:t>
          </a:r>
          <a:r>
            <a:rPr kumimoji="1" lang="ja-JP" altLang="en-US" sz="1100">
              <a:solidFill>
                <a:schemeClr val="tx1"/>
              </a:solidFill>
              <a:latin typeface="BIZ UDゴシック" panose="020B0400000000000000" pitchFamily="49" charset="-128"/>
              <a:ea typeface="BIZ UDゴシック" panose="020B0400000000000000" pitchFamily="49" charset="-128"/>
            </a:rPr>
            <a:t>行目）全てが</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　 補助算定に含まれます。</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xdr:txBody>
    </xdr:sp>
    <xdr:clientData/>
  </xdr:twoCellAnchor>
  <xdr:twoCellAnchor>
    <xdr:from>
      <xdr:col>12</xdr:col>
      <xdr:colOff>402167</xdr:colOff>
      <xdr:row>53</xdr:row>
      <xdr:rowOff>714373</xdr:rowOff>
    </xdr:from>
    <xdr:to>
      <xdr:col>18</xdr:col>
      <xdr:colOff>428623</xdr:colOff>
      <xdr:row>53</xdr:row>
      <xdr:rowOff>1333498</xdr:rowOff>
    </xdr:to>
    <xdr:sp macro="" textlink="">
      <xdr:nvSpPr>
        <xdr:cNvPr id="235" name="正方形/長方形 234">
          <a:extLst>
            <a:ext uri="{FF2B5EF4-FFF2-40B4-BE49-F238E27FC236}">
              <a16:creationId xmlns:a16="http://schemas.microsoft.com/office/drawing/2014/main" id="{7555FFF6-EE07-403C-ADF4-E05104995E01}"/>
            </a:ext>
          </a:extLst>
        </xdr:cNvPr>
        <xdr:cNvSpPr/>
      </xdr:nvSpPr>
      <xdr:spPr bwMode="auto">
        <a:xfrm>
          <a:off x="7641167" y="21637623"/>
          <a:ext cx="3645956" cy="619125"/>
        </a:xfrm>
        <a:prstGeom prst="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100">
              <a:solidFill>
                <a:srgbClr val="FF0000"/>
              </a:solidFill>
              <a:latin typeface="BIZ UDゴシック" panose="020B0400000000000000" pitchFamily="49" charset="-128"/>
              <a:ea typeface="BIZ UDゴシック" panose="020B0400000000000000" pitchFamily="49" charset="-128"/>
            </a:rPr>
            <a:t> 「障害児加配」については、実配置数の限りにおいて、</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pPr algn="l"/>
          <a:r>
            <a:rPr kumimoji="1" lang="en-US" altLang="ja-JP" sz="1100">
              <a:solidFill>
                <a:srgbClr val="FF0000"/>
              </a:solidFill>
              <a:latin typeface="BIZ UDゴシック" panose="020B0400000000000000" pitchFamily="49" charset="-128"/>
              <a:ea typeface="BIZ UDゴシック" panose="020B0400000000000000" pitchFamily="49" charset="-128"/>
            </a:rPr>
            <a:t> </a:t>
          </a:r>
          <a:r>
            <a:rPr kumimoji="1" lang="ja-JP" altLang="en-US" sz="1100">
              <a:solidFill>
                <a:srgbClr val="FF0000"/>
              </a:solidFill>
              <a:latin typeface="BIZ UDゴシック" panose="020B0400000000000000" pitchFamily="49" charset="-128"/>
              <a:ea typeface="BIZ UDゴシック" panose="020B0400000000000000" pitchFamily="49" charset="-128"/>
            </a:rPr>
            <a:t>補助金の対象となります。</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19</xdr:col>
      <xdr:colOff>14622</xdr:colOff>
      <xdr:row>53</xdr:row>
      <xdr:rowOff>23813</xdr:rowOff>
    </xdr:from>
    <xdr:to>
      <xdr:col>23</xdr:col>
      <xdr:colOff>603249</xdr:colOff>
      <xdr:row>53</xdr:row>
      <xdr:rowOff>311813</xdr:rowOff>
    </xdr:to>
    <xdr:sp macro="" textlink="">
      <xdr:nvSpPr>
        <xdr:cNvPr id="236" name="右中かっこ 235">
          <a:extLst>
            <a:ext uri="{FF2B5EF4-FFF2-40B4-BE49-F238E27FC236}">
              <a16:creationId xmlns:a16="http://schemas.microsoft.com/office/drawing/2014/main" id="{A3B70122-5D82-469B-B696-2E310141532A}"/>
            </a:ext>
          </a:extLst>
        </xdr:cNvPr>
        <xdr:cNvSpPr/>
      </xdr:nvSpPr>
      <xdr:spPr bwMode="auto">
        <a:xfrm rot="5400000">
          <a:off x="12875519" y="19547916"/>
          <a:ext cx="288000" cy="3086294"/>
        </a:xfrm>
        <a:prstGeom prst="rightBrace">
          <a:avLst>
            <a:gd name="adj1" fmla="val 79167"/>
            <a:gd name="adj2" fmla="val 50000"/>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18</xdr:col>
      <xdr:colOff>190500</xdr:colOff>
      <xdr:row>52</xdr:row>
      <xdr:rowOff>654843</xdr:rowOff>
    </xdr:from>
    <xdr:to>
      <xdr:col>18</xdr:col>
      <xdr:colOff>523872</xdr:colOff>
      <xdr:row>53</xdr:row>
      <xdr:rowOff>702468</xdr:rowOff>
    </xdr:to>
    <xdr:cxnSp macro="">
      <xdr:nvCxnSpPr>
        <xdr:cNvPr id="237" name="直線コネクタ 236">
          <a:extLst>
            <a:ext uri="{FF2B5EF4-FFF2-40B4-BE49-F238E27FC236}">
              <a16:creationId xmlns:a16="http://schemas.microsoft.com/office/drawing/2014/main" id="{CE775B93-C386-4940-BEF2-B89FEB2D57B9}"/>
            </a:ext>
          </a:extLst>
        </xdr:cNvPr>
        <xdr:cNvCxnSpPr/>
      </xdr:nvCxnSpPr>
      <xdr:spPr bwMode="auto">
        <a:xfrm flipH="1">
          <a:off x="11049000" y="20773760"/>
          <a:ext cx="333372" cy="851958"/>
        </a:xfrm>
        <a:prstGeom prst="line">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cxnSp>
    <xdr:clientData/>
  </xdr:twoCellAnchor>
  <xdr:twoCellAnchor>
    <xdr:from>
      <xdr:col>0</xdr:col>
      <xdr:colOff>35720</xdr:colOff>
      <xdr:row>46</xdr:row>
      <xdr:rowOff>158750</xdr:rowOff>
    </xdr:from>
    <xdr:to>
      <xdr:col>11</xdr:col>
      <xdr:colOff>547688</xdr:colOff>
      <xdr:row>53</xdr:row>
      <xdr:rowOff>1345968</xdr:rowOff>
    </xdr:to>
    <xdr:sp macro="" textlink="">
      <xdr:nvSpPr>
        <xdr:cNvPr id="238" name="吹き出し: 右矢印 237">
          <a:extLst>
            <a:ext uri="{FF2B5EF4-FFF2-40B4-BE49-F238E27FC236}">
              <a16:creationId xmlns:a16="http://schemas.microsoft.com/office/drawing/2014/main" id="{C6235AD7-30BC-4840-B74C-BEA64AD442B8}"/>
            </a:ext>
          </a:extLst>
        </xdr:cNvPr>
        <xdr:cNvSpPr/>
      </xdr:nvSpPr>
      <xdr:spPr bwMode="auto">
        <a:xfrm>
          <a:off x="35720" y="17282583"/>
          <a:ext cx="7147718" cy="4986635"/>
        </a:xfrm>
        <a:prstGeom prst="rightArrowCallout">
          <a:avLst>
            <a:gd name="adj1" fmla="val 9020"/>
            <a:gd name="adj2" fmla="val 9521"/>
            <a:gd name="adj3" fmla="val 6366"/>
            <a:gd name="adj4" fmla="val 93308"/>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200">
              <a:solidFill>
                <a:srgbClr val="FF0000"/>
              </a:solidFill>
              <a:latin typeface="BIZ UDゴシック" panose="020B0400000000000000" pitchFamily="49" charset="-128"/>
              <a:ea typeface="BIZ UDゴシック" panose="020B0400000000000000" pitchFamily="49" charset="-128"/>
            </a:rPr>
            <a:t> 右表は、</a:t>
          </a:r>
          <a:r>
            <a:rPr kumimoji="1" lang="ja-JP" altLang="ja-JP" sz="1200">
              <a:solidFill>
                <a:srgbClr val="FF0000"/>
              </a:solidFill>
              <a:effectLst/>
              <a:latin typeface="BIZ UDゴシック" panose="020B0400000000000000" pitchFamily="49" charset="-128"/>
              <a:ea typeface="BIZ UDゴシック" panose="020B0400000000000000" pitchFamily="49" charset="-128"/>
              <a:cs typeface="+mn-cs"/>
            </a:rPr>
            <a:t>実配置の現状</a:t>
          </a:r>
          <a:r>
            <a:rPr kumimoji="1" lang="ja-JP" altLang="en-US" sz="1200">
              <a:solidFill>
                <a:srgbClr val="FF0000"/>
              </a:solidFill>
              <a:effectLst/>
              <a:latin typeface="BIZ UDゴシック" panose="020B0400000000000000" pitchFamily="49" charset="-128"/>
              <a:ea typeface="BIZ UDゴシック" panose="020B0400000000000000" pitchFamily="49" charset="-128"/>
              <a:cs typeface="+mn-cs"/>
            </a:rPr>
            <a:t>を踏まえた</a:t>
          </a:r>
          <a:r>
            <a:rPr kumimoji="1" lang="ja-JP" altLang="en-US" sz="1200">
              <a:solidFill>
                <a:srgbClr val="FF0000"/>
              </a:solidFill>
              <a:latin typeface="BIZ UDゴシック" panose="020B0400000000000000" pitchFamily="49" charset="-128"/>
              <a:ea typeface="BIZ UDゴシック" panose="020B0400000000000000" pitchFamily="49" charset="-128"/>
            </a:rPr>
            <a:t>人件費等補助金の補助算定状況を示しています。</a:t>
          </a:r>
          <a:endParaRPr kumimoji="1" lang="en-US" altLang="ja-JP" sz="1200">
            <a:solidFill>
              <a:srgbClr val="FF0000"/>
            </a:solidFill>
            <a:latin typeface="BIZ UDゴシック" panose="020B0400000000000000" pitchFamily="49" charset="-128"/>
            <a:ea typeface="BIZ UDゴシック" panose="020B0400000000000000" pitchFamily="49" charset="-128"/>
          </a:endParaRPr>
        </a:p>
        <a:p>
          <a:endParaRPr lang="ja-JP" altLang="ja-JP" sz="500">
            <a:effectLst/>
          </a:endParaRPr>
        </a:p>
        <a:p>
          <a:pPr algn="l"/>
          <a:r>
            <a:rPr kumimoji="1" lang="en-US" altLang="ja-JP" sz="1200">
              <a:latin typeface="BIZ UDゴシック" panose="020B0400000000000000" pitchFamily="49" charset="-128"/>
              <a:ea typeface="BIZ UDゴシック" panose="020B0400000000000000" pitchFamily="49" charset="-128"/>
            </a:rPr>
            <a:t> ※</a:t>
          </a:r>
          <a:r>
            <a:rPr kumimoji="1" lang="ja-JP" altLang="en-US" sz="1200">
              <a:latin typeface="BIZ UDゴシック" panose="020B0400000000000000" pitchFamily="49" charset="-128"/>
              <a:ea typeface="BIZ UDゴシック" panose="020B0400000000000000" pitchFamily="49" charset="-128"/>
            </a:rPr>
            <a:t>人件費等補助金がいくらになるかは、収入額（給付費等）、支出額（各園で実際</a:t>
          </a:r>
          <a:endParaRPr kumimoji="1" lang="en-US" altLang="ja-JP" sz="1200">
            <a:latin typeface="BIZ UDゴシック" panose="020B0400000000000000" pitchFamily="49" charset="-128"/>
            <a:ea typeface="BIZ UDゴシック" panose="020B0400000000000000" pitchFamily="49" charset="-128"/>
          </a:endParaRPr>
        </a:p>
        <a:p>
          <a:pPr algn="l"/>
          <a:r>
            <a:rPr kumimoji="1" lang="ja-JP" altLang="en-US" sz="1200">
              <a:latin typeface="BIZ UDゴシック" panose="020B0400000000000000" pitchFamily="49" charset="-128"/>
              <a:ea typeface="BIZ UDゴシック" panose="020B0400000000000000" pitchFamily="49" charset="-128"/>
            </a:rPr>
            <a:t> 　に支払われている人件費）、補助上限で計算しますが、補助上限について、保育</a:t>
          </a:r>
          <a:endParaRPr kumimoji="1" lang="en-US" altLang="ja-JP" sz="1200">
            <a:latin typeface="BIZ UDゴシック" panose="020B0400000000000000" pitchFamily="49" charset="-128"/>
            <a:ea typeface="BIZ UDゴシック" panose="020B0400000000000000" pitchFamily="49" charset="-128"/>
          </a:endParaRPr>
        </a:p>
        <a:p>
          <a:pPr algn="l"/>
          <a:r>
            <a:rPr kumimoji="1" lang="ja-JP" altLang="en-US" sz="1200">
              <a:latin typeface="BIZ UDゴシック" panose="020B0400000000000000" pitchFamily="49" charset="-128"/>
              <a:ea typeface="BIZ UDゴシック" panose="020B0400000000000000" pitchFamily="49" charset="-128"/>
            </a:rPr>
            <a:t> 　士等の場合は「補助算定職員数</a:t>
          </a:r>
          <a:r>
            <a:rPr kumimoji="1" lang="en-US" altLang="ja-JP" sz="1200">
              <a:latin typeface="BIZ UDゴシック" panose="020B0400000000000000" pitchFamily="49" charset="-128"/>
              <a:ea typeface="BIZ UDゴシック" panose="020B0400000000000000" pitchFamily="49" charset="-128"/>
            </a:rPr>
            <a:t>×</a:t>
          </a:r>
          <a:r>
            <a:rPr kumimoji="1" lang="ja-JP" altLang="en-US" sz="1200">
              <a:latin typeface="BIZ UDゴシック" panose="020B0400000000000000" pitchFamily="49" charset="-128"/>
              <a:ea typeface="BIZ UDゴシック" panose="020B0400000000000000" pitchFamily="49" charset="-128"/>
            </a:rPr>
            <a:t>単価」で算出します。</a:t>
          </a:r>
          <a:endParaRPr kumimoji="1" lang="en-US" altLang="ja-JP" sz="1200">
            <a:latin typeface="BIZ UDゴシック" panose="020B0400000000000000" pitchFamily="49" charset="-128"/>
            <a:ea typeface="BIZ UDゴシック" panose="020B0400000000000000" pitchFamily="49" charset="-128"/>
          </a:endParaRPr>
        </a:p>
        <a:p>
          <a:pPr algn="l"/>
          <a:r>
            <a:rPr kumimoji="1" lang="en-US" altLang="ja-JP" sz="1200">
              <a:latin typeface="BIZ UDゴシック" panose="020B0400000000000000" pitchFamily="49" charset="-128"/>
              <a:ea typeface="BIZ UDゴシック" panose="020B0400000000000000" pitchFamily="49" charset="-128"/>
            </a:rPr>
            <a:t> ※</a:t>
          </a:r>
          <a:r>
            <a:rPr kumimoji="1" lang="ja-JP" altLang="en-US" sz="1200">
              <a:latin typeface="BIZ UDゴシック" panose="020B0400000000000000" pitchFamily="49" charset="-128"/>
              <a:ea typeface="BIZ UDゴシック" panose="020B0400000000000000" pitchFamily="49" charset="-128"/>
            </a:rPr>
            <a:t>補助算定職員数は、①条例で定める配置基準に基づく職員数、②給付費の加算を</a:t>
          </a:r>
          <a:endParaRPr kumimoji="1" lang="en-US" altLang="ja-JP" sz="1200">
            <a:latin typeface="BIZ UDゴシック" panose="020B0400000000000000" pitchFamily="49" charset="-128"/>
            <a:ea typeface="BIZ UDゴシック" panose="020B0400000000000000" pitchFamily="49" charset="-128"/>
          </a:endParaRPr>
        </a:p>
        <a:p>
          <a:pPr algn="l"/>
          <a:r>
            <a:rPr kumimoji="1" lang="ja-JP" altLang="en-US" sz="1200">
              <a:latin typeface="BIZ UDゴシック" panose="020B0400000000000000" pitchFamily="49" charset="-128"/>
              <a:ea typeface="BIZ UDゴシック" panose="020B0400000000000000" pitchFamily="49" charset="-128"/>
            </a:rPr>
            <a:t> 　取得するために配置が必要な職員数をベースに、③障害児加配、④１歳児加配、</a:t>
          </a:r>
          <a:endParaRPr kumimoji="1" lang="en-US" altLang="ja-JP" sz="1200">
            <a:latin typeface="BIZ UDゴシック" panose="020B0400000000000000" pitchFamily="49" charset="-128"/>
            <a:ea typeface="BIZ UDゴシック" panose="020B0400000000000000" pitchFamily="49" charset="-128"/>
          </a:endParaRPr>
        </a:p>
        <a:p>
          <a:pPr algn="l"/>
          <a:r>
            <a:rPr kumimoji="1" lang="ja-JP" altLang="en-US" sz="1200">
              <a:latin typeface="BIZ UDゴシック" panose="020B0400000000000000" pitchFamily="49" charset="-128"/>
              <a:ea typeface="BIZ UDゴシック" panose="020B0400000000000000" pitchFamily="49" charset="-128"/>
            </a:rPr>
            <a:t> 　⑤標準保育時間対応保育士加配、⑥休憩対応保育士加配、⑦標準時間対応休憩保</a:t>
          </a:r>
          <a:endParaRPr kumimoji="1" lang="en-US" altLang="ja-JP" sz="1200">
            <a:latin typeface="BIZ UDゴシック" panose="020B0400000000000000" pitchFamily="49" charset="-128"/>
            <a:ea typeface="BIZ UDゴシック" panose="020B0400000000000000" pitchFamily="49" charset="-128"/>
          </a:endParaRPr>
        </a:p>
        <a:p>
          <a:pPr algn="l"/>
          <a:r>
            <a:rPr kumimoji="1" lang="ja-JP" altLang="en-US" sz="1200">
              <a:latin typeface="BIZ UDゴシック" panose="020B0400000000000000" pitchFamily="49" charset="-128"/>
              <a:ea typeface="BIZ UDゴシック" panose="020B0400000000000000" pitchFamily="49" charset="-128"/>
            </a:rPr>
            <a:t> 　育士加配、⑧３歳児加配という市独自の加配があり、実配置数の状況で、適用範</a:t>
          </a:r>
          <a:endParaRPr kumimoji="1" lang="en-US" altLang="ja-JP" sz="1200">
            <a:latin typeface="BIZ UDゴシック" panose="020B0400000000000000" pitchFamily="49" charset="-128"/>
            <a:ea typeface="BIZ UDゴシック" panose="020B0400000000000000" pitchFamily="49" charset="-128"/>
          </a:endParaRPr>
        </a:p>
        <a:p>
          <a:pPr algn="l"/>
          <a:r>
            <a:rPr kumimoji="1" lang="ja-JP" altLang="en-US" sz="1200">
              <a:latin typeface="BIZ UDゴシック" panose="020B0400000000000000" pitchFamily="49" charset="-128"/>
              <a:ea typeface="BIZ UDゴシック" panose="020B0400000000000000" pitchFamily="49" charset="-128"/>
            </a:rPr>
            <a:t>　 囲が決まります。</a:t>
          </a:r>
          <a:endParaRPr kumimoji="1" lang="en-US" altLang="ja-JP" sz="1200">
            <a:latin typeface="BIZ UDゴシック" panose="020B0400000000000000" pitchFamily="49" charset="-128"/>
            <a:ea typeface="BIZ UDゴシック" panose="020B0400000000000000" pitchFamily="49" charset="-128"/>
          </a:endParaRPr>
        </a:p>
        <a:p>
          <a:pPr algn="l"/>
          <a:endParaRPr kumimoji="1" lang="en-US" altLang="ja-JP" sz="400">
            <a:latin typeface="BIZ UDゴシック" panose="020B0400000000000000" pitchFamily="49" charset="-128"/>
            <a:ea typeface="BIZ UDゴシック" panose="020B0400000000000000" pitchFamily="49" charset="-128"/>
          </a:endParaRPr>
        </a:p>
        <a:p>
          <a:pPr algn="l"/>
          <a:r>
            <a:rPr kumimoji="1" lang="en-US" altLang="ja-JP" sz="1200">
              <a:solidFill>
                <a:srgbClr val="FF0000"/>
              </a:solidFill>
              <a:latin typeface="BIZ UDゴシック" panose="020B0400000000000000" pitchFamily="49" charset="-128"/>
              <a:ea typeface="BIZ UDゴシック" panose="020B0400000000000000" pitchFamily="49" charset="-128"/>
            </a:rPr>
            <a:t> 【</a:t>
          </a:r>
          <a:r>
            <a:rPr kumimoji="1" lang="ja-JP" altLang="en-US" sz="1200">
              <a:solidFill>
                <a:srgbClr val="FF0000"/>
              </a:solidFill>
              <a:latin typeface="BIZ UDゴシック" panose="020B0400000000000000" pitchFamily="49" charset="-128"/>
              <a:ea typeface="BIZ UDゴシック" panose="020B0400000000000000" pitchFamily="49" charset="-128"/>
            </a:rPr>
            <a:t>右表の見方</a:t>
          </a:r>
          <a:r>
            <a:rPr kumimoji="1" lang="en-US" altLang="ja-JP" sz="1200">
              <a:solidFill>
                <a:srgbClr val="FF0000"/>
              </a:solidFill>
              <a:latin typeface="BIZ UDゴシック" panose="020B0400000000000000" pitchFamily="49" charset="-128"/>
              <a:ea typeface="BIZ UDゴシック" panose="020B0400000000000000" pitchFamily="49" charset="-128"/>
            </a:rPr>
            <a:t>】</a:t>
          </a:r>
        </a:p>
        <a:p>
          <a:pPr algn="l"/>
          <a:r>
            <a:rPr kumimoji="1" lang="ja-JP" altLang="en-US" sz="1200">
              <a:solidFill>
                <a:srgbClr val="FF0000"/>
              </a:solidFill>
              <a:latin typeface="BIZ UDゴシック" panose="020B0400000000000000" pitchFamily="49" charset="-128"/>
              <a:ea typeface="BIZ UDゴシック" panose="020B0400000000000000" pitchFamily="49" charset="-128"/>
            </a:rPr>
            <a:t> ①「補助対象職員数の算定に含まれている加配」の行</a:t>
          </a:r>
          <a:endParaRPr kumimoji="1" lang="en-US" altLang="ja-JP" sz="12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200">
              <a:solidFill>
                <a:srgbClr val="FF0000"/>
              </a:solidFill>
              <a:latin typeface="BIZ UDゴシック" panose="020B0400000000000000" pitchFamily="49" charset="-128"/>
              <a:ea typeface="BIZ UDゴシック" panose="020B0400000000000000" pitchFamily="49" charset="-128"/>
            </a:rPr>
            <a:t> 　</a:t>
          </a:r>
          <a:r>
            <a:rPr kumimoji="1" lang="ja-JP" altLang="en-US" sz="1200">
              <a:solidFill>
                <a:schemeClr val="tx1"/>
              </a:solidFill>
              <a:latin typeface="BIZ UDゴシック" panose="020B0400000000000000" pitchFamily="49" charset="-128"/>
              <a:ea typeface="BIZ UDゴシック" panose="020B0400000000000000" pitchFamily="49" charset="-128"/>
            </a:rPr>
            <a:t>現在の実配置数で、補助対象職員数の算定に含まれている加配に「○」、含まれ</a:t>
          </a:r>
          <a:endParaRPr kumimoji="1" lang="en-US" altLang="ja-JP" sz="12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200">
              <a:solidFill>
                <a:schemeClr val="tx1"/>
              </a:solidFill>
              <a:latin typeface="BIZ UDゴシック" panose="020B0400000000000000" pitchFamily="49" charset="-128"/>
              <a:ea typeface="BIZ UDゴシック" panose="020B0400000000000000" pitchFamily="49" charset="-128"/>
            </a:rPr>
            <a:t> れていない加配に「</a:t>
          </a:r>
          <a:r>
            <a:rPr kumimoji="1" lang="en-US" altLang="ja-JP" sz="1200">
              <a:solidFill>
                <a:schemeClr val="tx1"/>
              </a:solidFill>
              <a:latin typeface="BIZ UDゴシック" panose="020B0400000000000000" pitchFamily="49" charset="-128"/>
              <a:ea typeface="BIZ UDゴシック" panose="020B0400000000000000" pitchFamily="49" charset="-128"/>
            </a:rPr>
            <a:t>-</a:t>
          </a:r>
          <a:r>
            <a:rPr kumimoji="1" lang="ja-JP" altLang="en-US" sz="1200">
              <a:solidFill>
                <a:schemeClr val="tx1"/>
              </a:solidFill>
              <a:latin typeface="BIZ UDゴシック" panose="020B0400000000000000" pitchFamily="49" charset="-128"/>
              <a:ea typeface="BIZ UDゴシック" panose="020B0400000000000000" pitchFamily="49" charset="-128"/>
            </a:rPr>
            <a:t>」を表示します。</a:t>
          </a:r>
          <a:endParaRPr kumimoji="1" lang="en-US" altLang="ja-JP" sz="12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200">
              <a:solidFill>
                <a:schemeClr val="tx1"/>
              </a:solidFill>
              <a:latin typeface="BIZ UDゴシック" panose="020B0400000000000000" pitchFamily="49" charset="-128"/>
              <a:ea typeface="BIZ UDゴシック" panose="020B0400000000000000" pitchFamily="49" charset="-128"/>
            </a:rPr>
            <a:t>　 なお、障害児の受入がない場合、障害児加配は「非該当」を表示します。</a:t>
          </a:r>
          <a:endParaRPr kumimoji="1" lang="en-US" altLang="ja-JP" sz="12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200">
              <a:solidFill>
                <a:srgbClr val="FF0000"/>
              </a:solidFill>
              <a:latin typeface="BIZ UDゴシック" panose="020B0400000000000000" pitchFamily="49" charset="-128"/>
              <a:ea typeface="BIZ UDゴシック" panose="020B0400000000000000" pitchFamily="49" charset="-128"/>
            </a:rPr>
            <a:t> ②「各加配を算定に含めるために必要な実配置数」の行</a:t>
          </a:r>
          <a:endParaRPr kumimoji="1" lang="en-US" altLang="ja-JP" sz="12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200">
              <a:solidFill>
                <a:srgbClr val="FF0000"/>
              </a:solidFill>
              <a:latin typeface="BIZ UDゴシック" panose="020B0400000000000000" pitchFamily="49" charset="-128"/>
              <a:ea typeface="BIZ UDゴシック" panose="020B0400000000000000" pitchFamily="49" charset="-128"/>
            </a:rPr>
            <a:t> 　</a:t>
          </a:r>
          <a:r>
            <a:rPr kumimoji="1" lang="ja-JP" altLang="en-US" sz="1200">
              <a:solidFill>
                <a:schemeClr val="tx1"/>
              </a:solidFill>
              <a:latin typeface="BIZ UDゴシック" panose="020B0400000000000000" pitchFamily="49" charset="-128"/>
              <a:ea typeface="BIZ UDゴシック" panose="020B0400000000000000" pitchFamily="49" charset="-128"/>
            </a:rPr>
            <a:t>各加配を算定に含めるためには、あとどれだけ実配置（年間平均）を増やす必要</a:t>
          </a:r>
          <a:endParaRPr kumimoji="1" lang="en-US" altLang="ja-JP" sz="12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200" baseline="0">
              <a:solidFill>
                <a:schemeClr val="tx1"/>
              </a:solidFill>
              <a:latin typeface="BIZ UDゴシック" panose="020B0400000000000000" pitchFamily="49" charset="-128"/>
              <a:ea typeface="BIZ UDゴシック" panose="020B0400000000000000" pitchFamily="49" charset="-128"/>
            </a:rPr>
            <a:t> が</a:t>
          </a:r>
          <a:r>
            <a:rPr kumimoji="1" lang="ja-JP" altLang="en-US" sz="1200">
              <a:solidFill>
                <a:schemeClr val="tx1"/>
              </a:solidFill>
              <a:latin typeface="BIZ UDゴシック" panose="020B0400000000000000" pitchFamily="49" charset="-128"/>
              <a:ea typeface="BIZ UDゴシック" panose="020B0400000000000000" pitchFamily="49" charset="-128"/>
            </a:rPr>
            <a:t>あるかを表示しています。なお既に算定に含まれている加配は「適用済」と表示</a:t>
          </a:r>
          <a:endParaRPr kumimoji="1" lang="en-US" altLang="ja-JP" sz="12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200">
              <a:solidFill>
                <a:schemeClr val="tx1"/>
              </a:solidFill>
              <a:latin typeface="BIZ UDゴシック" panose="020B0400000000000000" pitchFamily="49" charset="-128"/>
              <a:ea typeface="BIZ UDゴシック" panose="020B0400000000000000" pitchFamily="49" charset="-128"/>
            </a:rPr>
            <a:t> </a:t>
          </a:r>
          <a:r>
            <a:rPr kumimoji="1" lang="en-US" altLang="ja-JP" sz="1200" b="1" u="sng">
              <a:solidFill>
                <a:schemeClr val="tx1"/>
              </a:solidFill>
              <a:latin typeface="BIZ UDゴシック" panose="020B0400000000000000" pitchFamily="49" charset="-128"/>
              <a:ea typeface="BIZ UDゴシック" panose="020B0400000000000000" pitchFamily="49" charset="-128"/>
            </a:rPr>
            <a:t>※</a:t>
          </a:r>
          <a:r>
            <a:rPr kumimoji="1" lang="ja-JP" altLang="en-US" sz="1200" b="1" u="sng">
              <a:solidFill>
                <a:schemeClr val="tx1"/>
              </a:solidFill>
              <a:latin typeface="BIZ UDゴシック" panose="020B0400000000000000" pitchFamily="49" charset="-128"/>
              <a:ea typeface="BIZ UDゴシック" panose="020B0400000000000000" pitchFamily="49" charset="-128"/>
            </a:rPr>
            <a:t>新たに加配が適用されると補助上限が上がります（補助金は直ちに増えません）</a:t>
          </a:r>
          <a:endParaRPr kumimoji="1" lang="en-US" altLang="ja-JP" sz="1200" b="1" u="sng">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200">
              <a:solidFill>
                <a:srgbClr val="FF0000"/>
              </a:solidFill>
              <a:latin typeface="BIZ UDゴシック" panose="020B0400000000000000" pitchFamily="49" charset="-128"/>
              <a:ea typeface="BIZ UDゴシック" panose="020B0400000000000000" pitchFamily="49" charset="-128"/>
            </a:rPr>
            <a:t> ③「今後配置必要実配置数」の行</a:t>
          </a:r>
          <a:endParaRPr kumimoji="1" lang="en-US" altLang="ja-JP" sz="12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200">
              <a:solidFill>
                <a:srgbClr val="FF0000"/>
              </a:solidFill>
              <a:latin typeface="BIZ UDゴシック" panose="020B0400000000000000" pitchFamily="49" charset="-128"/>
              <a:ea typeface="BIZ UDゴシック" panose="020B0400000000000000" pitchFamily="49" charset="-128"/>
            </a:rPr>
            <a:t> 　</a:t>
          </a:r>
          <a:r>
            <a:rPr kumimoji="1" lang="ja-JP" altLang="en-US" sz="1200">
              <a:solidFill>
                <a:schemeClr val="tx1"/>
              </a:solidFill>
              <a:latin typeface="BIZ UDゴシック" panose="020B0400000000000000" pitchFamily="49" charset="-128"/>
              <a:ea typeface="BIZ UDゴシック" panose="020B0400000000000000" pitchFamily="49" charset="-128"/>
            </a:rPr>
            <a:t>補助算定職員数は年間平均で算出します。雇用開始月に応じて、②を満たすため</a:t>
          </a:r>
          <a:endParaRPr kumimoji="1" lang="en-US" altLang="ja-JP" sz="12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200">
              <a:solidFill>
                <a:schemeClr val="tx1"/>
              </a:solidFill>
              <a:latin typeface="BIZ UDゴシック" panose="020B0400000000000000" pitchFamily="49" charset="-128"/>
              <a:ea typeface="BIZ UDゴシック" panose="020B0400000000000000" pitchFamily="49" charset="-128"/>
            </a:rPr>
            <a:t> に</a:t>
          </a:r>
          <a:r>
            <a:rPr kumimoji="1" lang="ja-JP" altLang="en-US" sz="1100">
              <a:solidFill>
                <a:schemeClr val="tx1"/>
              </a:solidFill>
              <a:effectLst/>
              <a:latin typeface="BIZ UDゴシック" panose="020B0400000000000000" pitchFamily="49" charset="-128"/>
              <a:ea typeface="BIZ UDゴシック" panose="020B0400000000000000" pitchFamily="49" charset="-128"/>
              <a:cs typeface="+mn-cs"/>
            </a:rPr>
            <a:t>今後毎月</a:t>
          </a:r>
          <a:r>
            <a:rPr kumimoji="1" lang="ja-JP" altLang="en-US" sz="1200">
              <a:solidFill>
                <a:schemeClr val="tx1"/>
              </a:solidFill>
              <a:latin typeface="BIZ UDゴシック" panose="020B0400000000000000" pitchFamily="49" charset="-128"/>
              <a:ea typeface="BIZ UDゴシック" panose="020B0400000000000000" pitchFamily="49" charset="-128"/>
            </a:rPr>
            <a:t>何人分の雇用が必要かを示しています。（表右側の補足も要参照）</a:t>
          </a:r>
          <a:endParaRPr kumimoji="1" lang="en-US" altLang="ja-JP" sz="1200">
            <a:solidFill>
              <a:schemeClr val="tx1"/>
            </a:solidFill>
            <a:latin typeface="BIZ UDゴシック" panose="020B0400000000000000" pitchFamily="49" charset="-128"/>
            <a:ea typeface="BIZ UDゴシック" panose="020B0400000000000000" pitchFamily="49" charset="-128"/>
          </a:endParaRPr>
        </a:p>
      </xdr:txBody>
    </xdr:sp>
    <xdr:clientData/>
  </xdr:twoCellAnchor>
  <xdr:twoCellAnchor>
    <xdr:from>
      <xdr:col>24</xdr:col>
      <xdr:colOff>160071</xdr:colOff>
      <xdr:row>49</xdr:row>
      <xdr:rowOff>71437</xdr:rowOff>
    </xdr:from>
    <xdr:to>
      <xdr:col>34</xdr:col>
      <xdr:colOff>211666</xdr:colOff>
      <xdr:row>51</xdr:row>
      <xdr:rowOff>47625</xdr:rowOff>
    </xdr:to>
    <xdr:sp macro="" textlink="">
      <xdr:nvSpPr>
        <xdr:cNvPr id="239" name="吹き出し: 左矢印 238">
          <a:extLst>
            <a:ext uri="{FF2B5EF4-FFF2-40B4-BE49-F238E27FC236}">
              <a16:creationId xmlns:a16="http://schemas.microsoft.com/office/drawing/2014/main" id="{E77021CC-6B58-4B68-9918-BBD64EBEFBB7}"/>
            </a:ext>
          </a:extLst>
        </xdr:cNvPr>
        <xdr:cNvSpPr/>
      </xdr:nvSpPr>
      <xdr:spPr bwMode="auto">
        <a:xfrm>
          <a:off x="14722738" y="18539354"/>
          <a:ext cx="6084095" cy="1172104"/>
        </a:xfrm>
        <a:prstGeom prst="leftArrowCallout">
          <a:avLst>
            <a:gd name="adj1" fmla="val 18478"/>
            <a:gd name="adj2" fmla="val 19565"/>
            <a:gd name="adj3" fmla="val 13470"/>
            <a:gd name="adj4" fmla="val 95479"/>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ja-JP" sz="1100">
              <a:solidFill>
                <a:srgbClr val="FF0000"/>
              </a:solidFill>
              <a:effectLst/>
              <a:latin typeface="BIZ UDゴシック" panose="020B0400000000000000" pitchFamily="49" charset="-128"/>
              <a:ea typeface="BIZ UDゴシック" panose="020B0400000000000000" pitchFamily="49" charset="-128"/>
              <a:cs typeface="+mn-cs"/>
            </a:rPr>
            <a:t>様式２の「資格内容」のいずれかに○、「勤務実績」の雇用開始月以降に「○」を入れて</a:t>
          </a:r>
          <a:endPar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endParaRPr>
        </a:p>
        <a:p>
          <a:r>
            <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rPr>
            <a:t> </a:t>
          </a:r>
          <a:r>
            <a:rPr kumimoji="1" lang="ja-JP" altLang="ja-JP" sz="1100">
              <a:solidFill>
                <a:srgbClr val="FF0000"/>
              </a:solidFill>
              <a:effectLst/>
              <a:latin typeface="BIZ UDゴシック" panose="020B0400000000000000" pitchFamily="49" charset="-128"/>
              <a:ea typeface="BIZ UDゴシック" panose="020B0400000000000000" pitchFamily="49" charset="-128"/>
              <a:cs typeface="+mn-cs"/>
            </a:rPr>
            <a:t>いただく、又は様式３の「雇用期間」、「１箇月あたりの勤務時間」を仮に入力いただく</a:t>
          </a:r>
          <a:endPar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endParaRPr>
        </a:p>
        <a:p>
          <a:r>
            <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rPr>
            <a:t> </a:t>
          </a:r>
          <a:r>
            <a:rPr kumimoji="1" lang="ja-JP" altLang="ja-JP" sz="1100">
              <a:solidFill>
                <a:srgbClr val="FF0000"/>
              </a:solidFill>
              <a:effectLst/>
              <a:latin typeface="BIZ UDゴシック" panose="020B0400000000000000" pitchFamily="49" charset="-128"/>
              <a:ea typeface="BIZ UDゴシック" panose="020B0400000000000000" pitchFamily="49" charset="-128"/>
              <a:cs typeface="+mn-cs"/>
            </a:rPr>
            <a:t>ことで、新たに職員を雇用した場合にどうなるか、シミュレーションいただけます。</a:t>
          </a:r>
          <a:endParaRPr lang="ja-JP" altLang="ja-JP">
            <a:solidFill>
              <a:srgbClr val="FF0000"/>
            </a:solidFill>
            <a:effectLst/>
            <a:latin typeface="BIZ UDゴシック" panose="020B0400000000000000" pitchFamily="49" charset="-128"/>
            <a:ea typeface="BIZ UDゴシック" panose="020B0400000000000000" pitchFamily="49" charset="-128"/>
          </a:endParaRPr>
        </a:p>
        <a:p>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新たに雇用することを検討</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されている</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職員が</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専従の</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常勤</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職員</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の場合は様式２</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を</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a:t>
          </a:r>
          <a:endPar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en-US" sz="1100" baseline="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非常勤</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職員や非専従の常勤職員</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の場合は様式３を使用</a:t>
          </a:r>
          <a:endParaRPr lang="ja-JP" altLang="ja-JP">
            <a:effectLst/>
            <a:latin typeface="BIZ UDゴシック" panose="020B0400000000000000" pitchFamily="49" charset="-128"/>
            <a:ea typeface="BIZ UDゴシック" panose="020B0400000000000000" pitchFamily="49" charset="-128"/>
          </a:endParaRPr>
        </a:p>
      </xdr:txBody>
    </xdr:sp>
    <xdr:clientData/>
  </xdr:twoCellAnchor>
  <xdr:twoCellAnchor>
    <xdr:from>
      <xdr:col>24</xdr:col>
      <xdr:colOff>169596</xdr:colOff>
      <xdr:row>51</xdr:row>
      <xdr:rowOff>107156</xdr:rowOff>
    </xdr:from>
    <xdr:to>
      <xdr:col>34</xdr:col>
      <xdr:colOff>222250</xdr:colOff>
      <xdr:row>53</xdr:row>
      <xdr:rowOff>166687</xdr:rowOff>
    </xdr:to>
    <xdr:sp macro="" textlink="">
      <xdr:nvSpPr>
        <xdr:cNvPr id="240" name="吹き出し: 左矢印 239">
          <a:extLst>
            <a:ext uri="{FF2B5EF4-FFF2-40B4-BE49-F238E27FC236}">
              <a16:creationId xmlns:a16="http://schemas.microsoft.com/office/drawing/2014/main" id="{AF8CD88A-4EF7-478B-93C9-1B2FA0E3032B}"/>
            </a:ext>
          </a:extLst>
        </xdr:cNvPr>
        <xdr:cNvSpPr/>
      </xdr:nvSpPr>
      <xdr:spPr bwMode="auto">
        <a:xfrm>
          <a:off x="14732263" y="19770989"/>
          <a:ext cx="6085154" cy="1318948"/>
        </a:xfrm>
        <a:prstGeom prst="leftArrowCallout">
          <a:avLst>
            <a:gd name="adj1" fmla="val 18590"/>
            <a:gd name="adj2" fmla="val 17219"/>
            <a:gd name="adj3" fmla="val 12922"/>
            <a:gd name="adj4" fmla="val 95479"/>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 </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補足</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a:t>
          </a:r>
        </a:p>
        <a:p>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en-US" sz="1100">
              <a:solidFill>
                <a:srgbClr val="FF0000"/>
              </a:solidFill>
              <a:effectLst/>
              <a:latin typeface="BIZ UDゴシック" panose="020B0400000000000000" pitchFamily="49" charset="-128"/>
              <a:ea typeface="BIZ UDゴシック" panose="020B0400000000000000" pitchFamily="49" charset="-128"/>
              <a:cs typeface="+mn-cs"/>
            </a:rPr>
            <a:t>補助算定職員数は年間平均で算出しますので、例えば年間</a:t>
          </a:r>
          <a:r>
            <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rPr>
            <a:t>0.5</a:t>
          </a:r>
          <a:r>
            <a:rPr kumimoji="1" lang="ja-JP" altLang="en-US" sz="1100">
              <a:solidFill>
                <a:srgbClr val="FF0000"/>
              </a:solidFill>
              <a:effectLst/>
              <a:latin typeface="BIZ UDゴシック" panose="020B0400000000000000" pitchFamily="49" charset="-128"/>
              <a:ea typeface="BIZ UDゴシック" panose="020B0400000000000000" pitchFamily="49" charset="-128"/>
              <a:cs typeface="+mn-cs"/>
            </a:rPr>
            <a:t>人分の実配置を増やすには、</a:t>
          </a:r>
          <a:endPar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endParaRPr>
        </a:p>
        <a:p>
          <a:r>
            <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rPr>
            <a:t> </a:t>
          </a:r>
          <a:r>
            <a:rPr kumimoji="1" lang="ja-JP" altLang="en-US" sz="1100">
              <a:solidFill>
                <a:srgbClr val="FF0000"/>
              </a:solidFill>
              <a:effectLst/>
              <a:latin typeface="BIZ UDゴシック" panose="020B0400000000000000" pitchFamily="49" charset="-128"/>
              <a:ea typeface="BIZ UDゴシック" panose="020B0400000000000000" pitchFamily="49" charset="-128"/>
              <a:cs typeface="+mn-cs"/>
            </a:rPr>
            <a:t>４月雇用の場合は</a:t>
          </a:r>
          <a:r>
            <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rPr>
            <a:t>0.5</a:t>
          </a:r>
          <a:r>
            <a:rPr kumimoji="1" lang="ja-JP" altLang="en-US" sz="1100">
              <a:solidFill>
                <a:srgbClr val="FF0000"/>
              </a:solidFill>
              <a:effectLst/>
              <a:latin typeface="BIZ UDゴシック" panose="020B0400000000000000" pitchFamily="49" charset="-128"/>
              <a:ea typeface="BIZ UDゴシック" panose="020B0400000000000000" pitchFamily="49" charset="-128"/>
              <a:cs typeface="+mn-cs"/>
            </a:rPr>
            <a:t>人分で足りますが、</a:t>
          </a:r>
          <a:r>
            <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rPr>
            <a:t>10</a:t>
          </a:r>
          <a:r>
            <a:rPr kumimoji="1" lang="ja-JP" altLang="en-US" sz="1100">
              <a:solidFill>
                <a:srgbClr val="FF0000"/>
              </a:solidFill>
              <a:effectLst/>
              <a:latin typeface="BIZ UDゴシック" panose="020B0400000000000000" pitchFamily="49" charset="-128"/>
              <a:ea typeface="BIZ UDゴシック" panose="020B0400000000000000" pitchFamily="49" charset="-128"/>
              <a:cs typeface="+mn-cs"/>
            </a:rPr>
            <a:t>月雇用の場合は</a:t>
          </a:r>
          <a:r>
            <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rPr>
            <a:t>1.0</a:t>
          </a:r>
          <a:r>
            <a:rPr kumimoji="1" lang="ja-JP" altLang="en-US" sz="1100">
              <a:solidFill>
                <a:srgbClr val="FF0000"/>
              </a:solidFill>
              <a:effectLst/>
              <a:latin typeface="BIZ UDゴシック" panose="020B0400000000000000" pitchFamily="49" charset="-128"/>
              <a:ea typeface="BIZ UDゴシック" panose="020B0400000000000000" pitchFamily="49" charset="-128"/>
              <a:cs typeface="+mn-cs"/>
            </a:rPr>
            <a:t>人分が必要です。</a:t>
          </a:r>
          <a:endPar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endParaRPr>
        </a:p>
        <a:p>
          <a:r>
            <a:rPr kumimoji="1" lang="ja-JP" altLang="en-US" sz="1100" baseline="0">
              <a:solidFill>
                <a:srgbClr val="FF0000"/>
              </a:solidFill>
              <a:effectLst/>
              <a:latin typeface="BIZ UDゴシック" panose="020B0400000000000000" pitchFamily="49" charset="-128"/>
              <a:ea typeface="BIZ UDゴシック" panose="020B0400000000000000" pitchFamily="49" charset="-128"/>
              <a:cs typeface="+mn-cs"/>
            </a:rPr>
            <a:t> </a:t>
          </a:r>
          <a:r>
            <a:rPr kumimoji="1" lang="en-US" altLang="ja-JP" sz="1100">
              <a:solidFill>
                <a:srgbClr val="FF0000"/>
              </a:solidFill>
              <a:effectLst/>
              <a:latin typeface="BIZ UDゴシック" panose="020B0400000000000000" pitchFamily="49" charset="-128"/>
              <a:ea typeface="BIZ UDゴシック" panose="020B0400000000000000" pitchFamily="49" charset="-128"/>
              <a:cs typeface="+mn-cs"/>
            </a:rPr>
            <a:t>※</a:t>
          </a:r>
          <a:r>
            <a:rPr kumimoji="1" lang="ja-JP" altLang="en-US" sz="1100">
              <a:solidFill>
                <a:srgbClr val="FF0000"/>
              </a:solidFill>
              <a:effectLst/>
              <a:latin typeface="BIZ UDゴシック" panose="020B0400000000000000" pitchFamily="49" charset="-128"/>
              <a:ea typeface="BIZ UDゴシック" panose="020B0400000000000000" pitchFamily="49" charset="-128"/>
              <a:cs typeface="+mn-cs"/>
            </a:rPr>
            <a:t>複数人の組合せの場合、常勤換算人数は各々端数処理するため、若干誤差が生じます。</a:t>
          </a:r>
        </a:p>
        <a:p>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（例）４月雇用の場合　</a:t>
          </a:r>
          <a:r>
            <a:rPr kumimoji="1" lang="en-US" altLang="ja-JP" sz="1100" u="sng">
              <a:solidFill>
                <a:schemeClr val="dk1"/>
              </a:solidFill>
              <a:effectLst/>
              <a:latin typeface="BIZ UDゴシック" panose="020B0400000000000000" pitchFamily="49" charset="-128"/>
              <a:ea typeface="BIZ UDゴシック" panose="020B0400000000000000" pitchFamily="49" charset="-128"/>
              <a:cs typeface="+mn-cs"/>
            </a:rPr>
            <a:t>0.5</a:t>
          </a:r>
          <a:r>
            <a:rPr kumimoji="1" lang="ja-JP" altLang="en-US" sz="1100" u="sng">
              <a:solidFill>
                <a:schemeClr val="dk1"/>
              </a:solidFill>
              <a:effectLst/>
              <a:latin typeface="BIZ UDゴシック" panose="020B0400000000000000" pitchFamily="49" charset="-128"/>
              <a:ea typeface="BIZ UDゴシック" panose="020B0400000000000000" pitchFamily="49" charset="-128"/>
              <a:cs typeface="+mn-cs"/>
            </a:rPr>
            <a:t>人</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雇用月数</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12</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箇月（４月～３月）／年間</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12</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箇月＝平均</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0.5</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人</a:t>
          </a:r>
          <a:endPar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　　　</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10</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月雇用の場合　</a:t>
          </a:r>
          <a:r>
            <a:rPr kumimoji="1" lang="en-US" altLang="ja-JP" sz="1100" u="sng">
              <a:solidFill>
                <a:schemeClr val="dk1"/>
              </a:solidFill>
              <a:effectLst/>
              <a:latin typeface="BIZ UDゴシック" panose="020B0400000000000000" pitchFamily="49" charset="-128"/>
              <a:ea typeface="BIZ UDゴシック" panose="020B0400000000000000" pitchFamily="49" charset="-128"/>
              <a:cs typeface="+mn-cs"/>
            </a:rPr>
            <a:t>1.0</a:t>
          </a:r>
          <a:r>
            <a:rPr kumimoji="1" lang="ja-JP" altLang="en-US" sz="1100" u="sng">
              <a:solidFill>
                <a:schemeClr val="dk1"/>
              </a:solidFill>
              <a:effectLst/>
              <a:latin typeface="BIZ UDゴシック" panose="020B0400000000000000" pitchFamily="49" charset="-128"/>
              <a:ea typeface="BIZ UDゴシック" panose="020B0400000000000000" pitchFamily="49" charset="-128"/>
              <a:cs typeface="+mn-cs"/>
            </a:rPr>
            <a:t>人</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雇用月数６箇月（</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10</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月～３月）／年間</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12</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箇月＝平均</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0.5</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人</a:t>
          </a:r>
          <a:endParaRPr lang="ja-JP" altLang="ja-JP">
            <a:effectLst/>
            <a:latin typeface="BIZ UDゴシック" panose="020B0400000000000000" pitchFamily="49" charset="-128"/>
            <a:ea typeface="BIZ UDゴシック" panose="020B0400000000000000" pitchFamily="49" charset="-128"/>
          </a:endParaRPr>
        </a:p>
      </xdr:txBody>
    </xdr:sp>
    <xdr:clientData/>
  </xdr:twoCellAnchor>
  <xdr:twoCellAnchor>
    <xdr:from>
      <xdr:col>36</xdr:col>
      <xdr:colOff>162482</xdr:colOff>
      <xdr:row>5</xdr:row>
      <xdr:rowOff>688447</xdr:rowOff>
    </xdr:from>
    <xdr:to>
      <xdr:col>36</xdr:col>
      <xdr:colOff>629209</xdr:colOff>
      <xdr:row>6</xdr:row>
      <xdr:rowOff>4234</xdr:rowOff>
    </xdr:to>
    <xdr:sp macro="" textlink="">
      <xdr:nvSpPr>
        <xdr:cNvPr id="2" name="Text Box 9">
          <a:extLst>
            <a:ext uri="{FF2B5EF4-FFF2-40B4-BE49-F238E27FC236}">
              <a16:creationId xmlns:a16="http://schemas.microsoft.com/office/drawing/2014/main" id="{2D77BB5F-47BF-45A9-9CEF-8F8221D39E9D}"/>
            </a:ext>
          </a:extLst>
        </xdr:cNvPr>
        <xdr:cNvSpPr txBox="1">
          <a:spLocks noChangeArrowheads="1"/>
        </xdr:cNvSpPr>
      </xdr:nvSpPr>
      <xdr:spPr bwMode="auto">
        <a:xfrm>
          <a:off x="21964149" y="3334280"/>
          <a:ext cx="466727" cy="247121"/>
        </a:xfrm>
        <a:prstGeom prst="rect">
          <a:avLst/>
        </a:prstGeom>
        <a:noFill/>
        <a:ln>
          <a:noFill/>
        </a:ln>
      </xdr:spPr>
      <xdr:txBody>
        <a:bodyPr vertOverflow="clip" wrap="square" lIns="36576" tIns="18288" rIns="36576" bIns="0" anchor="t" upright="1"/>
        <a:lstStyle/>
        <a:p>
          <a:pPr algn="ctr" rtl="0">
            <a:defRPr sz="1000"/>
          </a:pPr>
          <a:r>
            <a:rPr lang="ja-JP" altLang="en-US" sz="1200" b="1" i="0" u="none" strike="noStrike" baseline="0">
              <a:solidFill>
                <a:srgbClr val="000000"/>
              </a:solidFill>
              <a:latin typeface="ＭＳ Ｐゴシック"/>
              <a:ea typeface="ＭＳ Ｐゴシック"/>
            </a:rPr>
            <a:t>⑥</a:t>
          </a:r>
          <a:r>
            <a:rPr lang="en-US" altLang="ja-JP" sz="12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51</xdr:col>
      <xdr:colOff>86791</xdr:colOff>
      <xdr:row>5</xdr:row>
      <xdr:rowOff>703266</xdr:rowOff>
    </xdr:from>
    <xdr:to>
      <xdr:col>51</xdr:col>
      <xdr:colOff>534466</xdr:colOff>
      <xdr:row>6</xdr:row>
      <xdr:rowOff>19053</xdr:rowOff>
    </xdr:to>
    <xdr:sp macro="" textlink="">
      <xdr:nvSpPr>
        <xdr:cNvPr id="18" name="Text Box 9">
          <a:extLst>
            <a:ext uri="{FF2B5EF4-FFF2-40B4-BE49-F238E27FC236}">
              <a16:creationId xmlns:a16="http://schemas.microsoft.com/office/drawing/2014/main" id="{5CF4DF3F-6DB7-46E5-8767-11754FB292AE}"/>
            </a:ext>
          </a:extLst>
        </xdr:cNvPr>
        <xdr:cNvSpPr txBox="1">
          <a:spLocks noChangeArrowheads="1"/>
        </xdr:cNvSpPr>
      </xdr:nvSpPr>
      <xdr:spPr bwMode="auto">
        <a:xfrm>
          <a:off x="31021874" y="3349099"/>
          <a:ext cx="447675" cy="247121"/>
        </a:xfrm>
        <a:prstGeom prst="rect">
          <a:avLst/>
        </a:prstGeom>
        <a:noFill/>
        <a:ln>
          <a:noFill/>
        </a:ln>
      </xdr:spPr>
      <xdr:txBody>
        <a:bodyPr vertOverflow="clip" wrap="square" lIns="36576" tIns="18288" rIns="36576" bIns="0" anchor="t" upright="1"/>
        <a:lstStyle/>
        <a:p>
          <a:pPr algn="ctr" rtl="0">
            <a:defRPr sz="1000"/>
          </a:pPr>
          <a:r>
            <a:rPr lang="ja-JP" altLang="en-US" sz="1200" b="1"/>
            <a:t>⑯</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50800</xdr:colOff>
      <xdr:row>0</xdr:row>
      <xdr:rowOff>114300</xdr:rowOff>
    </xdr:from>
    <xdr:to>
      <xdr:col>17</xdr:col>
      <xdr:colOff>622300</xdr:colOff>
      <xdr:row>2</xdr:row>
      <xdr:rowOff>406400</xdr:rowOff>
    </xdr:to>
    <xdr:sp macro="" textlink="">
      <xdr:nvSpPr>
        <xdr:cNvPr id="2" name="テキスト ボックス 1">
          <a:extLst>
            <a:ext uri="{FF2B5EF4-FFF2-40B4-BE49-F238E27FC236}">
              <a16:creationId xmlns:a16="http://schemas.microsoft.com/office/drawing/2014/main" id="{F9A27FBB-1F1E-485E-A259-89DC7C929F0C}"/>
            </a:ext>
          </a:extLst>
        </xdr:cNvPr>
        <xdr:cNvSpPr txBox="1"/>
      </xdr:nvSpPr>
      <xdr:spPr>
        <a:xfrm>
          <a:off x="10261600" y="114300"/>
          <a:ext cx="3416300" cy="800100"/>
        </a:xfrm>
        <a:prstGeom prst="rect">
          <a:avLst/>
        </a:prstGeom>
        <a:solidFill>
          <a:srgbClr val="FFFFC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「講師配置加算」の算定を受けている場合、</a:t>
          </a:r>
          <a:endParaRPr kumimoji="1" lang="en-US" altLang="ja-JP" sz="1200" b="1">
            <a:solidFill>
              <a:srgbClr val="FF0000"/>
            </a:solidFill>
          </a:endParaRPr>
        </a:p>
        <a:p>
          <a:r>
            <a:rPr kumimoji="1" lang="ja-JP" altLang="en-US" sz="1200" b="1">
              <a:solidFill>
                <a:srgbClr val="FF0000"/>
              </a:solidFill>
            </a:rPr>
            <a:t>当該加算の算定を受けるために配置している</a:t>
          </a:r>
          <a:endParaRPr kumimoji="1" lang="en-US" altLang="ja-JP" sz="1200" b="1">
            <a:solidFill>
              <a:srgbClr val="FF0000"/>
            </a:solidFill>
          </a:endParaRPr>
        </a:p>
        <a:p>
          <a:r>
            <a:rPr kumimoji="1" lang="ja-JP" altLang="en-US" sz="1200" b="1">
              <a:solidFill>
                <a:srgbClr val="FF0000"/>
              </a:solidFill>
            </a:rPr>
            <a:t>講師は入力しないでください。</a:t>
          </a:r>
          <a:endParaRPr kumimoji="1" lang="en-US" altLang="ja-JP" sz="1200" b="1">
            <a:solidFill>
              <a:srgbClr val="FF0000"/>
            </a:solidFill>
          </a:endParaRPr>
        </a:p>
      </xdr:txBody>
    </xdr:sp>
    <xdr:clientData/>
  </xdr:twoCellAnchor>
  <xdr:twoCellAnchor>
    <xdr:from>
      <xdr:col>19</xdr:col>
      <xdr:colOff>134472</xdr:colOff>
      <xdr:row>9</xdr:row>
      <xdr:rowOff>201714</xdr:rowOff>
    </xdr:from>
    <xdr:to>
      <xdr:col>30</xdr:col>
      <xdr:colOff>836241</xdr:colOff>
      <xdr:row>14</xdr:row>
      <xdr:rowOff>185606</xdr:rowOff>
    </xdr:to>
    <xdr:sp macro="" textlink="">
      <xdr:nvSpPr>
        <xdr:cNvPr id="3" name="正方形/長方形 2">
          <a:extLst>
            <a:ext uri="{FF2B5EF4-FFF2-40B4-BE49-F238E27FC236}">
              <a16:creationId xmlns:a16="http://schemas.microsoft.com/office/drawing/2014/main" id="{28068229-F86F-46AD-9CF6-22673E11544E}"/>
            </a:ext>
          </a:extLst>
        </xdr:cNvPr>
        <xdr:cNvSpPr/>
      </xdr:nvSpPr>
      <xdr:spPr bwMode="auto">
        <a:xfrm>
          <a:off x="14141825" y="4224626"/>
          <a:ext cx="7167563" cy="1440656"/>
        </a:xfrm>
        <a:prstGeom prst="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2400">
              <a:solidFill>
                <a:srgbClr val="FF0000"/>
              </a:solidFill>
              <a:latin typeface="BIZ UDゴシック" panose="020B0400000000000000" pitchFamily="49" charset="-128"/>
              <a:ea typeface="BIZ UDゴシック" panose="020B0400000000000000" pitchFamily="49" charset="-128"/>
            </a:rPr>
            <a:t>＜人件費等補助金用コメント＞</a:t>
          </a:r>
          <a:endParaRPr kumimoji="1" lang="en-US" altLang="ja-JP" sz="24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2400">
              <a:solidFill>
                <a:srgbClr val="FF0000"/>
              </a:solidFill>
              <a:latin typeface="BIZ UDゴシック" panose="020B0400000000000000" pitchFamily="49" charset="-128"/>
              <a:ea typeface="BIZ UDゴシック" panose="020B0400000000000000" pitchFamily="49" charset="-128"/>
            </a:rPr>
            <a:t>心理士を雇用している場合は、↓の入力欄に各月の勤務実績を入力してください。</a:t>
          </a:r>
          <a:endParaRPr kumimoji="1" lang="en-US" altLang="ja-JP" sz="24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21</xdr:col>
      <xdr:colOff>530683</xdr:colOff>
      <xdr:row>18</xdr:row>
      <xdr:rowOff>175100</xdr:rowOff>
    </xdr:from>
    <xdr:to>
      <xdr:col>23</xdr:col>
      <xdr:colOff>424128</xdr:colOff>
      <xdr:row>25</xdr:row>
      <xdr:rowOff>88254</xdr:rowOff>
    </xdr:to>
    <xdr:sp macro="" textlink="">
      <xdr:nvSpPr>
        <xdr:cNvPr id="4" name="矢印: 下 3">
          <a:extLst>
            <a:ext uri="{FF2B5EF4-FFF2-40B4-BE49-F238E27FC236}">
              <a16:creationId xmlns:a16="http://schemas.microsoft.com/office/drawing/2014/main" id="{25DB1D2F-E9B2-4632-94A6-6233B0333016}"/>
            </a:ext>
          </a:extLst>
        </xdr:cNvPr>
        <xdr:cNvSpPr/>
      </xdr:nvSpPr>
      <xdr:spPr bwMode="auto">
        <a:xfrm>
          <a:off x="15815507" y="6820188"/>
          <a:ext cx="991621" cy="1952625"/>
        </a:xfrm>
        <a:prstGeom prst="downArrow">
          <a:avLst/>
        </a:prstGeom>
        <a:solidFill>
          <a:srgbClr val="090000"/>
        </a:solidFill>
        <a:ln w="9525" cap="flat" cmpd="sng" algn="ctr">
          <a:solidFill>
            <a:srgbClr val="4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21</xdr:col>
      <xdr:colOff>516396</xdr:colOff>
      <xdr:row>36</xdr:row>
      <xdr:rowOff>131371</xdr:rowOff>
    </xdr:from>
    <xdr:to>
      <xdr:col>23</xdr:col>
      <xdr:colOff>409841</xdr:colOff>
      <xdr:row>43</xdr:row>
      <xdr:rowOff>35000</xdr:rowOff>
    </xdr:to>
    <xdr:sp macro="" textlink="">
      <xdr:nvSpPr>
        <xdr:cNvPr id="5" name="矢印: 下 4">
          <a:extLst>
            <a:ext uri="{FF2B5EF4-FFF2-40B4-BE49-F238E27FC236}">
              <a16:creationId xmlns:a16="http://schemas.microsoft.com/office/drawing/2014/main" id="{9B1D3AFA-0DFE-4D8D-BDFC-63B146AD4E9F}"/>
            </a:ext>
          </a:extLst>
        </xdr:cNvPr>
        <xdr:cNvSpPr/>
      </xdr:nvSpPr>
      <xdr:spPr bwMode="auto">
        <a:xfrm>
          <a:off x="15801220" y="12020812"/>
          <a:ext cx="991621" cy="1943100"/>
        </a:xfrm>
        <a:prstGeom prst="downArrow">
          <a:avLst/>
        </a:prstGeom>
        <a:solidFill>
          <a:srgbClr val="090000"/>
        </a:solidFill>
        <a:ln w="9525" cap="flat" cmpd="sng" algn="ctr">
          <a:solidFill>
            <a:srgbClr val="4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21</xdr:col>
      <xdr:colOff>514018</xdr:colOff>
      <xdr:row>55</xdr:row>
      <xdr:rowOff>77288</xdr:rowOff>
    </xdr:from>
    <xdr:to>
      <xdr:col>23</xdr:col>
      <xdr:colOff>407463</xdr:colOff>
      <xdr:row>61</xdr:row>
      <xdr:rowOff>86191</xdr:rowOff>
    </xdr:to>
    <xdr:sp macro="" textlink="">
      <xdr:nvSpPr>
        <xdr:cNvPr id="6" name="矢印: 下 5">
          <a:extLst>
            <a:ext uri="{FF2B5EF4-FFF2-40B4-BE49-F238E27FC236}">
              <a16:creationId xmlns:a16="http://schemas.microsoft.com/office/drawing/2014/main" id="{5D34286F-7D05-4E06-9639-084E42B6CCE6}"/>
            </a:ext>
          </a:extLst>
        </xdr:cNvPr>
        <xdr:cNvSpPr/>
      </xdr:nvSpPr>
      <xdr:spPr bwMode="auto">
        <a:xfrm>
          <a:off x="15798842" y="17502435"/>
          <a:ext cx="991621" cy="1947521"/>
        </a:xfrm>
        <a:prstGeom prst="downArrow">
          <a:avLst/>
        </a:prstGeom>
        <a:solidFill>
          <a:srgbClr val="090000"/>
        </a:solidFill>
        <a:ln w="9525" cap="flat" cmpd="sng" algn="ctr">
          <a:solidFill>
            <a:srgbClr val="4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20</xdr:col>
      <xdr:colOff>107040</xdr:colOff>
      <xdr:row>71</xdr:row>
      <xdr:rowOff>238004</xdr:rowOff>
    </xdr:from>
    <xdr:to>
      <xdr:col>21</xdr:col>
      <xdr:colOff>470130</xdr:colOff>
      <xdr:row>75</xdr:row>
      <xdr:rowOff>39099</xdr:rowOff>
    </xdr:to>
    <xdr:sp macro="" textlink="">
      <xdr:nvSpPr>
        <xdr:cNvPr id="7" name="矢印: 下 6">
          <a:extLst>
            <a:ext uri="{FF2B5EF4-FFF2-40B4-BE49-F238E27FC236}">
              <a16:creationId xmlns:a16="http://schemas.microsoft.com/office/drawing/2014/main" id="{3617925D-12E1-43A3-AC03-D4D7DCF8864D}"/>
            </a:ext>
          </a:extLst>
        </xdr:cNvPr>
        <xdr:cNvSpPr/>
      </xdr:nvSpPr>
      <xdr:spPr bwMode="auto">
        <a:xfrm rot="2373337">
          <a:off x="14753128" y="22515298"/>
          <a:ext cx="1001826" cy="1952625"/>
        </a:xfrm>
        <a:prstGeom prst="downArrow">
          <a:avLst/>
        </a:prstGeom>
        <a:solidFill>
          <a:srgbClr val="090000"/>
        </a:solidFill>
        <a:ln w="9525" cap="flat" cmpd="sng" algn="ctr">
          <a:solidFill>
            <a:srgbClr val="4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257175</xdr:colOff>
      <xdr:row>45</xdr:row>
      <xdr:rowOff>28575</xdr:rowOff>
    </xdr:from>
    <xdr:to>
      <xdr:col>13</xdr:col>
      <xdr:colOff>190500</xdr:colOff>
      <xdr:row>55</xdr:row>
      <xdr:rowOff>66675</xdr:rowOff>
    </xdr:to>
    <xdr:cxnSp macro="">
      <xdr:nvCxnSpPr>
        <xdr:cNvPr id="51571" name="直線矢印コネクタ 2">
          <a:extLst>
            <a:ext uri="{FF2B5EF4-FFF2-40B4-BE49-F238E27FC236}">
              <a16:creationId xmlns:a16="http://schemas.microsoft.com/office/drawing/2014/main" id="{52F0EF3D-15F1-406D-A7B8-B1AA7BD607C7}"/>
            </a:ext>
          </a:extLst>
        </xdr:cNvPr>
        <xdr:cNvCxnSpPr>
          <a:cxnSpLocks noChangeShapeType="1"/>
        </xdr:cNvCxnSpPr>
      </xdr:nvCxnSpPr>
      <xdr:spPr bwMode="auto">
        <a:xfrm flipH="1">
          <a:off x="5095875" y="10086975"/>
          <a:ext cx="209550" cy="2819400"/>
        </a:xfrm>
        <a:prstGeom prst="straightConnector1">
          <a:avLst/>
        </a:prstGeom>
        <a:noFill/>
        <a:ln w="9525" algn="ctr">
          <a:solidFill>
            <a:srgbClr val="4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30</xdr:col>
      <xdr:colOff>25400</xdr:colOff>
      <xdr:row>0</xdr:row>
      <xdr:rowOff>114300</xdr:rowOff>
    </xdr:from>
    <xdr:to>
      <xdr:col>37</xdr:col>
      <xdr:colOff>254000</xdr:colOff>
      <xdr:row>2</xdr:row>
      <xdr:rowOff>457200</xdr:rowOff>
    </xdr:to>
    <xdr:sp macro="" textlink="">
      <xdr:nvSpPr>
        <xdr:cNvPr id="4" name="テキスト ボックス 3">
          <a:extLst>
            <a:ext uri="{FF2B5EF4-FFF2-40B4-BE49-F238E27FC236}">
              <a16:creationId xmlns:a16="http://schemas.microsoft.com/office/drawing/2014/main" id="{09233F06-3E3D-493D-9B63-BADA473948CE}"/>
            </a:ext>
          </a:extLst>
        </xdr:cNvPr>
        <xdr:cNvSpPr txBox="1"/>
      </xdr:nvSpPr>
      <xdr:spPr>
        <a:xfrm>
          <a:off x="13601700" y="114300"/>
          <a:ext cx="3556000" cy="850900"/>
        </a:xfrm>
        <a:prstGeom prst="rect">
          <a:avLst/>
        </a:prstGeom>
        <a:solidFill>
          <a:srgbClr val="FFFFCC"/>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「講師配置加算」の算定を受けている場合、</a:t>
          </a:r>
          <a:endParaRPr kumimoji="1" lang="en-US" altLang="ja-JP" sz="1200" b="1">
            <a:solidFill>
              <a:srgbClr val="FF0000"/>
            </a:solidFill>
          </a:endParaRPr>
        </a:p>
        <a:p>
          <a:r>
            <a:rPr kumimoji="1" lang="ja-JP" altLang="en-US" sz="1200" b="1">
              <a:solidFill>
                <a:srgbClr val="FF0000"/>
              </a:solidFill>
            </a:rPr>
            <a:t>当該加算の算定を受けるために配置している</a:t>
          </a:r>
          <a:endParaRPr kumimoji="1" lang="en-US" altLang="ja-JP" sz="1200" b="1">
            <a:solidFill>
              <a:srgbClr val="FF0000"/>
            </a:solidFill>
          </a:endParaRPr>
        </a:p>
        <a:p>
          <a:r>
            <a:rPr kumimoji="1" lang="ja-JP" altLang="en-US" sz="1200" b="1">
              <a:solidFill>
                <a:srgbClr val="FF0000"/>
              </a:solidFill>
            </a:rPr>
            <a:t>講師は入力しないでください。</a:t>
          </a:r>
          <a:endParaRPr kumimoji="1" lang="en-US" altLang="ja-JP" sz="1200" b="1">
            <a:solidFill>
              <a:srgbClr val="FF0000"/>
            </a:solidFill>
          </a:endParaRPr>
        </a:p>
      </xdr:txBody>
    </xdr:sp>
    <xdr:clientData/>
  </xdr:twoCellAnchor>
  <xdr:twoCellAnchor>
    <xdr:from>
      <xdr:col>37</xdr:col>
      <xdr:colOff>571500</xdr:colOff>
      <xdr:row>2</xdr:row>
      <xdr:rowOff>698500</xdr:rowOff>
    </xdr:from>
    <xdr:to>
      <xdr:col>53</xdr:col>
      <xdr:colOff>206375</xdr:colOff>
      <xdr:row>9</xdr:row>
      <xdr:rowOff>206375</xdr:rowOff>
    </xdr:to>
    <xdr:sp macro="" textlink="">
      <xdr:nvSpPr>
        <xdr:cNvPr id="2" name="正方形/長方形 1">
          <a:extLst>
            <a:ext uri="{FF2B5EF4-FFF2-40B4-BE49-F238E27FC236}">
              <a16:creationId xmlns:a16="http://schemas.microsoft.com/office/drawing/2014/main" id="{1E5953DB-AAF5-4EA2-9668-4613944273A1}"/>
            </a:ext>
          </a:extLst>
        </xdr:cNvPr>
        <xdr:cNvSpPr/>
      </xdr:nvSpPr>
      <xdr:spPr bwMode="auto">
        <a:xfrm>
          <a:off x="17494250" y="1190625"/>
          <a:ext cx="9969500" cy="2190750"/>
        </a:xfrm>
        <a:prstGeom prst="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2000">
              <a:solidFill>
                <a:srgbClr val="FF0000"/>
              </a:solidFill>
              <a:latin typeface="BIZ UDゴシック" panose="020B0400000000000000" pitchFamily="49" charset="-128"/>
              <a:ea typeface="BIZ UDゴシック" panose="020B0400000000000000" pitchFamily="49" charset="-128"/>
            </a:rPr>
            <a:t>＜誰でも通園コメント＞</a:t>
          </a:r>
          <a:endParaRPr kumimoji="1" lang="en-US" altLang="ja-JP" sz="20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2000">
              <a:solidFill>
                <a:srgbClr val="FF0000"/>
              </a:solidFill>
              <a:latin typeface="BIZ UDゴシック" panose="020B0400000000000000" pitchFamily="49" charset="-128"/>
              <a:ea typeface="BIZ UDゴシック" panose="020B0400000000000000" pitchFamily="49" charset="-128"/>
            </a:rPr>
            <a:t>誰でも通園として従事した職員は、誰でも通園に専従した勤務時間分を除いて記載してください。</a:t>
          </a:r>
        </a:p>
        <a:p>
          <a:pPr algn="l"/>
          <a:r>
            <a:rPr kumimoji="1" lang="en-US" altLang="ja-JP" sz="2000">
              <a:solidFill>
                <a:srgbClr val="FF0000"/>
              </a:solidFill>
              <a:latin typeface="BIZ UDゴシック" panose="020B0400000000000000" pitchFamily="49" charset="-128"/>
              <a:ea typeface="BIZ UDゴシック" panose="020B0400000000000000" pitchFamily="49" charset="-128"/>
            </a:rPr>
            <a:t>※</a:t>
          </a:r>
          <a:r>
            <a:rPr kumimoji="1" lang="ja-JP" altLang="en-US" sz="2000">
              <a:solidFill>
                <a:srgbClr val="FF0000"/>
              </a:solidFill>
              <a:latin typeface="BIZ UDゴシック" panose="020B0400000000000000" pitchFamily="49" charset="-128"/>
              <a:ea typeface="BIZ UDゴシック" panose="020B0400000000000000" pitchFamily="49" charset="-128"/>
            </a:rPr>
            <a:t>本体保育に従事しながら誰通について「支援」を行った勤務時間は除かないこと</a:t>
          </a:r>
        </a:p>
        <a:p>
          <a:pPr algn="l"/>
          <a:r>
            <a:rPr kumimoji="1" lang="en-US" altLang="ja-JP" sz="2000">
              <a:solidFill>
                <a:srgbClr val="FF0000"/>
              </a:solidFill>
              <a:latin typeface="BIZ UDゴシック" panose="020B0400000000000000" pitchFamily="49" charset="-128"/>
              <a:ea typeface="BIZ UDゴシック" panose="020B0400000000000000" pitchFamily="49" charset="-128"/>
            </a:rPr>
            <a:t>※</a:t>
          </a:r>
          <a:r>
            <a:rPr kumimoji="1" lang="ja-JP" altLang="en-US" sz="2000">
              <a:solidFill>
                <a:srgbClr val="FF0000"/>
              </a:solidFill>
              <a:latin typeface="BIZ UDゴシック" panose="020B0400000000000000" pitchFamily="49" charset="-128"/>
              <a:ea typeface="BIZ UDゴシック" panose="020B0400000000000000" pitchFamily="49" charset="-128"/>
            </a:rPr>
            <a:t>誰通専任職員であっても、本体保育従事時間は本シートに記載すること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304800</xdr:colOff>
      <xdr:row>11</xdr:row>
      <xdr:rowOff>215900</xdr:rowOff>
    </xdr:from>
    <xdr:to>
      <xdr:col>50</xdr:col>
      <xdr:colOff>571500</xdr:colOff>
      <xdr:row>15</xdr:row>
      <xdr:rowOff>317501</xdr:rowOff>
    </xdr:to>
    <xdr:sp macro="" textlink="">
      <xdr:nvSpPr>
        <xdr:cNvPr id="2" name="線吹き出し 2 (枠付き) 1">
          <a:extLst>
            <a:ext uri="{FF2B5EF4-FFF2-40B4-BE49-F238E27FC236}">
              <a16:creationId xmlns:a16="http://schemas.microsoft.com/office/drawing/2014/main" id="{78C96DE4-0848-49FB-9AE8-1E8A7425EEC2}"/>
            </a:ext>
          </a:extLst>
        </xdr:cNvPr>
        <xdr:cNvSpPr/>
      </xdr:nvSpPr>
      <xdr:spPr bwMode="auto">
        <a:xfrm>
          <a:off x="20535900" y="3365500"/>
          <a:ext cx="3619500" cy="1422401"/>
        </a:xfrm>
        <a:prstGeom prst="borderCallout2">
          <a:avLst>
            <a:gd name="adj1" fmla="val 18750"/>
            <a:gd name="adj2" fmla="val -8333"/>
            <a:gd name="adj3" fmla="val 18750"/>
            <a:gd name="adj4" fmla="val -16667"/>
            <a:gd name="adj5" fmla="val -37037"/>
            <a:gd name="adj6" fmla="val -85108"/>
          </a:avLst>
        </a:prstGeom>
        <a:solidFill>
          <a:schemeClr val="bg1"/>
        </a:solidFill>
        <a:ln w="9525" cap="flat" cmpd="sng" algn="ctr">
          <a:solidFill>
            <a:srgbClr val="400000"/>
          </a:solidFill>
          <a:prstDash val="solid"/>
          <a:round/>
          <a:headEnd type="none" w="med" len="med"/>
          <a:tailEnd type="none" w="med" len="med"/>
        </a:ln>
        <a:effectLst>
          <a:outerShdw blurRad="50800" dist="38100" dir="5400000" algn="ctr" rotWithShape="0">
            <a:srgbClr val="000000">
              <a:alpha val="86000"/>
            </a:srgbClr>
          </a:outerShdw>
        </a:effectLst>
      </xdr:spPr>
      <xdr:txBody>
        <a:bodyPr vertOverflow="clip" wrap="square" lIns="18288" tIns="0" rIns="0" bIns="0" rtlCol="0" anchor="t" upright="1"/>
        <a:lstStyle/>
        <a:p>
          <a:pPr algn="l">
            <a:lnSpc>
              <a:spcPts val="1400"/>
            </a:lnSpc>
          </a:pPr>
          <a:r>
            <a:rPr kumimoji="1" lang="ja-JP" altLang="en-US" sz="1200">
              <a:latin typeface="+mj-ea"/>
              <a:ea typeface="+mj-ea"/>
            </a:rPr>
            <a:t>雇用契約等における</a:t>
          </a:r>
          <a:r>
            <a:rPr kumimoji="1" lang="en-US" altLang="ja-JP" sz="1200">
              <a:latin typeface="+mj-ea"/>
              <a:ea typeface="+mj-ea"/>
            </a:rPr>
            <a:t>1</a:t>
          </a:r>
          <a:r>
            <a:rPr kumimoji="1" lang="ja-JP" altLang="en-US" sz="1200">
              <a:latin typeface="+mj-ea"/>
              <a:ea typeface="+mj-ea"/>
            </a:rPr>
            <a:t>箇月あたりの労働時間数，又は変形労働時間制の場合は</a:t>
          </a:r>
          <a:r>
            <a:rPr kumimoji="1" lang="en-US" altLang="ja-JP" sz="1200">
              <a:latin typeface="+mj-ea"/>
              <a:ea typeface="+mj-ea"/>
            </a:rPr>
            <a:t>1</a:t>
          </a:r>
          <a:r>
            <a:rPr kumimoji="1" lang="ja-JP" altLang="en-US" sz="1200">
              <a:latin typeface="+mj-ea"/>
              <a:ea typeface="+mj-ea"/>
            </a:rPr>
            <a:t>箇月あたりの平均労働時間数を入力してください。</a:t>
          </a:r>
        </a:p>
        <a:p>
          <a:pPr algn="l">
            <a:lnSpc>
              <a:spcPts val="1400"/>
            </a:lnSpc>
          </a:pPr>
          <a:r>
            <a:rPr kumimoji="1" lang="ja-JP" altLang="en-US" sz="1200">
              <a:latin typeface="+mj-ea"/>
              <a:ea typeface="+mj-ea"/>
            </a:rPr>
            <a:t>契約の変更がない限り，全月（</a:t>
          </a:r>
          <a:r>
            <a:rPr kumimoji="1" lang="en-US" altLang="ja-JP" sz="1200">
              <a:latin typeface="+mj-ea"/>
              <a:ea typeface="+mj-ea"/>
            </a:rPr>
            <a:t>4</a:t>
          </a:r>
          <a:r>
            <a:rPr kumimoji="1" lang="ja-JP" altLang="en-US" sz="1200">
              <a:latin typeface="+mj-ea"/>
              <a:ea typeface="+mj-ea"/>
            </a:rPr>
            <a:t>月～</a:t>
          </a:r>
          <a:r>
            <a:rPr kumimoji="1" lang="en-US" altLang="ja-JP" sz="1200">
              <a:latin typeface="+mj-ea"/>
              <a:ea typeface="+mj-ea"/>
            </a:rPr>
            <a:t>3</a:t>
          </a:r>
          <a:r>
            <a:rPr kumimoji="1" lang="ja-JP" altLang="en-US" sz="1200">
              <a:latin typeface="+mj-ea"/>
              <a:ea typeface="+mj-ea"/>
            </a:rPr>
            <a:t>月）同じ時間数になります。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749DA-7BF3-4D02-A5BC-6630C8784C17}">
  <sheetPr>
    <pageSetUpPr fitToPage="1"/>
  </sheetPr>
  <dimension ref="A1:AQ13"/>
  <sheetViews>
    <sheetView view="pageBreakPreview" zoomScale="90" zoomScaleNormal="100" zoomScaleSheetLayoutView="90" workbookViewId="0"/>
  </sheetViews>
  <sheetFormatPr defaultRowHeight="13.5"/>
  <cols>
    <col min="1" max="1" width="5.5" bestFit="1" customWidth="1"/>
    <col min="2" max="2" width="3.5" bestFit="1" customWidth="1"/>
    <col min="3" max="3" width="3.5" customWidth="1"/>
    <col min="4" max="4" width="4.5" bestFit="1" customWidth="1"/>
    <col min="5" max="13" width="4.5" customWidth="1"/>
    <col min="14" max="19" width="4.5" bestFit="1" customWidth="1"/>
    <col min="20" max="23" width="4.5" customWidth="1"/>
    <col min="24" max="29" width="4.5" bestFit="1" customWidth="1"/>
    <col min="30" max="33" width="6.25" customWidth="1"/>
    <col min="34" max="35" width="4.625" bestFit="1" customWidth="1"/>
    <col min="36" max="39" width="4.625" customWidth="1"/>
    <col min="40" max="40" width="4.375" customWidth="1"/>
    <col min="41" max="43" width="3" style="424" bestFit="1" customWidth="1"/>
  </cols>
  <sheetData>
    <row r="1" spans="1:43" s="418" customFormat="1" ht="138" customHeight="1">
      <c r="A1" s="416" t="s">
        <v>121</v>
      </c>
      <c r="B1" s="416" t="s">
        <v>348</v>
      </c>
      <c r="C1" s="416" t="s">
        <v>349</v>
      </c>
      <c r="D1" s="416" t="s">
        <v>355</v>
      </c>
      <c r="E1" s="416" t="s">
        <v>356</v>
      </c>
      <c r="F1" s="416" t="s">
        <v>357</v>
      </c>
      <c r="G1" s="416" t="s">
        <v>358</v>
      </c>
      <c r="H1" s="416" t="s">
        <v>359</v>
      </c>
      <c r="I1" s="416" t="s">
        <v>360</v>
      </c>
      <c r="J1" s="416" t="s">
        <v>370</v>
      </c>
      <c r="K1" s="416" t="s">
        <v>361</v>
      </c>
      <c r="L1" s="416" t="s">
        <v>362</v>
      </c>
      <c r="M1" s="416" t="s">
        <v>363</v>
      </c>
      <c r="N1" s="416" t="s">
        <v>364</v>
      </c>
      <c r="O1" s="416" t="s">
        <v>365</v>
      </c>
      <c r="P1" s="416" t="s">
        <v>366</v>
      </c>
      <c r="Q1" s="416" t="s">
        <v>367</v>
      </c>
      <c r="R1" s="416" t="s">
        <v>368</v>
      </c>
      <c r="S1" s="416" t="s">
        <v>369</v>
      </c>
      <c r="T1" s="416" t="s">
        <v>371</v>
      </c>
      <c r="U1" s="416" t="s">
        <v>372</v>
      </c>
      <c r="V1" s="416" t="s">
        <v>373</v>
      </c>
      <c r="W1" s="416" t="s">
        <v>374</v>
      </c>
      <c r="X1" s="416" t="s">
        <v>375</v>
      </c>
      <c r="Y1" s="416" t="s">
        <v>376</v>
      </c>
      <c r="Z1" s="416" t="s">
        <v>377</v>
      </c>
      <c r="AA1" s="416" t="s">
        <v>378</v>
      </c>
      <c r="AB1" s="416" t="s">
        <v>379</v>
      </c>
      <c r="AC1" s="416" t="s">
        <v>380</v>
      </c>
      <c r="AD1" s="416" t="s">
        <v>350</v>
      </c>
      <c r="AE1" s="416" t="s">
        <v>351</v>
      </c>
      <c r="AF1" s="416" t="s">
        <v>405</v>
      </c>
      <c r="AG1" s="416" t="s">
        <v>406</v>
      </c>
      <c r="AH1" s="416" t="s">
        <v>352</v>
      </c>
      <c r="AI1" s="416" t="s">
        <v>353</v>
      </c>
      <c r="AJ1" s="416" t="s">
        <v>400</v>
      </c>
      <c r="AK1" s="416" t="s">
        <v>401</v>
      </c>
      <c r="AL1" s="416" t="s">
        <v>354</v>
      </c>
      <c r="AM1" s="416" t="s">
        <v>114</v>
      </c>
      <c r="AN1" s="416" t="s">
        <v>407</v>
      </c>
      <c r="AO1" s="417"/>
      <c r="AP1" s="417"/>
      <c r="AQ1" s="417"/>
    </row>
    <row r="2" spans="1:43">
      <c r="A2" s="419">
        <f>様式１!C1</f>
        <v>0</v>
      </c>
      <c r="B2" s="419">
        <v>4</v>
      </c>
      <c r="C2" s="420" t="str">
        <f t="shared" ref="C2:C13" si="0">TEXT(B2,"00")</f>
        <v>04</v>
      </c>
      <c r="D2" s="421">
        <f>様式１!C7</f>
        <v>0</v>
      </c>
      <c r="E2" s="421">
        <f>様式１!C8</f>
        <v>0</v>
      </c>
      <c r="F2" s="421">
        <f>様式１!C9</f>
        <v>0</v>
      </c>
      <c r="G2" s="421">
        <f>様式１!D7</f>
        <v>0</v>
      </c>
      <c r="H2" s="421">
        <f>様式１!D8</f>
        <v>0</v>
      </c>
      <c r="I2" s="421">
        <f>様式１!D9</f>
        <v>0</v>
      </c>
      <c r="J2" s="421">
        <f>様式１!I7</f>
        <v>0</v>
      </c>
      <c r="K2" s="421">
        <f>様式１!J7</f>
        <v>0</v>
      </c>
      <c r="L2" s="421">
        <f>様式１!K7</f>
        <v>0</v>
      </c>
      <c r="M2" s="421">
        <f>様式１!L7</f>
        <v>0</v>
      </c>
      <c r="N2" s="421">
        <f>様式１!J8</f>
        <v>0</v>
      </c>
      <c r="O2" s="421">
        <f>様式１!K8</f>
        <v>0</v>
      </c>
      <c r="P2" s="421">
        <f>様式１!L8</f>
        <v>0</v>
      </c>
      <c r="Q2" s="421">
        <f>様式１!E9</f>
        <v>0</v>
      </c>
      <c r="R2" s="421">
        <f>様式１!F9</f>
        <v>0</v>
      </c>
      <c r="S2" s="421">
        <f>様式１!H9</f>
        <v>0</v>
      </c>
      <c r="T2" s="421">
        <f>様式１!R7</f>
        <v>0</v>
      </c>
      <c r="U2" s="421">
        <f>様式１!S7</f>
        <v>0</v>
      </c>
      <c r="V2" s="421">
        <f>様式１!T7</f>
        <v>0</v>
      </c>
      <c r="W2" s="421">
        <f>様式１!U7</f>
        <v>0</v>
      </c>
      <c r="X2" s="421">
        <f>様式１!S8</f>
        <v>0</v>
      </c>
      <c r="Y2" s="421">
        <f>様式１!T8</f>
        <v>0</v>
      </c>
      <c r="Z2" s="421">
        <f>様式１!U8</f>
        <v>0</v>
      </c>
      <c r="AA2" s="421">
        <f>様式１!N9</f>
        <v>0</v>
      </c>
      <c r="AB2" s="421">
        <f>様式１!O9</f>
        <v>0</v>
      </c>
      <c r="AC2" s="421">
        <f>様式１!Q9</f>
        <v>0</v>
      </c>
      <c r="AD2" s="422" t="e">
        <f>様式１!BL7</f>
        <v>#VALUE!</v>
      </c>
      <c r="AE2" s="422" t="e">
        <f>様式１!$AR7</f>
        <v>#VALUE!</v>
      </c>
      <c r="AF2" s="423" t="e">
        <f>様式１!$AR7-参考_歳児別配置基準!$H4+参考_歳児別配置基準!$Y4</f>
        <v>#VALUE!</v>
      </c>
      <c r="AG2" s="423" t="e">
        <f>様式１!$AR7-参考_歳児別配置基準!$H4+参考_歳児別配置基準!$AB4</f>
        <v>#VALUE!</v>
      </c>
      <c r="AH2" s="421" cm="1">
        <f t="array" ref="AH2">_xlfn.IFS(様式１!AM7=0,1,様式１!AM7=1,2,様式１!AM7=2,3,様式１!AM7=3,4,様式１!AM7=3.5,5,様式１!AM7=4,6,様式１!AM7=4.5,7,様式１!AM7=5,8,様式１!AM7=5.5,9,様式１!AM7=6,"A",様式１!AM7=6.5,"B",様式１!AM7=7,"C",様式１!AM7=7.5,"D",様式１!AM7=8,"E")</f>
        <v>1</v>
      </c>
      <c r="AI2" s="421">
        <f>IF(加算等適用状況!G14="○",1,0)</f>
        <v>0</v>
      </c>
      <c r="AJ2" s="421">
        <f>IF(加算等適用状況!H14="○",1,0)</f>
        <v>0</v>
      </c>
      <c r="AK2" s="421">
        <f>IF(加算等適用状況!I14="○",1,0)</f>
        <v>0</v>
      </c>
      <c r="AL2" s="421">
        <f>IF(加算等適用状況!J14="○",1,0)</f>
        <v>0</v>
      </c>
      <c r="AM2" s="421">
        <f>IF(加算等適用状況!K14="○",1,0)</f>
        <v>0</v>
      </c>
      <c r="AN2" s="472">
        <f>'様式３（非専従の常勤＋非常勤）'!L39</f>
        <v>0</v>
      </c>
    </row>
    <row r="3" spans="1:43">
      <c r="A3" s="421">
        <f>A$2</f>
        <v>0</v>
      </c>
      <c r="B3" s="419">
        <v>5</v>
      </c>
      <c r="C3" s="420" t="str">
        <f t="shared" si="0"/>
        <v>05</v>
      </c>
      <c r="D3" s="421">
        <f>様式１!C10</f>
        <v>0</v>
      </c>
      <c r="E3" s="421">
        <f>様式１!C11</f>
        <v>0</v>
      </c>
      <c r="F3" s="421">
        <f>様式１!C12</f>
        <v>0</v>
      </c>
      <c r="G3" s="421">
        <f>様式１!D10</f>
        <v>0</v>
      </c>
      <c r="H3" s="421">
        <f>様式１!D11</f>
        <v>0</v>
      </c>
      <c r="I3" s="421">
        <f>様式１!D12</f>
        <v>0</v>
      </c>
      <c r="J3" s="421">
        <f>様式１!I10</f>
        <v>0</v>
      </c>
      <c r="K3" s="421">
        <f>様式１!J10</f>
        <v>0</v>
      </c>
      <c r="L3" s="421">
        <f>様式１!K10</f>
        <v>0</v>
      </c>
      <c r="M3" s="421">
        <f>様式１!L10</f>
        <v>0</v>
      </c>
      <c r="N3" s="421">
        <f>様式１!J11</f>
        <v>0</v>
      </c>
      <c r="O3" s="421">
        <f>様式１!K11</f>
        <v>0</v>
      </c>
      <c r="P3" s="421">
        <f>様式１!L11</f>
        <v>0</v>
      </c>
      <c r="Q3" s="421">
        <f>様式１!E12</f>
        <v>0</v>
      </c>
      <c r="R3" s="421">
        <f>様式１!F12</f>
        <v>0</v>
      </c>
      <c r="S3" s="421">
        <f>様式１!H12</f>
        <v>0</v>
      </c>
      <c r="T3" s="421">
        <f>様式１!R10</f>
        <v>0</v>
      </c>
      <c r="U3" s="421">
        <f>様式１!S10</f>
        <v>0</v>
      </c>
      <c r="V3" s="421">
        <f>様式１!T10</f>
        <v>0</v>
      </c>
      <c r="W3" s="421">
        <f>様式１!U10</f>
        <v>0</v>
      </c>
      <c r="X3" s="421">
        <f>様式１!S11</f>
        <v>0</v>
      </c>
      <c r="Y3" s="421">
        <f>様式１!T11</f>
        <v>0</v>
      </c>
      <c r="Z3" s="421">
        <f>様式１!U11</f>
        <v>0</v>
      </c>
      <c r="AA3" s="421">
        <f>様式１!N12</f>
        <v>0</v>
      </c>
      <c r="AB3" s="421">
        <f>様式１!O12</f>
        <v>0</v>
      </c>
      <c r="AC3" s="421">
        <f>様式１!Q12</f>
        <v>0</v>
      </c>
      <c r="AD3" s="422" t="e">
        <f>様式１!BL10</f>
        <v>#VALUE!</v>
      </c>
      <c r="AE3" s="422" t="e">
        <f>様式１!$AR10</f>
        <v>#VALUE!</v>
      </c>
      <c r="AF3" s="423" t="e">
        <f>様式１!$AR10-参考_歳児別配置基準!$H14+参考_歳児別配置基準!$Y14</f>
        <v>#VALUE!</v>
      </c>
      <c r="AG3" s="423" t="e">
        <f>様式１!$AR10-参考_歳児別配置基準!$H14+参考_歳児別配置基準!$AB14</f>
        <v>#VALUE!</v>
      </c>
      <c r="AH3" s="421" cm="1">
        <f t="array" ref="AH3">_xlfn.IFS(様式１!AM10=0,1,様式１!AM10=1,2,様式１!AM10=2,3,様式１!AM10=3,4,様式１!AM10=3.5,5,様式１!AM10=4,6,様式１!AM10=4.5,7,様式１!AM10=5,8,様式１!AM10=5.5,9,様式１!AM10=6,"A",様式１!AM10=6.5,"B",様式１!AM10=7,"C",様式１!AM10=7.5,"D",様式１!AM10=8,"E")</f>
        <v>1</v>
      </c>
      <c r="AI3" s="421">
        <f>IF(加算等適用状況!G15="○",1,0)</f>
        <v>0</v>
      </c>
      <c r="AJ3" s="421">
        <f>IF(加算等適用状況!H15="○",1,0)</f>
        <v>0</v>
      </c>
      <c r="AK3" s="421">
        <f>IF(加算等適用状況!I15="○",1,0)</f>
        <v>0</v>
      </c>
      <c r="AL3" s="421">
        <f>IF(加算等適用状況!J15="○",1,0)</f>
        <v>0</v>
      </c>
      <c r="AM3" s="421">
        <f>IF(加算等適用状況!K15="○",1,0)</f>
        <v>0</v>
      </c>
      <c r="AN3" s="472">
        <f>AN$2</f>
        <v>0</v>
      </c>
      <c r="AO3" s="425"/>
      <c r="AP3" s="425"/>
      <c r="AQ3" s="425"/>
    </row>
    <row r="4" spans="1:43">
      <c r="A4" s="421">
        <f t="shared" ref="A4:A13" si="1">A$2</f>
        <v>0</v>
      </c>
      <c r="B4" s="419">
        <v>6</v>
      </c>
      <c r="C4" s="420" t="str">
        <f t="shared" si="0"/>
        <v>06</v>
      </c>
      <c r="D4" s="421">
        <f>様式１!C13</f>
        <v>0</v>
      </c>
      <c r="E4" s="421">
        <f>様式１!C14</f>
        <v>0</v>
      </c>
      <c r="F4" s="421">
        <f>様式１!C15</f>
        <v>0</v>
      </c>
      <c r="G4" s="421">
        <f>様式１!D13</f>
        <v>0</v>
      </c>
      <c r="H4" s="421">
        <f>様式１!D14</f>
        <v>0</v>
      </c>
      <c r="I4" s="421">
        <f>様式１!D15</f>
        <v>0</v>
      </c>
      <c r="J4" s="421">
        <f>様式１!I13</f>
        <v>0</v>
      </c>
      <c r="K4" s="421">
        <f>様式１!J13</f>
        <v>0</v>
      </c>
      <c r="L4" s="421">
        <f>様式１!K13</f>
        <v>0</v>
      </c>
      <c r="M4" s="421">
        <f>様式１!L13</f>
        <v>0</v>
      </c>
      <c r="N4" s="421">
        <f>様式１!J14</f>
        <v>0</v>
      </c>
      <c r="O4" s="421">
        <f>様式１!K14</f>
        <v>0</v>
      </c>
      <c r="P4" s="421">
        <f>様式１!L14</f>
        <v>0</v>
      </c>
      <c r="Q4" s="421">
        <f>様式１!E15</f>
        <v>0</v>
      </c>
      <c r="R4" s="421">
        <f>様式１!F15</f>
        <v>0</v>
      </c>
      <c r="S4" s="421">
        <f>様式１!H15</f>
        <v>0</v>
      </c>
      <c r="T4" s="421">
        <f>様式１!R13</f>
        <v>0</v>
      </c>
      <c r="U4" s="421">
        <f>様式１!S13</f>
        <v>0</v>
      </c>
      <c r="V4" s="421">
        <f>様式１!T13</f>
        <v>0</v>
      </c>
      <c r="W4" s="421">
        <f>様式１!U13</f>
        <v>0</v>
      </c>
      <c r="X4" s="421">
        <f>様式１!S14</f>
        <v>0</v>
      </c>
      <c r="Y4" s="421">
        <f>様式１!T14</f>
        <v>0</v>
      </c>
      <c r="Z4" s="421">
        <f>様式１!U14</f>
        <v>0</v>
      </c>
      <c r="AA4" s="421">
        <f>様式１!N15</f>
        <v>0</v>
      </c>
      <c r="AB4" s="421">
        <f>様式１!O15</f>
        <v>0</v>
      </c>
      <c r="AC4" s="421">
        <f>様式１!Q15</f>
        <v>0</v>
      </c>
      <c r="AD4" s="422" t="e">
        <f>様式１!BL13</f>
        <v>#VALUE!</v>
      </c>
      <c r="AE4" s="422" t="e">
        <f>様式１!$AR13</f>
        <v>#VALUE!</v>
      </c>
      <c r="AF4" s="423" t="e">
        <f>様式１!$AR13-参考_歳児別配置基準!$H24+参考_歳児別配置基準!$Y24</f>
        <v>#VALUE!</v>
      </c>
      <c r="AG4" s="423" t="e">
        <f>様式１!$AR13-参考_歳児別配置基準!$H24+参考_歳児別配置基準!$AB24</f>
        <v>#VALUE!</v>
      </c>
      <c r="AH4" s="421" cm="1">
        <f t="array" ref="AH4">_xlfn.IFS(様式１!AM13=0,1,様式１!AM13=1,2,様式１!AM13=2,3,様式１!AM13=3,4,様式１!AM13=3.5,5,様式１!AM13=4,6,様式１!AM13=4.5,7,様式１!AM13=5,8,様式１!AM13=5.5,9,様式１!AM13=6,"A",様式１!AM13=6.5,"B",様式１!AM13=7,"C",様式１!AM13=7.5,"D",様式１!AM13=8,"E")</f>
        <v>1</v>
      </c>
      <c r="AI4" s="421">
        <f>IF(加算等適用状況!G16="○",1,0)</f>
        <v>0</v>
      </c>
      <c r="AJ4" s="421">
        <f>IF(加算等適用状況!H16="○",1,0)</f>
        <v>0</v>
      </c>
      <c r="AK4" s="421">
        <f>IF(加算等適用状況!I16="○",1,0)</f>
        <v>0</v>
      </c>
      <c r="AL4" s="421">
        <f>IF(加算等適用状況!J16="○",1,0)</f>
        <v>0</v>
      </c>
      <c r="AM4" s="421">
        <f>IF(加算等適用状況!K16="○",1,0)</f>
        <v>0</v>
      </c>
      <c r="AN4" s="472">
        <f t="shared" ref="AN4:AN13" si="2">AN$2</f>
        <v>0</v>
      </c>
      <c r="AO4" s="425"/>
      <c r="AP4" s="425"/>
      <c r="AQ4" s="425"/>
    </row>
    <row r="5" spans="1:43">
      <c r="A5" s="421">
        <f t="shared" si="1"/>
        <v>0</v>
      </c>
      <c r="B5" s="419">
        <v>7</v>
      </c>
      <c r="C5" s="420" t="str">
        <f t="shared" si="0"/>
        <v>07</v>
      </c>
      <c r="D5" s="421">
        <f>様式１!C16</f>
        <v>0</v>
      </c>
      <c r="E5" s="421">
        <f>様式１!C17</f>
        <v>0</v>
      </c>
      <c r="F5" s="421">
        <f>様式１!C18</f>
        <v>0</v>
      </c>
      <c r="G5" s="421">
        <f>様式１!D16</f>
        <v>0</v>
      </c>
      <c r="H5" s="421">
        <f>様式１!D17</f>
        <v>0</v>
      </c>
      <c r="I5" s="421">
        <f>様式１!D18</f>
        <v>0</v>
      </c>
      <c r="J5" s="421">
        <f>様式１!I16</f>
        <v>0</v>
      </c>
      <c r="K5" s="421">
        <f>様式１!J16</f>
        <v>0</v>
      </c>
      <c r="L5" s="421">
        <f>様式１!K16</f>
        <v>0</v>
      </c>
      <c r="M5" s="421">
        <f>様式１!L16</f>
        <v>0</v>
      </c>
      <c r="N5" s="421">
        <f>様式１!J17</f>
        <v>0</v>
      </c>
      <c r="O5" s="421">
        <f>様式１!K17</f>
        <v>0</v>
      </c>
      <c r="P5" s="421">
        <f>様式１!L17</f>
        <v>0</v>
      </c>
      <c r="Q5" s="421">
        <f>様式１!E18</f>
        <v>0</v>
      </c>
      <c r="R5" s="421">
        <f>様式１!F18</f>
        <v>0</v>
      </c>
      <c r="S5" s="421">
        <f>様式１!H18</f>
        <v>0</v>
      </c>
      <c r="T5" s="421">
        <f>様式１!R16</f>
        <v>0</v>
      </c>
      <c r="U5" s="421">
        <f>様式１!S16</f>
        <v>0</v>
      </c>
      <c r="V5" s="421">
        <f>様式１!T16</f>
        <v>0</v>
      </c>
      <c r="W5" s="421">
        <f>様式１!U16</f>
        <v>0</v>
      </c>
      <c r="X5" s="421">
        <f>様式１!S17</f>
        <v>0</v>
      </c>
      <c r="Y5" s="421">
        <f>様式１!T17</f>
        <v>0</v>
      </c>
      <c r="Z5" s="421">
        <f>様式１!U17</f>
        <v>0</v>
      </c>
      <c r="AA5" s="421">
        <f>様式１!N18</f>
        <v>0</v>
      </c>
      <c r="AB5" s="421">
        <f>様式１!O18</f>
        <v>0</v>
      </c>
      <c r="AC5" s="421">
        <f>様式１!Q18</f>
        <v>0</v>
      </c>
      <c r="AD5" s="422" t="e">
        <f>様式１!BL16</f>
        <v>#VALUE!</v>
      </c>
      <c r="AE5" s="422" t="e">
        <f>様式１!$AR16</f>
        <v>#VALUE!</v>
      </c>
      <c r="AF5" s="423" t="e">
        <f>様式１!$AR16-参考_歳児別配置基準!$H34+参考_歳児別配置基準!$Y34</f>
        <v>#VALUE!</v>
      </c>
      <c r="AG5" s="423" t="e">
        <f>様式１!$AR16-参考_歳児別配置基準!$H34+参考_歳児別配置基準!$AB34</f>
        <v>#VALUE!</v>
      </c>
      <c r="AH5" s="421" cm="1">
        <f t="array" ref="AH5">_xlfn.IFS(様式１!AM16=0,1,様式１!AM16=1,2,様式１!AM16=2,3,様式１!AM16=3,4,様式１!AM16=3.5,5,様式１!AM16=4,6,様式１!AM16=4.5,7,様式１!AM16=5,8,様式１!AM16=5.5,9,様式１!AM16=6,"A",様式１!AM16=6.5,"B",様式１!AM16=7,"C",様式１!AM16=7.5,"D",様式１!AM16=8,"E")</f>
        <v>1</v>
      </c>
      <c r="AI5" s="421">
        <f>IF(加算等適用状況!G17="○",1,0)</f>
        <v>0</v>
      </c>
      <c r="AJ5" s="421">
        <f>IF(加算等適用状況!H17="○",1,0)</f>
        <v>0</v>
      </c>
      <c r="AK5" s="421">
        <f>IF(加算等適用状況!I17="○",1,0)</f>
        <v>0</v>
      </c>
      <c r="AL5" s="421">
        <f>IF(加算等適用状況!J17="○",1,0)</f>
        <v>0</v>
      </c>
      <c r="AM5" s="421">
        <f>IF(加算等適用状況!K17="○",1,0)</f>
        <v>0</v>
      </c>
      <c r="AN5" s="472">
        <f t="shared" si="2"/>
        <v>0</v>
      </c>
      <c r="AO5" s="425"/>
      <c r="AP5" s="425"/>
      <c r="AQ5" s="425"/>
    </row>
    <row r="6" spans="1:43">
      <c r="A6" s="421">
        <f t="shared" si="1"/>
        <v>0</v>
      </c>
      <c r="B6" s="419">
        <v>8</v>
      </c>
      <c r="C6" s="420" t="str">
        <f t="shared" si="0"/>
        <v>08</v>
      </c>
      <c r="D6" s="421">
        <f>様式１!C19</f>
        <v>0</v>
      </c>
      <c r="E6" s="421">
        <f>様式１!C20</f>
        <v>0</v>
      </c>
      <c r="F6" s="421">
        <f>様式１!C21</f>
        <v>0</v>
      </c>
      <c r="G6" s="421">
        <f>様式１!D19</f>
        <v>0</v>
      </c>
      <c r="H6" s="421">
        <f>様式１!D20</f>
        <v>0</v>
      </c>
      <c r="I6" s="421">
        <f>様式１!D21</f>
        <v>0</v>
      </c>
      <c r="J6" s="421">
        <f>様式１!I19</f>
        <v>0</v>
      </c>
      <c r="K6" s="421">
        <f>様式１!J19</f>
        <v>0</v>
      </c>
      <c r="L6" s="421">
        <f>様式１!K19</f>
        <v>0</v>
      </c>
      <c r="M6" s="421">
        <f>様式１!L19</f>
        <v>0</v>
      </c>
      <c r="N6" s="421">
        <f>様式１!J20</f>
        <v>0</v>
      </c>
      <c r="O6" s="421">
        <f>様式１!K20</f>
        <v>0</v>
      </c>
      <c r="P6" s="421">
        <f>様式１!L20</f>
        <v>0</v>
      </c>
      <c r="Q6" s="421">
        <f>様式１!E21</f>
        <v>0</v>
      </c>
      <c r="R6" s="421">
        <f>様式１!F21</f>
        <v>0</v>
      </c>
      <c r="S6" s="421">
        <f>様式１!H21</f>
        <v>0</v>
      </c>
      <c r="T6" s="421">
        <f>様式１!R19</f>
        <v>0</v>
      </c>
      <c r="U6" s="421">
        <f>様式１!S19</f>
        <v>0</v>
      </c>
      <c r="V6" s="421">
        <f>様式１!T19</f>
        <v>0</v>
      </c>
      <c r="W6" s="421">
        <f>様式１!U19</f>
        <v>0</v>
      </c>
      <c r="X6" s="421">
        <f>様式１!S20</f>
        <v>0</v>
      </c>
      <c r="Y6" s="421">
        <f>様式１!T20</f>
        <v>0</v>
      </c>
      <c r="Z6" s="421">
        <f>様式１!U20</f>
        <v>0</v>
      </c>
      <c r="AA6" s="421">
        <f>様式１!N21</f>
        <v>0</v>
      </c>
      <c r="AB6" s="421">
        <f>様式１!O21</f>
        <v>0</v>
      </c>
      <c r="AC6" s="421">
        <f>様式１!Q21</f>
        <v>0</v>
      </c>
      <c r="AD6" s="422" t="e">
        <f>様式１!BL19</f>
        <v>#VALUE!</v>
      </c>
      <c r="AE6" s="422" t="e">
        <f>様式１!$AR19</f>
        <v>#VALUE!</v>
      </c>
      <c r="AF6" s="423" t="e">
        <f>様式１!$AR19-参考_歳児別配置基準!$H44+参考_歳児別配置基準!$Y44</f>
        <v>#VALUE!</v>
      </c>
      <c r="AG6" s="423" t="e">
        <f>様式１!$AR19-参考_歳児別配置基準!$H44+参考_歳児別配置基準!$AB44</f>
        <v>#VALUE!</v>
      </c>
      <c r="AH6" s="421" cm="1">
        <f t="array" ref="AH6">_xlfn.IFS(様式１!AM19=0,1,様式１!AM19=1,2,様式１!AM19=2,3,様式１!AM19=3,4,様式１!AM19=3.5,5,様式１!AM19=4,6,様式１!AM19=4.5,7,様式１!AM19=5,8,様式１!AM19=5.5,9,様式１!AM19=6,"A",様式１!AM19=6.5,"B",様式１!AM19=7,"C",様式１!AM19=7.5,"D",様式１!AM19=8,"E")</f>
        <v>1</v>
      </c>
      <c r="AI6" s="421">
        <f>IF(加算等適用状況!G18="○",1,0)</f>
        <v>0</v>
      </c>
      <c r="AJ6" s="421">
        <f>IF(加算等適用状況!H18="○",1,0)</f>
        <v>0</v>
      </c>
      <c r="AK6" s="421">
        <f>IF(加算等適用状況!I18="○",1,0)</f>
        <v>0</v>
      </c>
      <c r="AL6" s="421">
        <f>IF(加算等適用状況!J18="○",1,0)</f>
        <v>0</v>
      </c>
      <c r="AM6" s="421">
        <f>IF(加算等適用状況!K18="○",1,0)</f>
        <v>0</v>
      </c>
      <c r="AN6" s="472">
        <f t="shared" si="2"/>
        <v>0</v>
      </c>
      <c r="AO6" s="425"/>
      <c r="AP6" s="425"/>
      <c r="AQ6" s="425"/>
    </row>
    <row r="7" spans="1:43">
      <c r="A7" s="421">
        <f t="shared" si="1"/>
        <v>0</v>
      </c>
      <c r="B7" s="419">
        <v>9</v>
      </c>
      <c r="C7" s="420" t="str">
        <f t="shared" si="0"/>
        <v>09</v>
      </c>
      <c r="D7" s="421">
        <f>様式１!C22</f>
        <v>0</v>
      </c>
      <c r="E7" s="421">
        <f>様式１!C23</f>
        <v>0</v>
      </c>
      <c r="F7" s="421">
        <f>様式１!C24</f>
        <v>0</v>
      </c>
      <c r="G7" s="421">
        <f>様式１!D22</f>
        <v>0</v>
      </c>
      <c r="H7" s="421">
        <f>様式１!D23</f>
        <v>0</v>
      </c>
      <c r="I7" s="421">
        <f>様式１!D24</f>
        <v>0</v>
      </c>
      <c r="J7" s="421">
        <f>様式１!I22</f>
        <v>0</v>
      </c>
      <c r="K7" s="421">
        <f>様式１!J22</f>
        <v>0</v>
      </c>
      <c r="L7" s="421">
        <f>様式１!K22</f>
        <v>0</v>
      </c>
      <c r="M7" s="421">
        <f>様式１!L22</f>
        <v>0</v>
      </c>
      <c r="N7" s="421">
        <f>様式１!J23</f>
        <v>0</v>
      </c>
      <c r="O7" s="421">
        <f>様式１!K23</f>
        <v>0</v>
      </c>
      <c r="P7" s="421">
        <f>様式１!L23</f>
        <v>0</v>
      </c>
      <c r="Q7" s="421">
        <f>様式１!E24</f>
        <v>0</v>
      </c>
      <c r="R7" s="421">
        <f>様式１!F24</f>
        <v>0</v>
      </c>
      <c r="S7" s="421">
        <f>様式１!H24</f>
        <v>0</v>
      </c>
      <c r="T7" s="421">
        <f>様式１!R22</f>
        <v>0</v>
      </c>
      <c r="U7" s="421">
        <f>様式１!S22</f>
        <v>0</v>
      </c>
      <c r="V7" s="421">
        <f>様式１!T22</f>
        <v>0</v>
      </c>
      <c r="W7" s="421">
        <f>様式１!U22</f>
        <v>0</v>
      </c>
      <c r="X7" s="421">
        <f>様式１!S23</f>
        <v>0</v>
      </c>
      <c r="Y7" s="421">
        <f>様式１!T23</f>
        <v>0</v>
      </c>
      <c r="Z7" s="421">
        <f>様式１!U23</f>
        <v>0</v>
      </c>
      <c r="AA7" s="421">
        <f>様式１!N24</f>
        <v>0</v>
      </c>
      <c r="AB7" s="421">
        <f>様式１!O24</f>
        <v>0</v>
      </c>
      <c r="AC7" s="421">
        <f>様式１!Q24</f>
        <v>0</v>
      </c>
      <c r="AD7" s="422" t="e">
        <f>様式１!BL22</f>
        <v>#VALUE!</v>
      </c>
      <c r="AE7" s="422" t="e">
        <f>様式１!$AR22</f>
        <v>#VALUE!</v>
      </c>
      <c r="AF7" s="423" t="e">
        <f>様式１!$AR22-参考_歳児別配置基準!$H54+参考_歳児別配置基準!$Y54</f>
        <v>#VALUE!</v>
      </c>
      <c r="AG7" s="423" t="e">
        <f>様式１!$AR22-参考_歳児別配置基準!$H54+参考_歳児別配置基準!$AB54</f>
        <v>#VALUE!</v>
      </c>
      <c r="AH7" s="421" cm="1">
        <f t="array" ref="AH7">_xlfn.IFS(様式１!AM22=0,1,様式１!AM22=1,2,様式１!AM22=2,3,様式１!AM22=3,4,様式１!AM22=3.5,5,様式１!AM22=4,6,様式１!AM22=4.5,7,様式１!AM22=5,8,様式１!AM22=5.5,9,様式１!AM22=6,"A",様式１!AM22=6.5,"B",様式１!AM22=7,"C",様式１!AM22=7.5,"D",様式１!AM22=8,"E")</f>
        <v>1</v>
      </c>
      <c r="AI7" s="421">
        <f>IF(加算等適用状況!G19="○",1,0)</f>
        <v>0</v>
      </c>
      <c r="AJ7" s="421">
        <f>IF(加算等適用状況!H19="○",1,0)</f>
        <v>0</v>
      </c>
      <c r="AK7" s="421">
        <f>IF(加算等適用状況!I19="○",1,0)</f>
        <v>0</v>
      </c>
      <c r="AL7" s="421">
        <f>IF(加算等適用状況!J19="○",1,0)</f>
        <v>0</v>
      </c>
      <c r="AM7" s="421">
        <f>IF(加算等適用状況!K19="○",1,0)</f>
        <v>0</v>
      </c>
      <c r="AN7" s="472">
        <f t="shared" si="2"/>
        <v>0</v>
      </c>
      <c r="AO7" s="425"/>
      <c r="AP7" s="425"/>
      <c r="AQ7" s="425"/>
    </row>
    <row r="8" spans="1:43">
      <c r="A8" s="421">
        <f t="shared" si="1"/>
        <v>0</v>
      </c>
      <c r="B8" s="419">
        <v>10</v>
      </c>
      <c r="C8" s="420" t="str">
        <f t="shared" si="0"/>
        <v>10</v>
      </c>
      <c r="D8" s="421">
        <f>様式１!C25</f>
        <v>0</v>
      </c>
      <c r="E8" s="421">
        <f>様式１!C26</f>
        <v>0</v>
      </c>
      <c r="F8" s="421">
        <f>様式１!C27</f>
        <v>0</v>
      </c>
      <c r="G8" s="421">
        <f>様式１!D25</f>
        <v>0</v>
      </c>
      <c r="H8" s="421">
        <f>様式１!D26</f>
        <v>0</v>
      </c>
      <c r="I8" s="421">
        <f>様式１!D27</f>
        <v>0</v>
      </c>
      <c r="J8" s="421">
        <f>様式１!I25</f>
        <v>0</v>
      </c>
      <c r="K8" s="421">
        <f>様式１!J25</f>
        <v>0</v>
      </c>
      <c r="L8" s="421">
        <f>様式１!K25</f>
        <v>0</v>
      </c>
      <c r="M8" s="421">
        <f>様式１!L25</f>
        <v>0</v>
      </c>
      <c r="N8" s="421">
        <f>様式１!J26</f>
        <v>0</v>
      </c>
      <c r="O8" s="421">
        <f>様式１!K26</f>
        <v>0</v>
      </c>
      <c r="P8" s="421">
        <f>様式１!L26</f>
        <v>0</v>
      </c>
      <c r="Q8" s="421">
        <f>様式１!E27</f>
        <v>0</v>
      </c>
      <c r="R8" s="421">
        <f>様式１!F27</f>
        <v>0</v>
      </c>
      <c r="S8" s="421">
        <f>様式１!H27</f>
        <v>0</v>
      </c>
      <c r="T8" s="421">
        <f>様式１!R25</f>
        <v>0</v>
      </c>
      <c r="U8" s="421">
        <f>様式１!S25</f>
        <v>0</v>
      </c>
      <c r="V8" s="421">
        <f>様式１!T25</f>
        <v>0</v>
      </c>
      <c r="W8" s="421">
        <f>様式１!U25</f>
        <v>0</v>
      </c>
      <c r="X8" s="421">
        <f>様式１!S26</f>
        <v>0</v>
      </c>
      <c r="Y8" s="421">
        <f>様式１!T26</f>
        <v>0</v>
      </c>
      <c r="Z8" s="421">
        <f>様式１!U26</f>
        <v>0</v>
      </c>
      <c r="AA8" s="421">
        <f>様式１!N27</f>
        <v>0</v>
      </c>
      <c r="AB8" s="421">
        <f>様式１!O27</f>
        <v>0</v>
      </c>
      <c r="AC8" s="421">
        <f>様式１!Q27</f>
        <v>0</v>
      </c>
      <c r="AD8" s="422" t="e">
        <f>様式１!BL25</f>
        <v>#VALUE!</v>
      </c>
      <c r="AE8" s="422" t="e">
        <f>様式１!$AR25</f>
        <v>#VALUE!</v>
      </c>
      <c r="AF8" s="423" t="e">
        <f>様式１!$AR25-参考_歳児別配置基準!$H64+参考_歳児別配置基準!$Y64</f>
        <v>#VALUE!</v>
      </c>
      <c r="AG8" s="423" t="e">
        <f>様式１!$AR25-参考_歳児別配置基準!$H64+参考_歳児別配置基準!$AB64</f>
        <v>#VALUE!</v>
      </c>
      <c r="AH8" s="421" cm="1">
        <f t="array" ref="AH8">_xlfn.IFS(様式１!AM25=0,1,様式１!AM25=1,2,様式１!AM25=2,3,様式１!AM25=3,4,様式１!AM25=3.5,5,様式１!AM25=4,6,様式１!AM25=4.5,7,様式１!AM25=5,8,様式１!AM25=5.5,9,様式１!AM25=6,"A",様式１!AM25=6.5,"B",様式１!AM25=7,"C",様式１!AM25=7.5,"D",様式１!AM25=8,"E")</f>
        <v>1</v>
      </c>
      <c r="AI8" s="421">
        <f>IF(加算等適用状況!G20="○",1,0)</f>
        <v>0</v>
      </c>
      <c r="AJ8" s="421">
        <f>IF(加算等適用状況!H20="○",1,0)</f>
        <v>0</v>
      </c>
      <c r="AK8" s="421">
        <f>IF(加算等適用状況!I20="○",1,0)</f>
        <v>0</v>
      </c>
      <c r="AL8" s="421">
        <f>IF(加算等適用状況!J20="○",1,0)</f>
        <v>0</v>
      </c>
      <c r="AM8" s="421">
        <f>IF(加算等適用状況!K20="○",1,0)</f>
        <v>0</v>
      </c>
      <c r="AN8" s="472">
        <f t="shared" si="2"/>
        <v>0</v>
      </c>
      <c r="AO8" s="425"/>
      <c r="AP8" s="425"/>
      <c r="AQ8" s="425"/>
    </row>
    <row r="9" spans="1:43">
      <c r="A9" s="421">
        <f t="shared" si="1"/>
        <v>0</v>
      </c>
      <c r="B9" s="419">
        <v>11</v>
      </c>
      <c r="C9" s="420" t="str">
        <f t="shared" si="0"/>
        <v>11</v>
      </c>
      <c r="D9" s="421">
        <f>様式１!C28</f>
        <v>0</v>
      </c>
      <c r="E9" s="421">
        <f>様式１!C29</f>
        <v>0</v>
      </c>
      <c r="F9" s="421">
        <f>様式１!C30</f>
        <v>0</v>
      </c>
      <c r="G9" s="421">
        <f>様式１!D28</f>
        <v>0</v>
      </c>
      <c r="H9" s="421">
        <f>様式１!D29</f>
        <v>0</v>
      </c>
      <c r="I9" s="421">
        <f>様式１!D30</f>
        <v>0</v>
      </c>
      <c r="J9" s="421">
        <f>様式１!I28</f>
        <v>0</v>
      </c>
      <c r="K9" s="421">
        <f>様式１!J28</f>
        <v>0</v>
      </c>
      <c r="L9" s="421">
        <f>様式１!K28</f>
        <v>0</v>
      </c>
      <c r="M9" s="421">
        <f>様式１!L28</f>
        <v>0</v>
      </c>
      <c r="N9" s="421">
        <f>様式１!J29</f>
        <v>0</v>
      </c>
      <c r="O9" s="421">
        <f>様式１!K29</f>
        <v>0</v>
      </c>
      <c r="P9" s="421">
        <f>様式１!L29</f>
        <v>0</v>
      </c>
      <c r="Q9" s="421">
        <f>様式１!E30</f>
        <v>0</v>
      </c>
      <c r="R9" s="421">
        <f>様式１!F30</f>
        <v>0</v>
      </c>
      <c r="S9" s="421">
        <f>様式１!H30</f>
        <v>0</v>
      </c>
      <c r="T9" s="421">
        <f>様式１!R28</f>
        <v>0</v>
      </c>
      <c r="U9" s="421">
        <f>様式１!S28</f>
        <v>0</v>
      </c>
      <c r="V9" s="421">
        <f>様式１!T28</f>
        <v>0</v>
      </c>
      <c r="W9" s="421">
        <f>様式１!U28</f>
        <v>0</v>
      </c>
      <c r="X9" s="421">
        <f>様式１!S29</f>
        <v>0</v>
      </c>
      <c r="Y9" s="421">
        <f>様式１!T29</f>
        <v>0</v>
      </c>
      <c r="Z9" s="421">
        <f>様式１!U29</f>
        <v>0</v>
      </c>
      <c r="AA9" s="421">
        <f>様式１!N30</f>
        <v>0</v>
      </c>
      <c r="AB9" s="421">
        <f>様式１!O30</f>
        <v>0</v>
      </c>
      <c r="AC9" s="421">
        <f>様式１!Q30</f>
        <v>0</v>
      </c>
      <c r="AD9" s="422" t="e">
        <f>様式１!BL28</f>
        <v>#VALUE!</v>
      </c>
      <c r="AE9" s="422" t="e">
        <f>様式１!$AR28</f>
        <v>#VALUE!</v>
      </c>
      <c r="AF9" s="423" t="e">
        <f>様式１!$AR28-参考_歳児別配置基準!$H74+参考_歳児別配置基準!$Y74</f>
        <v>#VALUE!</v>
      </c>
      <c r="AG9" s="423" t="e">
        <f>様式１!$AR28-参考_歳児別配置基準!$H74+参考_歳児別配置基準!$AB74</f>
        <v>#VALUE!</v>
      </c>
      <c r="AH9" s="421" cm="1">
        <f t="array" ref="AH9">_xlfn.IFS(様式１!AM28=0,1,様式１!AM28=1,2,様式１!AM28=2,3,様式１!AM28=3,4,様式１!AM28=3.5,5,様式１!AM28=4,6,様式１!AM28=4.5,7,様式１!AM28=5,8,様式１!AM28=5.5,9,様式１!AM28=6,"A",様式１!AM28=6.5,"B",様式１!AM28=7,"C",様式１!AM28=7.5,"D",様式１!AM28=8,"E")</f>
        <v>1</v>
      </c>
      <c r="AI9" s="421">
        <f>IF(加算等適用状況!G21="○",1,0)</f>
        <v>0</v>
      </c>
      <c r="AJ9" s="421">
        <f>IF(加算等適用状況!H21="○",1,0)</f>
        <v>0</v>
      </c>
      <c r="AK9" s="421">
        <f>IF(加算等適用状況!I21="○",1,0)</f>
        <v>0</v>
      </c>
      <c r="AL9" s="421">
        <f>IF(加算等適用状況!J21="○",1,0)</f>
        <v>0</v>
      </c>
      <c r="AM9" s="421">
        <f>IF(加算等適用状況!K21="○",1,0)</f>
        <v>0</v>
      </c>
      <c r="AN9" s="472">
        <f t="shared" si="2"/>
        <v>0</v>
      </c>
      <c r="AO9" s="425"/>
      <c r="AP9" s="425"/>
      <c r="AQ9" s="425"/>
    </row>
    <row r="10" spans="1:43">
      <c r="A10" s="421">
        <f t="shared" si="1"/>
        <v>0</v>
      </c>
      <c r="B10" s="419">
        <v>12</v>
      </c>
      <c r="C10" s="420" t="str">
        <f t="shared" si="0"/>
        <v>12</v>
      </c>
      <c r="D10" s="421">
        <f>様式１!C31</f>
        <v>0</v>
      </c>
      <c r="E10" s="421">
        <f>様式１!C32</f>
        <v>0</v>
      </c>
      <c r="F10" s="421">
        <f>様式１!C33</f>
        <v>0</v>
      </c>
      <c r="G10" s="421">
        <f>様式１!D31</f>
        <v>0</v>
      </c>
      <c r="H10" s="421">
        <f>様式１!D32</f>
        <v>0</v>
      </c>
      <c r="I10" s="421">
        <f>様式１!D33</f>
        <v>0</v>
      </c>
      <c r="J10" s="421">
        <f>様式１!I31</f>
        <v>0</v>
      </c>
      <c r="K10" s="421">
        <f>様式１!J31</f>
        <v>0</v>
      </c>
      <c r="L10" s="421">
        <f>様式１!K31</f>
        <v>0</v>
      </c>
      <c r="M10" s="421">
        <f>様式１!L31</f>
        <v>0</v>
      </c>
      <c r="N10" s="421">
        <f>様式１!J32</f>
        <v>0</v>
      </c>
      <c r="O10" s="421">
        <f>様式１!K32</f>
        <v>0</v>
      </c>
      <c r="P10" s="421">
        <f>様式１!L32</f>
        <v>0</v>
      </c>
      <c r="Q10" s="421">
        <f>様式１!E33</f>
        <v>0</v>
      </c>
      <c r="R10" s="421">
        <f>様式１!F33</f>
        <v>0</v>
      </c>
      <c r="S10" s="421">
        <f>様式１!H33</f>
        <v>0</v>
      </c>
      <c r="T10" s="421">
        <f>様式１!R31</f>
        <v>0</v>
      </c>
      <c r="U10" s="421">
        <f>様式１!S31</f>
        <v>0</v>
      </c>
      <c r="V10" s="421">
        <f>様式１!T31</f>
        <v>0</v>
      </c>
      <c r="W10" s="421">
        <f>様式１!U31</f>
        <v>0</v>
      </c>
      <c r="X10" s="421">
        <f>様式１!S32</f>
        <v>0</v>
      </c>
      <c r="Y10" s="421">
        <f>様式１!T32</f>
        <v>0</v>
      </c>
      <c r="Z10" s="421">
        <f>様式１!U32</f>
        <v>0</v>
      </c>
      <c r="AA10" s="421">
        <f>様式１!N33</f>
        <v>0</v>
      </c>
      <c r="AB10" s="421">
        <f>様式１!O33</f>
        <v>0</v>
      </c>
      <c r="AC10" s="421">
        <f>様式１!Q33</f>
        <v>0</v>
      </c>
      <c r="AD10" s="422" t="e">
        <f>様式１!BL31</f>
        <v>#VALUE!</v>
      </c>
      <c r="AE10" s="422" t="e">
        <f>様式１!$AR31</f>
        <v>#VALUE!</v>
      </c>
      <c r="AF10" s="423" t="e">
        <f>様式１!$AR31-参考_歳児別配置基準!$H84+参考_歳児別配置基準!$Y84</f>
        <v>#VALUE!</v>
      </c>
      <c r="AG10" s="423" t="e">
        <f>様式１!$AR31-参考_歳児別配置基準!$H84+参考_歳児別配置基準!$AB84</f>
        <v>#VALUE!</v>
      </c>
      <c r="AH10" s="421" cm="1">
        <f t="array" ref="AH10">_xlfn.IFS(様式１!AM31=0,1,様式１!AM31=1,2,様式１!AM31=2,3,様式１!AM31=3,4,様式１!AM31=3.5,5,様式１!AM31=4,6,様式１!AM31=4.5,7,様式１!AM31=5,8,様式１!AM31=5.5,9,様式１!AM31=6,"A",様式１!AM31=6.5,"B",様式１!AM31=7,"C",様式１!AM31=7.5,"D",様式１!AM31=8,"E")</f>
        <v>1</v>
      </c>
      <c r="AI10" s="421">
        <f>IF(加算等適用状況!G22="○",1,0)</f>
        <v>0</v>
      </c>
      <c r="AJ10" s="421">
        <f>IF(加算等適用状況!H22="○",1,0)</f>
        <v>0</v>
      </c>
      <c r="AK10" s="421">
        <f>IF(加算等適用状況!I22="○",1,0)</f>
        <v>0</v>
      </c>
      <c r="AL10" s="421">
        <f>IF(加算等適用状況!J22="○",1,0)</f>
        <v>0</v>
      </c>
      <c r="AM10" s="421">
        <f>IF(加算等適用状況!K22="○",1,0)</f>
        <v>0</v>
      </c>
      <c r="AN10" s="472">
        <f t="shared" si="2"/>
        <v>0</v>
      </c>
      <c r="AO10" s="425"/>
      <c r="AP10" s="425"/>
      <c r="AQ10" s="425"/>
    </row>
    <row r="11" spans="1:43">
      <c r="A11" s="421">
        <f t="shared" si="1"/>
        <v>0</v>
      </c>
      <c r="B11" s="419">
        <v>1</v>
      </c>
      <c r="C11" s="420" t="str">
        <f t="shared" si="0"/>
        <v>01</v>
      </c>
      <c r="D11" s="421">
        <f>様式１!C34</f>
        <v>0</v>
      </c>
      <c r="E11" s="421">
        <f>様式１!C35</f>
        <v>0</v>
      </c>
      <c r="F11" s="421">
        <f>様式１!C36</f>
        <v>0</v>
      </c>
      <c r="G11" s="421">
        <f>様式１!D34</f>
        <v>0</v>
      </c>
      <c r="H11" s="421">
        <f>様式１!D35</f>
        <v>0</v>
      </c>
      <c r="I11" s="421">
        <f>様式１!D36</f>
        <v>0</v>
      </c>
      <c r="J11" s="421">
        <f>様式１!I34</f>
        <v>0</v>
      </c>
      <c r="K11" s="421">
        <f>様式１!J34</f>
        <v>0</v>
      </c>
      <c r="L11" s="421">
        <f>様式１!K34</f>
        <v>0</v>
      </c>
      <c r="M11" s="421">
        <f>様式１!L34</f>
        <v>0</v>
      </c>
      <c r="N11" s="421">
        <f>様式１!J35</f>
        <v>0</v>
      </c>
      <c r="O11" s="421">
        <f>様式１!K35</f>
        <v>0</v>
      </c>
      <c r="P11" s="421">
        <f>様式１!L35</f>
        <v>0</v>
      </c>
      <c r="Q11" s="421">
        <f>様式１!E36</f>
        <v>0</v>
      </c>
      <c r="R11" s="421">
        <f>様式１!F36</f>
        <v>0</v>
      </c>
      <c r="S11" s="421">
        <f>様式１!H36</f>
        <v>0</v>
      </c>
      <c r="T11" s="421">
        <f>様式１!R34</f>
        <v>0</v>
      </c>
      <c r="U11" s="421">
        <f>様式１!S34</f>
        <v>0</v>
      </c>
      <c r="V11" s="421">
        <f>様式１!T34</f>
        <v>0</v>
      </c>
      <c r="W11" s="421">
        <f>様式１!U34</f>
        <v>0</v>
      </c>
      <c r="X11" s="421">
        <f>様式１!S35</f>
        <v>0</v>
      </c>
      <c r="Y11" s="421">
        <f>様式１!T35</f>
        <v>0</v>
      </c>
      <c r="Z11" s="421">
        <f>様式１!U35</f>
        <v>0</v>
      </c>
      <c r="AA11" s="421">
        <f>様式１!N36</f>
        <v>0</v>
      </c>
      <c r="AB11" s="421">
        <f>様式１!O36</f>
        <v>0</v>
      </c>
      <c r="AC11" s="421">
        <f>様式１!Q36</f>
        <v>0</v>
      </c>
      <c r="AD11" s="422" t="e">
        <f>様式１!BL34</f>
        <v>#VALUE!</v>
      </c>
      <c r="AE11" s="422" t="e">
        <f>様式１!$AR34</f>
        <v>#VALUE!</v>
      </c>
      <c r="AF11" s="423" t="e">
        <f>様式１!$AR34-参考_歳児別配置基準!$H94+参考_歳児別配置基準!$Y94</f>
        <v>#VALUE!</v>
      </c>
      <c r="AG11" s="423" t="e">
        <f>様式１!$AR34-参考_歳児別配置基準!$H94+参考_歳児別配置基準!$AB94</f>
        <v>#VALUE!</v>
      </c>
      <c r="AH11" s="421" cm="1">
        <f t="array" ref="AH11">_xlfn.IFS(様式１!AM34=0,1,様式１!AM34=1,2,様式１!AM34=2,3,様式１!AM34=3,4,様式１!AM34=3.5,5,様式１!AM34=4,6,様式１!AM34=4.5,7,様式１!AM34=5,8,様式１!AM34=5.5,9,様式１!AM34=6,"A",様式１!AM34=6.5,"B",様式１!AM34=7,"C",様式１!AM34=7.5,"D",様式１!AM34=8,"E")</f>
        <v>1</v>
      </c>
      <c r="AI11" s="421">
        <f>IF(加算等適用状況!G23="○",1,0)</f>
        <v>0</v>
      </c>
      <c r="AJ11" s="421">
        <f>IF(加算等適用状況!H23="○",1,0)</f>
        <v>0</v>
      </c>
      <c r="AK11" s="421">
        <f>IF(加算等適用状況!I23="○",1,0)</f>
        <v>0</v>
      </c>
      <c r="AL11" s="421">
        <f>IF(加算等適用状況!J23="○",1,0)</f>
        <v>0</v>
      </c>
      <c r="AM11" s="421">
        <f>IF(加算等適用状況!K23="○",1,0)</f>
        <v>0</v>
      </c>
      <c r="AN11" s="472">
        <f t="shared" si="2"/>
        <v>0</v>
      </c>
      <c r="AO11" s="425"/>
      <c r="AP11" s="425"/>
      <c r="AQ11" s="425"/>
    </row>
    <row r="12" spans="1:43">
      <c r="A12" s="421">
        <f t="shared" si="1"/>
        <v>0</v>
      </c>
      <c r="B12" s="419">
        <v>2</v>
      </c>
      <c r="C12" s="420" t="str">
        <f t="shared" si="0"/>
        <v>02</v>
      </c>
      <c r="D12" s="421">
        <f>様式１!C37</f>
        <v>0</v>
      </c>
      <c r="E12" s="421">
        <f>様式１!C38</f>
        <v>0</v>
      </c>
      <c r="F12" s="421">
        <f>様式１!C39</f>
        <v>0</v>
      </c>
      <c r="G12" s="421">
        <f>様式１!D37</f>
        <v>0</v>
      </c>
      <c r="H12" s="421">
        <f>様式１!D38</f>
        <v>0</v>
      </c>
      <c r="I12" s="421">
        <f>様式１!D39</f>
        <v>0</v>
      </c>
      <c r="J12" s="421">
        <f>様式１!I37</f>
        <v>0</v>
      </c>
      <c r="K12" s="421">
        <f>様式１!J37</f>
        <v>0</v>
      </c>
      <c r="L12" s="421">
        <f>様式１!K37</f>
        <v>0</v>
      </c>
      <c r="M12" s="421">
        <f>様式１!L37</f>
        <v>0</v>
      </c>
      <c r="N12" s="421">
        <f>様式１!J38</f>
        <v>0</v>
      </c>
      <c r="O12" s="421">
        <f>様式１!K38</f>
        <v>0</v>
      </c>
      <c r="P12" s="421">
        <f>様式１!L38</f>
        <v>0</v>
      </c>
      <c r="Q12" s="421">
        <f>様式１!E39</f>
        <v>0</v>
      </c>
      <c r="R12" s="421">
        <f>様式１!F39</f>
        <v>0</v>
      </c>
      <c r="S12" s="421">
        <f>様式１!H39</f>
        <v>0</v>
      </c>
      <c r="T12" s="421">
        <f>様式１!R37</f>
        <v>0</v>
      </c>
      <c r="U12" s="421">
        <f>様式１!S37</f>
        <v>0</v>
      </c>
      <c r="V12" s="421">
        <f>様式１!T37</f>
        <v>0</v>
      </c>
      <c r="W12" s="421">
        <f>様式１!U37</f>
        <v>0</v>
      </c>
      <c r="X12" s="421">
        <f>様式１!S38</f>
        <v>0</v>
      </c>
      <c r="Y12" s="421">
        <f>様式１!T38</f>
        <v>0</v>
      </c>
      <c r="Z12" s="421">
        <f>様式１!U38</f>
        <v>0</v>
      </c>
      <c r="AA12" s="421">
        <f>様式１!N39</f>
        <v>0</v>
      </c>
      <c r="AB12" s="421">
        <f>様式１!O39</f>
        <v>0</v>
      </c>
      <c r="AC12" s="421">
        <f>様式１!Q39</f>
        <v>0</v>
      </c>
      <c r="AD12" s="422" t="e">
        <f>様式１!BL37</f>
        <v>#VALUE!</v>
      </c>
      <c r="AE12" s="422" t="e">
        <f>様式１!$AR37</f>
        <v>#VALUE!</v>
      </c>
      <c r="AF12" s="423" t="e">
        <f>様式１!$AR37-参考_歳児別配置基準!$H104+参考_歳児別配置基準!$Y104</f>
        <v>#VALUE!</v>
      </c>
      <c r="AG12" s="423" t="e">
        <f>様式１!$AR37-参考_歳児別配置基準!$H104+参考_歳児別配置基準!$AB104</f>
        <v>#VALUE!</v>
      </c>
      <c r="AH12" s="421" cm="1">
        <f t="array" ref="AH12">_xlfn.IFS(様式１!AM37=0,1,様式１!AM37=1,2,様式１!AM37=2,3,様式１!AM37=3,4,様式１!AM37=3.5,5,様式１!AM37=4,6,様式１!AM37=4.5,7,様式１!AM37=5,8,様式１!AM37=5.5,9,様式１!AM37=6,"A",様式１!AM37=6.5,"B",様式１!AM37=7,"C",様式１!AM37=7.5,"D",様式１!AM37=8,"E")</f>
        <v>1</v>
      </c>
      <c r="AI12" s="421">
        <f>IF(加算等適用状況!G24="○",1,0)</f>
        <v>0</v>
      </c>
      <c r="AJ12" s="421">
        <f>IF(加算等適用状況!H24="○",1,0)</f>
        <v>0</v>
      </c>
      <c r="AK12" s="421">
        <f>IF(加算等適用状況!I24="○",1,0)</f>
        <v>0</v>
      </c>
      <c r="AL12" s="421">
        <f>IF(加算等適用状況!J24="○",1,0)</f>
        <v>0</v>
      </c>
      <c r="AM12" s="421">
        <f>IF(加算等適用状況!K24="○",1,0)</f>
        <v>0</v>
      </c>
      <c r="AN12" s="472">
        <f t="shared" si="2"/>
        <v>0</v>
      </c>
      <c r="AO12" s="425"/>
      <c r="AP12" s="425"/>
      <c r="AQ12" s="425"/>
    </row>
    <row r="13" spans="1:43">
      <c r="A13" s="421">
        <f t="shared" si="1"/>
        <v>0</v>
      </c>
      <c r="B13" s="419">
        <v>3</v>
      </c>
      <c r="C13" s="420" t="str">
        <f t="shared" si="0"/>
        <v>03</v>
      </c>
      <c r="D13" s="421">
        <f>様式１!C40</f>
        <v>0</v>
      </c>
      <c r="E13" s="421">
        <f>様式１!C41</f>
        <v>0</v>
      </c>
      <c r="F13" s="421">
        <f>様式１!C42</f>
        <v>0</v>
      </c>
      <c r="G13" s="421">
        <f>様式１!D40</f>
        <v>0</v>
      </c>
      <c r="H13" s="421">
        <f>様式１!D41</f>
        <v>0</v>
      </c>
      <c r="I13" s="421">
        <f>様式１!D42</f>
        <v>0</v>
      </c>
      <c r="J13" s="421">
        <f>様式１!I40</f>
        <v>0</v>
      </c>
      <c r="K13" s="421">
        <f>様式１!J40</f>
        <v>0</v>
      </c>
      <c r="L13" s="421">
        <f>様式１!K40</f>
        <v>0</v>
      </c>
      <c r="M13" s="421">
        <f>様式１!L40</f>
        <v>0</v>
      </c>
      <c r="N13" s="421">
        <f>様式１!J41</f>
        <v>0</v>
      </c>
      <c r="O13" s="421">
        <f>様式１!K41</f>
        <v>0</v>
      </c>
      <c r="P13" s="421">
        <f>様式１!L41</f>
        <v>0</v>
      </c>
      <c r="Q13" s="421">
        <f>様式１!E42</f>
        <v>0</v>
      </c>
      <c r="R13" s="421">
        <f>様式１!F42</f>
        <v>0</v>
      </c>
      <c r="S13" s="421">
        <f>様式１!H42</f>
        <v>0</v>
      </c>
      <c r="T13" s="421">
        <f>様式１!R40</f>
        <v>0</v>
      </c>
      <c r="U13" s="421">
        <f>様式１!S40</f>
        <v>0</v>
      </c>
      <c r="V13" s="421">
        <f>様式１!T40</f>
        <v>0</v>
      </c>
      <c r="W13" s="421">
        <f>様式１!U40</f>
        <v>0</v>
      </c>
      <c r="X13" s="421">
        <f>様式１!S41</f>
        <v>0</v>
      </c>
      <c r="Y13" s="421">
        <f>様式１!T41</f>
        <v>0</v>
      </c>
      <c r="Z13" s="421">
        <f>様式１!U41</f>
        <v>0</v>
      </c>
      <c r="AA13" s="421">
        <f>様式１!N42</f>
        <v>0</v>
      </c>
      <c r="AB13" s="421">
        <f>様式１!O42</f>
        <v>0</v>
      </c>
      <c r="AC13" s="421">
        <f>様式１!Q42</f>
        <v>0</v>
      </c>
      <c r="AD13" s="422" t="e">
        <f>様式１!BL40</f>
        <v>#VALUE!</v>
      </c>
      <c r="AE13" s="422" t="e">
        <f>様式１!$AR40</f>
        <v>#VALUE!</v>
      </c>
      <c r="AF13" s="423" t="e">
        <f>様式１!$AR40-参考_歳児別配置基準!$H114+参考_歳児別配置基準!$Y114</f>
        <v>#VALUE!</v>
      </c>
      <c r="AG13" s="423" t="e">
        <f>様式１!$AR40-参考_歳児別配置基準!$H114+参考_歳児別配置基準!$AB114</f>
        <v>#VALUE!</v>
      </c>
      <c r="AH13" s="421" cm="1">
        <f t="array" ref="AH13">_xlfn.IFS(様式１!AM40=0,1,様式１!AM40=1,2,様式１!AM40=2,3,様式１!AM40=3,4,様式１!AM40=3.5,5,様式１!AM40=4,6,様式１!AM40=4.5,7,様式１!AM40=5,8,様式１!AM40=5.5,9,様式１!AM40=6,"A",様式１!AM40=6.5,"B",様式１!AM40=7,"C",様式１!AM40=7.5,"D",様式１!AM40=8,"E")</f>
        <v>1</v>
      </c>
      <c r="AI13" s="421">
        <f>IF(加算等適用状況!G25="○",1,0)</f>
        <v>0</v>
      </c>
      <c r="AJ13" s="421">
        <f>IF(加算等適用状況!H25="○",1,0)</f>
        <v>0</v>
      </c>
      <c r="AK13" s="421">
        <f>IF(加算等適用状況!I25="○",1,0)</f>
        <v>0</v>
      </c>
      <c r="AL13" s="421">
        <f>IF(加算等適用状況!J25="○",1,0)</f>
        <v>0</v>
      </c>
      <c r="AM13" s="421">
        <f>IF(加算等適用状況!K25="○",1,0)</f>
        <v>0</v>
      </c>
      <c r="AN13" s="472">
        <f t="shared" si="2"/>
        <v>0</v>
      </c>
      <c r="AO13" s="425"/>
      <c r="AP13" s="425"/>
      <c r="AQ13" s="425"/>
    </row>
  </sheetData>
  <sheetProtection algorithmName="SHA-512" hashValue="FLiVnnbldmv2MHQUJuXskAv1blLpusA1sByjUfkiBTxqEv4rfMxrc+XeAahyCVQF+jfl5+XhKZg7WCC6fCja9g==" saltValue="F26AlqAzRCkv1PVAZ6drYQ==" spinCount="100000" sheet="1" objects="1" scenarios="1"/>
  <phoneticPr fontId="2"/>
  <pageMargins left="0.7" right="0.7" top="0.75" bottom="0.75" header="0.3" footer="0.3"/>
  <pageSetup paperSize="9" scale="71"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L31"/>
  <sheetViews>
    <sheetView view="pageBreakPreview" zoomScale="90" zoomScaleNormal="100" zoomScaleSheetLayoutView="90" workbookViewId="0"/>
  </sheetViews>
  <sheetFormatPr defaultRowHeight="13.5"/>
  <cols>
    <col min="1" max="1" width="4" customWidth="1"/>
    <col min="2" max="3" width="3.625" customWidth="1"/>
    <col min="4" max="4" width="10.75" customWidth="1"/>
    <col min="5" max="5" width="10" customWidth="1"/>
    <col min="6" max="7" width="8.5" customWidth="1"/>
    <col min="8" max="10" width="3.875" customWidth="1"/>
    <col min="11" max="11" width="9.375" customWidth="1"/>
    <col min="12" max="13" width="4.25" customWidth="1"/>
    <col min="14" max="28" width="3.625" customWidth="1"/>
    <col min="29" max="29" width="10.875" customWidth="1"/>
    <col min="30" max="30" width="11.875" customWidth="1"/>
    <col min="31" max="33" width="9.875" customWidth="1"/>
    <col min="35" max="37" width="9" customWidth="1"/>
    <col min="38" max="38" width="11.625" customWidth="1"/>
    <col min="39" max="40" width="14.5" customWidth="1"/>
    <col min="41" max="41" width="4.625" customWidth="1"/>
    <col min="42" max="44" width="9" customWidth="1"/>
    <col min="45" max="45" width="11.125" customWidth="1"/>
    <col min="46" max="47" width="13.5" customWidth="1"/>
    <col min="48" max="49" width="9" customWidth="1"/>
  </cols>
  <sheetData>
    <row r="1" spans="1:64" ht="14.25">
      <c r="B1" s="186"/>
      <c r="C1" s="187"/>
      <c r="D1" s="187"/>
      <c r="E1" s="187"/>
      <c r="F1" s="187"/>
      <c r="G1" s="187"/>
      <c r="H1" s="187"/>
      <c r="I1" s="187"/>
      <c r="J1" s="187"/>
      <c r="K1" s="186"/>
      <c r="L1" s="186"/>
      <c r="M1" s="186"/>
      <c r="N1" s="186"/>
      <c r="O1" s="186"/>
      <c r="P1" s="186"/>
      <c r="Q1" s="186"/>
      <c r="R1" s="186"/>
      <c r="S1" s="186"/>
      <c r="T1" s="186"/>
      <c r="U1" s="186"/>
      <c r="V1" s="186"/>
      <c r="W1" s="186"/>
      <c r="X1" s="186"/>
      <c r="Y1" s="186"/>
      <c r="Z1" s="186"/>
      <c r="AA1" s="186"/>
      <c r="AB1" s="186"/>
      <c r="AC1" s="186"/>
      <c r="AD1" s="187"/>
      <c r="AE1" s="187"/>
      <c r="AF1" s="187"/>
      <c r="AG1" s="187"/>
    </row>
    <row r="2" spans="1:64" ht="22.5" customHeight="1">
      <c r="B2" s="477" t="s">
        <v>227</v>
      </c>
      <c r="C2" s="477"/>
      <c r="D2" s="477"/>
      <c r="E2" s="477"/>
      <c r="F2" s="477"/>
      <c r="G2" s="477"/>
      <c r="H2" s="477"/>
      <c r="I2" s="477"/>
      <c r="J2" s="477"/>
      <c r="K2" s="477"/>
      <c r="L2" s="477"/>
      <c r="M2" s="477"/>
      <c r="N2" s="477"/>
      <c r="O2" s="477"/>
      <c r="P2" s="477"/>
      <c r="Q2" s="477"/>
      <c r="R2" s="477"/>
      <c r="S2" s="477"/>
      <c r="T2" s="477"/>
      <c r="U2" s="477"/>
      <c r="V2" s="477"/>
      <c r="W2" s="477"/>
      <c r="X2" s="477"/>
      <c r="Y2" s="477"/>
      <c r="Z2" s="477"/>
      <c r="AA2" s="477"/>
      <c r="AB2" s="477"/>
      <c r="AC2" s="477"/>
      <c r="AD2" s="477"/>
      <c r="AE2" s="477"/>
      <c r="AF2" s="477"/>
      <c r="AG2" s="477"/>
    </row>
    <row r="3" spans="1:64" ht="14.25">
      <c r="B3" s="186"/>
      <c r="C3" s="187"/>
      <c r="D3" s="187"/>
      <c r="E3" s="187"/>
      <c r="F3" s="187"/>
      <c r="G3" s="187"/>
      <c r="H3" s="187"/>
      <c r="I3" s="187"/>
      <c r="J3" s="187"/>
      <c r="K3" s="186"/>
      <c r="L3" s="186"/>
      <c r="M3" s="186"/>
      <c r="N3" s="186"/>
      <c r="O3" s="186"/>
      <c r="P3" s="186"/>
      <c r="Q3" s="186"/>
      <c r="R3" s="186"/>
      <c r="S3" s="186"/>
      <c r="T3" s="186"/>
      <c r="U3" s="186"/>
      <c r="V3" s="186"/>
      <c r="W3" s="186"/>
      <c r="X3" s="186"/>
      <c r="Y3" s="186"/>
      <c r="Z3" s="186"/>
      <c r="AB3" s="466"/>
      <c r="AC3" s="467" t="s">
        <v>157</v>
      </c>
      <c r="AD3" s="476">
        <f>様式１!C1</f>
        <v>0</v>
      </c>
      <c r="AE3" s="476"/>
      <c r="AF3" s="244"/>
      <c r="AG3" s="245"/>
    </row>
    <row r="4" spans="1:64" ht="14.25">
      <c r="B4" s="186"/>
      <c r="C4" s="187"/>
      <c r="D4" s="187"/>
      <c r="E4" s="187"/>
      <c r="F4" s="187"/>
      <c r="G4" s="187"/>
      <c r="H4" s="187"/>
      <c r="I4" s="187"/>
      <c r="J4" s="187"/>
      <c r="K4" s="186"/>
      <c r="L4" s="186"/>
      <c r="M4" s="186"/>
      <c r="N4" s="186"/>
      <c r="O4" s="186"/>
      <c r="P4" s="186"/>
      <c r="Q4" s="186"/>
      <c r="R4" s="186"/>
      <c r="S4" s="186"/>
      <c r="T4" s="186"/>
      <c r="U4" s="186"/>
      <c r="V4" s="186"/>
      <c r="W4" s="186"/>
      <c r="X4" s="186"/>
      <c r="Y4" s="186"/>
      <c r="Z4" s="186"/>
      <c r="AB4" s="466"/>
      <c r="AC4" s="467" t="s">
        <v>80</v>
      </c>
      <c r="AD4" s="476">
        <f>様式１!C2</f>
        <v>0</v>
      </c>
      <c r="AE4" s="476"/>
      <c r="AF4" s="244"/>
      <c r="AG4" s="245"/>
    </row>
    <row r="5" spans="1:64" ht="18" thickBot="1">
      <c r="B5" s="265" t="s">
        <v>224</v>
      </c>
      <c r="C5" s="266"/>
      <c r="D5" s="266"/>
      <c r="E5" s="187"/>
      <c r="F5" s="187"/>
      <c r="G5" s="187"/>
      <c r="H5" s="187"/>
      <c r="I5" s="187"/>
      <c r="J5" s="187"/>
      <c r="K5" s="186"/>
      <c r="L5" s="186"/>
      <c r="M5" s="186"/>
      <c r="N5" s="186"/>
      <c r="O5" s="186"/>
      <c r="P5" s="186"/>
      <c r="Q5" s="186"/>
      <c r="R5" s="186"/>
      <c r="S5" s="186"/>
      <c r="T5" s="186"/>
      <c r="U5" s="186"/>
      <c r="V5" s="186"/>
      <c r="W5" s="186"/>
      <c r="X5" s="186"/>
      <c r="Y5" s="186"/>
      <c r="Z5" s="186"/>
      <c r="AA5" s="186"/>
      <c r="AB5" s="186"/>
      <c r="AC5" s="465"/>
      <c r="AD5" s="187"/>
      <c r="AE5" s="187"/>
      <c r="AF5" s="187"/>
      <c r="AG5" s="187"/>
    </row>
    <row r="6" spans="1:64" ht="14.25" customHeight="1" thickBot="1">
      <c r="B6" s="485"/>
      <c r="C6" s="486"/>
      <c r="D6" s="496" t="s">
        <v>183</v>
      </c>
      <c r="E6" s="259" t="s">
        <v>77</v>
      </c>
      <c r="F6" s="491" t="s">
        <v>75</v>
      </c>
      <c r="G6" s="492"/>
      <c r="H6" s="496" t="s">
        <v>223</v>
      </c>
      <c r="I6" s="497"/>
      <c r="J6" s="497"/>
      <c r="K6" s="303" t="s">
        <v>94</v>
      </c>
      <c r="L6" s="307"/>
      <c r="M6" s="307"/>
      <c r="N6" s="307" t="s">
        <v>93</v>
      </c>
      <c r="O6" s="307"/>
      <c r="P6" s="307"/>
      <c r="Q6" s="479" t="s">
        <v>194</v>
      </c>
      <c r="R6" s="479"/>
      <c r="S6" s="479"/>
      <c r="T6" s="479" t="s">
        <v>195</v>
      </c>
      <c r="U6" s="479"/>
      <c r="V6" s="479"/>
      <c r="W6" s="479" t="s">
        <v>196</v>
      </c>
      <c r="X6" s="479"/>
      <c r="Y6" s="479"/>
      <c r="Z6" s="479" t="s">
        <v>197</v>
      </c>
      <c r="AA6" s="479"/>
      <c r="AB6" s="479"/>
      <c r="AC6" s="464" t="s">
        <v>389</v>
      </c>
      <c r="AD6" s="519" t="s">
        <v>184</v>
      </c>
      <c r="AE6" s="260" t="s">
        <v>198</v>
      </c>
      <c r="AF6" s="515" t="s">
        <v>391</v>
      </c>
      <c r="AG6" s="516"/>
      <c r="AH6" s="536"/>
      <c r="AI6" s="475" t="s">
        <v>199</v>
      </c>
      <c r="AJ6" s="475"/>
      <c r="AK6" s="475"/>
      <c r="AL6" s="475"/>
      <c r="AM6" s="475"/>
      <c r="AN6" s="475"/>
      <c r="AO6" s="475"/>
      <c r="AP6" s="475"/>
      <c r="AQ6" s="475"/>
      <c r="AR6" s="475"/>
      <c r="AS6" s="475"/>
      <c r="AT6" s="475"/>
      <c r="AU6" s="475"/>
      <c r="AV6" s="475"/>
      <c r="AW6" s="475"/>
      <c r="AX6" s="270"/>
      <c r="AY6" s="270"/>
      <c r="AZ6" s="533" t="s">
        <v>220</v>
      </c>
      <c r="BA6" s="534"/>
      <c r="BB6" s="534"/>
      <c r="BC6" s="534"/>
      <c r="BD6" s="534"/>
      <c r="BE6" s="534"/>
      <c r="BF6" s="534"/>
      <c r="BG6" s="534"/>
      <c r="BH6" s="534"/>
      <c r="BI6" s="534"/>
      <c r="BJ6" s="534"/>
      <c r="BK6" s="534"/>
      <c r="BL6" s="535"/>
    </row>
    <row r="7" spans="1:64" ht="19.5" customHeight="1" thickBot="1">
      <c r="B7" s="487"/>
      <c r="C7" s="488"/>
      <c r="D7" s="498"/>
      <c r="E7" s="493" t="s">
        <v>234</v>
      </c>
      <c r="F7" s="495" t="s">
        <v>228</v>
      </c>
      <c r="G7" s="492"/>
      <c r="H7" s="498"/>
      <c r="I7" s="499"/>
      <c r="J7" s="499"/>
      <c r="K7" s="493" t="s">
        <v>158</v>
      </c>
      <c r="L7" s="525" t="s">
        <v>159</v>
      </c>
      <c r="M7" s="526"/>
      <c r="N7" s="526"/>
      <c r="O7" s="526"/>
      <c r="P7" s="526"/>
      <c r="Q7" s="525" t="s">
        <v>160</v>
      </c>
      <c r="R7" s="526"/>
      <c r="S7" s="527"/>
      <c r="T7" s="525" t="s">
        <v>43</v>
      </c>
      <c r="U7" s="526"/>
      <c r="V7" s="527"/>
      <c r="W7" s="525" t="s">
        <v>161</v>
      </c>
      <c r="X7" s="526"/>
      <c r="Y7" s="527"/>
      <c r="Z7" s="525" t="s">
        <v>162</v>
      </c>
      <c r="AA7" s="526"/>
      <c r="AB7" s="526"/>
      <c r="AC7" s="473" t="s">
        <v>390</v>
      </c>
      <c r="AD7" s="520"/>
      <c r="AE7" s="531" t="s">
        <v>234</v>
      </c>
      <c r="AF7" s="517" t="s">
        <v>228</v>
      </c>
      <c r="AG7" s="518"/>
      <c r="AH7" s="536"/>
      <c r="AI7" s="475" t="s">
        <v>225</v>
      </c>
      <c r="AJ7" s="475"/>
      <c r="AK7" s="475"/>
      <c r="AL7" s="475"/>
      <c r="AM7" s="475"/>
      <c r="AN7" s="475"/>
      <c r="AO7" s="271"/>
      <c r="AP7" s="533" t="s">
        <v>200</v>
      </c>
      <c r="AQ7" s="534"/>
      <c r="AR7" s="534"/>
      <c r="AS7" s="534"/>
      <c r="AT7" s="534"/>
      <c r="AU7" s="534"/>
      <c r="AV7" s="534"/>
      <c r="AW7" s="537"/>
      <c r="AX7" s="270"/>
      <c r="AY7" s="270"/>
      <c r="AZ7" s="522" t="s">
        <v>193</v>
      </c>
      <c r="BA7" s="523"/>
      <c r="BB7" s="523"/>
      <c r="BC7" s="523"/>
      <c r="BD7" s="523"/>
      <c r="BE7" s="523"/>
      <c r="BF7" s="523"/>
      <c r="BG7" s="523"/>
      <c r="BH7" s="523"/>
      <c r="BI7" s="523"/>
      <c r="BJ7" s="523"/>
      <c r="BK7" s="523"/>
      <c r="BL7" s="524"/>
    </row>
    <row r="8" spans="1:64" ht="18.75" customHeight="1">
      <c r="B8" s="489"/>
      <c r="C8" s="490"/>
      <c r="D8" s="500"/>
      <c r="E8" s="494"/>
      <c r="F8" s="261" t="s">
        <v>190</v>
      </c>
      <c r="G8" s="262" t="s">
        <v>191</v>
      </c>
      <c r="H8" s="500"/>
      <c r="I8" s="501"/>
      <c r="J8" s="501"/>
      <c r="K8" s="494"/>
      <c r="L8" s="495" t="s">
        <v>192</v>
      </c>
      <c r="M8" s="492"/>
      <c r="N8" s="495" t="s">
        <v>193</v>
      </c>
      <c r="O8" s="491"/>
      <c r="P8" s="492"/>
      <c r="Q8" s="528"/>
      <c r="R8" s="529"/>
      <c r="S8" s="530"/>
      <c r="T8" s="528"/>
      <c r="U8" s="529"/>
      <c r="V8" s="530"/>
      <c r="W8" s="528"/>
      <c r="X8" s="529"/>
      <c r="Y8" s="530"/>
      <c r="Z8" s="528"/>
      <c r="AA8" s="529"/>
      <c r="AB8" s="529"/>
      <c r="AC8" s="474"/>
      <c r="AD8" s="521"/>
      <c r="AE8" s="532"/>
      <c r="AF8" s="263" t="s">
        <v>221</v>
      </c>
      <c r="AG8" s="264" t="s">
        <v>222</v>
      </c>
      <c r="AH8" s="243"/>
      <c r="AI8" s="272" t="s">
        <v>76</v>
      </c>
      <c r="AJ8" s="272" t="s">
        <v>201</v>
      </c>
      <c r="AK8" s="272" t="s">
        <v>202</v>
      </c>
      <c r="AL8" s="272" t="s">
        <v>203</v>
      </c>
      <c r="AM8" s="272" t="s">
        <v>204</v>
      </c>
      <c r="AN8" s="469" t="s">
        <v>394</v>
      </c>
      <c r="AO8" s="271"/>
      <c r="AP8" s="272" t="s">
        <v>76</v>
      </c>
      <c r="AQ8" s="272" t="s">
        <v>201</v>
      </c>
      <c r="AR8" s="272" t="s">
        <v>202</v>
      </c>
      <c r="AS8" s="272" t="s">
        <v>203</v>
      </c>
      <c r="AT8" s="272" t="s">
        <v>204</v>
      </c>
      <c r="AU8" s="469" t="s">
        <v>394</v>
      </c>
      <c r="AV8" s="273" t="s">
        <v>205</v>
      </c>
      <c r="AW8" s="274" t="s">
        <v>206</v>
      </c>
      <c r="AX8" s="270"/>
      <c r="AY8" s="270"/>
      <c r="AZ8" s="275" t="s">
        <v>207</v>
      </c>
      <c r="BA8" s="276" t="s">
        <v>208</v>
      </c>
      <c r="BB8" s="277" t="s">
        <v>209</v>
      </c>
      <c r="BC8" s="277" t="s">
        <v>210</v>
      </c>
      <c r="BD8" s="277" t="s">
        <v>211</v>
      </c>
      <c r="BE8" s="277" t="s">
        <v>212</v>
      </c>
      <c r="BF8" s="278" t="s">
        <v>213</v>
      </c>
      <c r="BG8" s="276" t="s">
        <v>214</v>
      </c>
      <c r="BH8" s="277" t="s">
        <v>215</v>
      </c>
      <c r="BI8" s="277" t="s">
        <v>216</v>
      </c>
      <c r="BJ8" s="277" t="s">
        <v>217</v>
      </c>
      <c r="BK8" s="277" t="s">
        <v>218</v>
      </c>
      <c r="BL8" s="278" t="s">
        <v>219</v>
      </c>
    </row>
    <row r="9" spans="1:64" ht="18.75" customHeight="1">
      <c r="A9">
        <f>$AD$3</f>
        <v>0</v>
      </c>
      <c r="B9" s="482" t="s">
        <v>163</v>
      </c>
      <c r="C9" s="482"/>
      <c r="D9" s="305" t="e">
        <f>様式１!BK7-様式１!BV7+ROUNDDOWN('様式２（専従の常勤）'!G85*様式１!BW8,1)</f>
        <v>#VALUE!</v>
      </c>
      <c r="E9" s="246" t="e">
        <f>D9-SUM(F9:G9)</f>
        <v>#VALUE!</v>
      </c>
      <c r="F9" s="246" t="e">
        <f>IF(MIN(L9,D9-K9)&lt;0,0,MIN(L9,D9-K9))</f>
        <v>#VALUE!</v>
      </c>
      <c r="G9" s="246" t="e">
        <f t="shared" ref="G9:G20" si="0">IF(MIN(N9,D9-K9-F9)&lt;0,0,MIN(N9,D9-K9-F9))</f>
        <v>#VALUE!</v>
      </c>
      <c r="H9" s="483" t="e">
        <f t="shared" ref="H9:H21" si="1">SUM(K9:AC9)</f>
        <v>#VALUE!</v>
      </c>
      <c r="I9" s="483"/>
      <c r="J9" s="483"/>
      <c r="K9" s="305" t="e">
        <f>様式１!AA8+様式１!AC8+様式１!AE8+様式１!AH8+様式１!AL8+様式１!AQ8</f>
        <v>#VALUE!</v>
      </c>
      <c r="L9" s="540">
        <f>様式１!AS7</f>
        <v>0</v>
      </c>
      <c r="M9" s="541"/>
      <c r="N9" s="540">
        <f>様式１!AT7</f>
        <v>0</v>
      </c>
      <c r="O9" s="542"/>
      <c r="P9" s="541"/>
      <c r="Q9" s="483">
        <f>様式１!AU7</f>
        <v>0</v>
      </c>
      <c r="R9" s="483"/>
      <c r="S9" s="483"/>
      <c r="T9" s="483">
        <f>様式１!AV7+様式１!AW7</f>
        <v>0</v>
      </c>
      <c r="U9" s="483"/>
      <c r="V9" s="483"/>
      <c r="W9" s="483">
        <f>様式１!AX7</f>
        <v>0</v>
      </c>
      <c r="X9" s="483"/>
      <c r="Y9" s="483"/>
      <c r="Z9" s="483">
        <f>様式１!AY7</f>
        <v>2</v>
      </c>
      <c r="AA9" s="483"/>
      <c r="AB9" s="514"/>
      <c r="AC9" s="460">
        <f>様式１!AZ7</f>
        <v>0</v>
      </c>
      <c r="AD9" s="304" t="e">
        <f>SUM(AE9:AG9)</f>
        <v>#VALUE!</v>
      </c>
      <c r="AE9" s="251" t="e">
        <f>AW9</f>
        <v>#VALUE!</v>
      </c>
      <c r="AF9" s="251" t="e">
        <f>MIN(F9,L9)</f>
        <v>#VALUE!</v>
      </c>
      <c r="AG9" s="252" t="e">
        <f>MIN(G9,N9)</f>
        <v>#VALUE!</v>
      </c>
      <c r="AI9" s="279" t="e">
        <f>E9-K9</f>
        <v>#VALUE!</v>
      </c>
      <c r="AJ9" s="279" t="e">
        <f>E9-SUM(K9,Q9)</f>
        <v>#VALUE!</v>
      </c>
      <c r="AK9" s="279" t="e">
        <f>E9-SUM(K9,Q9:V9)</f>
        <v>#VALUE!</v>
      </c>
      <c r="AL9" s="279" t="e">
        <f>E9-SUM(K9,Q9:Y9)</f>
        <v>#VALUE!</v>
      </c>
      <c r="AM9" s="470" t="e">
        <f>E9-SUM(K9,Q9:AB9)</f>
        <v>#VALUE!</v>
      </c>
      <c r="AN9" s="470" t="e">
        <f t="shared" ref="AN9:AN20" si="2">E9-SUM(K9,Q9:AC9)</f>
        <v>#VALUE!</v>
      </c>
      <c r="AO9" s="280"/>
      <c r="AP9" s="279" t="e">
        <f>IF(AI9&lt;=0,SUM(K9),99)</f>
        <v>#VALUE!</v>
      </c>
      <c r="AQ9" s="279" t="e">
        <f>IF(AJ9&lt;=0,SUM(K9,Q9),99)</f>
        <v>#VALUE!</v>
      </c>
      <c r="AR9" s="279" t="e">
        <f>IF(AK9&lt;=0,SUM(K9,Q9:V9),99)</f>
        <v>#VALUE!</v>
      </c>
      <c r="AS9" s="279" t="e">
        <f>IF(AL9&lt;=0,SUM(K9,Q9:Y9),99)</f>
        <v>#VALUE!</v>
      </c>
      <c r="AT9" s="279" t="e">
        <f>IF(AM9&lt;=0,SUM(K9,Q9:AB9),99)</f>
        <v>#VALUE!</v>
      </c>
      <c r="AU9" s="468" t="e">
        <f t="shared" ref="AU9:AU21" si="3">IF(AN9&lt;=0,SUM(K9,Q9:AC9),99)</f>
        <v>#VALUE!</v>
      </c>
      <c r="AV9" s="291" t="e">
        <f>H9-SUM(L9:P9)</f>
        <v>#VALUE!</v>
      </c>
      <c r="AW9" s="281" t="e">
        <f>MIN(AP9:AV9)</f>
        <v>#VALUE!</v>
      </c>
      <c r="AX9" s="270"/>
      <c r="AY9" s="270"/>
      <c r="AZ9" s="282">
        <f>SUM(様式１!C8:D9)</f>
        <v>0</v>
      </c>
      <c r="BA9" s="283">
        <f>SUM('様式１－１（【本園分】標準時間対応）'!J7,'様式１－２（【分園分】標準時間対応）'!J7)</f>
        <v>0</v>
      </c>
      <c r="BB9" s="284">
        <f>SUM('様式１－１（【本園分】標準時間対応）'!R7,'様式１－２（【分園分】標準時間対応）'!R7)</f>
        <v>0</v>
      </c>
      <c r="BC9" s="284">
        <f>SUM('様式１－１（【本園分】標準時間対応）'!Z7,'様式１－２（【分園分】標準時間対応）'!Z7)</f>
        <v>0</v>
      </c>
      <c r="BD9" s="284">
        <f>SUM('様式１－１（【本園分】標準時間対応）'!AH7,'様式１－２（【分園分】標準時間対応）'!AH7)</f>
        <v>0</v>
      </c>
      <c r="BE9" s="284">
        <f>SUM('様式１－１（【本園分】標準時間対応）'!AP7,'様式１－２（【分園分】標準時間対応）'!AP7)</f>
        <v>0</v>
      </c>
      <c r="BF9" s="285">
        <f>SUM('様式１－１（【本園分】標準時間対応）'!AX7,'様式１－２（【分園分】標準時間対応）'!AX7)</f>
        <v>0</v>
      </c>
      <c r="BG9" s="283">
        <f>SUM(様式１!E9,様式１!N9)-SUM('様式１－１（【本園分】標準時間対応）'!J7,'様式１－２（【分園分】標準時間対応）'!J7)</f>
        <v>0</v>
      </c>
      <c r="BH9" s="284">
        <f>SUM(様式１!F9,様式１!O9)-SUM('様式１－１（【本園分】標準時間対応）'!R7,'様式１－２（【分園分】標準時間対応）'!R7)</f>
        <v>0</v>
      </c>
      <c r="BI9" s="284">
        <f>SUM(様式１!H9,様式１!Q9)-SUM('様式１－１（【本園分】標準時間対応）'!Z7,'様式１－２（【分園分】標準時間対応）'!Z7)</f>
        <v>0</v>
      </c>
      <c r="BJ9" s="284">
        <f>SUM(様式１!J8,様式１!S8)-SUM('様式１－１（【本園分】標準時間対応）'!AH7,'様式１－２（【分園分】標準時間対応）'!AH7)</f>
        <v>0</v>
      </c>
      <c r="BK9" s="284">
        <f>SUM(様式１!K8,様式１!T8)-SUM('様式１－１（【本園分】標準時間対応）'!AP7,'様式１－２（【分園分】標準時間対応）'!AP7)</f>
        <v>0</v>
      </c>
      <c r="BL9" s="285">
        <f>SUM(様式１!L8,様式１!U8)-SUM('様式１－１（【本園分】標準時間対応）'!AX7,'様式１－２（【分園分】標準時間対応）'!AX7)</f>
        <v>0</v>
      </c>
    </row>
    <row r="10" spans="1:64" ht="18.75" customHeight="1">
      <c r="A10">
        <f t="shared" ref="A10:A21" si="4">$AD$3</f>
        <v>0</v>
      </c>
      <c r="B10" s="480" t="s">
        <v>164</v>
      </c>
      <c r="C10" s="480"/>
      <c r="D10" s="299" t="e">
        <f>様式１!BK10-様式１!BV10+ROUNDDOWN('様式２（専従の常勤）'!H85*様式１!BW11,1)</f>
        <v>#VALUE!</v>
      </c>
      <c r="E10" s="247" t="e">
        <f t="shared" ref="E10:E21" si="5">D10-SUM(F10:G10)</f>
        <v>#VALUE!</v>
      </c>
      <c r="F10" s="247" t="e">
        <f t="shared" ref="F10:F20" si="6">IF(MIN(L10,D10-K10)&lt;0,0,MIN(L10,D10-K10))</f>
        <v>#VALUE!</v>
      </c>
      <c r="G10" s="247" t="e">
        <f t="shared" si="0"/>
        <v>#VALUE!</v>
      </c>
      <c r="H10" s="481" t="e">
        <f t="shared" si="1"/>
        <v>#VALUE!</v>
      </c>
      <c r="I10" s="481"/>
      <c r="J10" s="481"/>
      <c r="K10" s="299" t="e">
        <f>様式１!AA11+様式１!AC11+様式１!AE11+様式１!AH11+様式１!AL11+様式１!AQ11</f>
        <v>#VALUE!</v>
      </c>
      <c r="L10" s="502">
        <f>様式１!AS10</f>
        <v>0</v>
      </c>
      <c r="M10" s="503"/>
      <c r="N10" s="502">
        <f>様式１!AT10</f>
        <v>0</v>
      </c>
      <c r="O10" s="504"/>
      <c r="P10" s="503"/>
      <c r="Q10" s="481">
        <f>様式１!AU10</f>
        <v>0</v>
      </c>
      <c r="R10" s="481"/>
      <c r="S10" s="481"/>
      <c r="T10" s="481">
        <f>様式１!AV10+様式１!AW10</f>
        <v>0</v>
      </c>
      <c r="U10" s="481"/>
      <c r="V10" s="481"/>
      <c r="W10" s="481">
        <f>様式１!AX10</f>
        <v>0</v>
      </c>
      <c r="X10" s="481"/>
      <c r="Y10" s="481"/>
      <c r="Z10" s="481">
        <f>様式１!AY10</f>
        <v>2</v>
      </c>
      <c r="AA10" s="481"/>
      <c r="AB10" s="502"/>
      <c r="AC10" s="461">
        <f>様式１!AZ10</f>
        <v>0</v>
      </c>
      <c r="AD10" s="300" t="e">
        <f t="shared" ref="AD10:AD21" si="7">SUM(AE10:AG10)</f>
        <v>#VALUE!</v>
      </c>
      <c r="AE10" s="253" t="e">
        <f t="shared" ref="AE10:AE21" si="8">AW10</f>
        <v>#VALUE!</v>
      </c>
      <c r="AF10" s="253" t="e">
        <f t="shared" ref="AF10:AF20" si="9">MIN(F10,L10)</f>
        <v>#VALUE!</v>
      </c>
      <c r="AG10" s="254" t="e">
        <f t="shared" ref="AG10:AG20" si="10">MIN(G10,N10)</f>
        <v>#VALUE!</v>
      </c>
      <c r="AI10" s="279" t="e">
        <f>E10-K10</f>
        <v>#VALUE!</v>
      </c>
      <c r="AJ10" s="279" t="e">
        <f t="shared" ref="AJ10:AJ21" si="11">E10-SUM(K10,Q10)</f>
        <v>#VALUE!</v>
      </c>
      <c r="AK10" s="279" t="e">
        <f t="shared" ref="AK10:AK21" si="12">E10-SUM(K10,Q10:V10)</f>
        <v>#VALUE!</v>
      </c>
      <c r="AL10" s="279" t="e">
        <f t="shared" ref="AL10:AL21" si="13">E10-SUM(K10,Q10:Y10)</f>
        <v>#VALUE!</v>
      </c>
      <c r="AM10" s="279" t="e">
        <f t="shared" ref="AM10:AM21" si="14">E10-SUM(K10,Q10:AB10)</f>
        <v>#VALUE!</v>
      </c>
      <c r="AN10" s="470" t="e">
        <f t="shared" si="2"/>
        <v>#VALUE!</v>
      </c>
      <c r="AO10" s="280"/>
      <c r="AP10" s="279" t="e">
        <f>IF(AI10&lt;=0,SUM(K10),99)</f>
        <v>#VALUE!</v>
      </c>
      <c r="AQ10" s="279" t="e">
        <f t="shared" ref="AQ10:AQ21" si="15">IF(AJ10&lt;=0,SUM(K10,Q10),99)</f>
        <v>#VALUE!</v>
      </c>
      <c r="AR10" s="279" t="e">
        <f t="shared" ref="AR10:AR21" si="16">IF(AK10&lt;=0,SUM(K10,Q10:V10),99)</f>
        <v>#VALUE!</v>
      </c>
      <c r="AS10" s="279" t="e">
        <f t="shared" ref="AS10:AS21" si="17">IF(AL10&lt;=0,SUM(K10,Q10:Y10),99)</f>
        <v>#VALUE!</v>
      </c>
      <c r="AT10" s="279" t="e">
        <f t="shared" ref="AT10:AT21" si="18">IF(AM10&lt;=0,SUM(K10,Q10:AB10),99)</f>
        <v>#VALUE!</v>
      </c>
      <c r="AU10" s="468" t="e">
        <f t="shared" si="3"/>
        <v>#VALUE!</v>
      </c>
      <c r="AV10" s="291" t="e">
        <f t="shared" ref="AV10:AV21" si="19">H10-SUM(L10:P10)</f>
        <v>#VALUE!</v>
      </c>
      <c r="AW10" s="281" t="e">
        <f t="shared" ref="AW10:AW20" si="20">MIN(AP10:AV10)</f>
        <v>#VALUE!</v>
      </c>
      <c r="AX10" s="270"/>
      <c r="AY10" s="270"/>
      <c r="AZ10" s="282">
        <f>SUM(様式１!C11:D12)</f>
        <v>0</v>
      </c>
      <c r="BA10" s="283">
        <f>SUM('様式１－１（【本園分】標準時間対応）'!J9,'様式１－２（【分園分】標準時間対応）'!J9)</f>
        <v>0</v>
      </c>
      <c r="BB10" s="284">
        <f>SUM('様式１－１（【本園分】標準時間対応）'!R9,'様式１－２（【分園分】標準時間対応）'!R9)</f>
        <v>0</v>
      </c>
      <c r="BC10" s="284">
        <f>SUM('様式１－１（【本園分】標準時間対応）'!Z9,'様式１－２（【分園分】標準時間対応）'!Z9)</f>
        <v>0</v>
      </c>
      <c r="BD10" s="284">
        <f>SUM('様式１－１（【本園分】標準時間対応）'!AH9,'様式１－２（【分園分】標準時間対応）'!AH9)</f>
        <v>0</v>
      </c>
      <c r="BE10" s="284">
        <f>SUM('様式１－１（【本園分】標準時間対応）'!AP9,'様式１－２（【分園分】標準時間対応）'!AP9)</f>
        <v>0</v>
      </c>
      <c r="BF10" s="285">
        <f>SUM('様式１－１（【本園分】標準時間対応）'!AX9,'様式１－２（【分園分】標準時間対応）'!AX9)</f>
        <v>0</v>
      </c>
      <c r="BG10" s="283">
        <f>SUM(様式１!E12,様式１!N12)-SUM('様式１－１（【本園分】標準時間対応）'!J9,'様式１－２（【分園分】標準時間対応）'!J9)</f>
        <v>0</v>
      </c>
      <c r="BH10" s="284">
        <f>SUM(様式１!F12,様式１!O12)-SUM('様式１－１（【本園分】標準時間対応）'!R9,'様式１－２（【分園分】標準時間対応）'!R9)</f>
        <v>0</v>
      </c>
      <c r="BI10" s="284">
        <f>SUM(様式１!H12,様式１!Q12)-SUM('様式１－１（【本園分】標準時間対応）'!Z9,'様式１－２（【分園分】標準時間対応）'!Z9)</f>
        <v>0</v>
      </c>
      <c r="BJ10" s="284">
        <f>SUM(様式１!J11,様式１!S11)-SUM('様式１－１（【本園分】標準時間対応）'!AH9,'様式１－２（【分園分】標準時間対応）'!AH9)</f>
        <v>0</v>
      </c>
      <c r="BK10" s="284">
        <f>SUM(様式１!K11,様式１!T11)-SUM('様式１－１（【本園分】標準時間対応）'!AP9,'様式１－２（【分園分】標準時間対応）'!AP9)</f>
        <v>0</v>
      </c>
      <c r="BL10" s="285">
        <f>SUM(様式１!L11,様式１!U11)-SUM('様式１－１（【本園分】標準時間対応）'!AX9,'様式１－２（【分園分】標準時間対応）'!AX9)</f>
        <v>0</v>
      </c>
    </row>
    <row r="11" spans="1:64" ht="18.75" customHeight="1">
      <c r="A11">
        <f t="shared" si="4"/>
        <v>0</v>
      </c>
      <c r="B11" s="480" t="s">
        <v>165</v>
      </c>
      <c r="C11" s="480"/>
      <c r="D11" s="299" t="e">
        <f>様式１!BK13-様式１!BV13+ROUNDDOWN('様式２（専従の常勤）'!I85*様式１!BW14,1)</f>
        <v>#VALUE!</v>
      </c>
      <c r="E11" s="247" t="e">
        <f t="shared" si="5"/>
        <v>#VALUE!</v>
      </c>
      <c r="F11" s="247" t="e">
        <f t="shared" si="6"/>
        <v>#VALUE!</v>
      </c>
      <c r="G11" s="247" t="e">
        <f t="shared" si="0"/>
        <v>#VALUE!</v>
      </c>
      <c r="H11" s="481" t="e">
        <f t="shared" si="1"/>
        <v>#VALUE!</v>
      </c>
      <c r="I11" s="481"/>
      <c r="J11" s="481"/>
      <c r="K11" s="299" t="e">
        <f>様式１!AA14+様式１!AC14+様式１!AE14+様式１!AH14+様式１!AL14+様式１!AQ14</f>
        <v>#VALUE!</v>
      </c>
      <c r="L11" s="502">
        <f>様式１!AS13</f>
        <v>0</v>
      </c>
      <c r="M11" s="503"/>
      <c r="N11" s="502">
        <f>様式１!AT13</f>
        <v>0</v>
      </c>
      <c r="O11" s="504"/>
      <c r="P11" s="503"/>
      <c r="Q11" s="481">
        <f>様式１!AU13</f>
        <v>0</v>
      </c>
      <c r="R11" s="481"/>
      <c r="S11" s="481"/>
      <c r="T11" s="481">
        <f>様式１!AV13+様式１!AW13</f>
        <v>0</v>
      </c>
      <c r="U11" s="481"/>
      <c r="V11" s="481"/>
      <c r="W11" s="481">
        <f>様式１!AX13</f>
        <v>0</v>
      </c>
      <c r="X11" s="481"/>
      <c r="Y11" s="481"/>
      <c r="Z11" s="481">
        <f>様式１!AY13</f>
        <v>2</v>
      </c>
      <c r="AA11" s="481"/>
      <c r="AB11" s="502"/>
      <c r="AC11" s="461">
        <f>様式１!AZ13</f>
        <v>0</v>
      </c>
      <c r="AD11" s="300" t="e">
        <f t="shared" si="7"/>
        <v>#VALUE!</v>
      </c>
      <c r="AE11" s="253" t="e">
        <f t="shared" si="8"/>
        <v>#VALUE!</v>
      </c>
      <c r="AF11" s="253" t="e">
        <f t="shared" si="9"/>
        <v>#VALUE!</v>
      </c>
      <c r="AG11" s="254" t="e">
        <f t="shared" si="10"/>
        <v>#VALUE!</v>
      </c>
      <c r="AI11" s="279" t="e">
        <f t="shared" ref="AI11:AI20" si="21">E11-K11</f>
        <v>#VALUE!</v>
      </c>
      <c r="AJ11" s="279" t="e">
        <f t="shared" si="11"/>
        <v>#VALUE!</v>
      </c>
      <c r="AK11" s="279" t="e">
        <f t="shared" si="12"/>
        <v>#VALUE!</v>
      </c>
      <c r="AL11" s="279" t="e">
        <f t="shared" si="13"/>
        <v>#VALUE!</v>
      </c>
      <c r="AM11" s="279" t="e">
        <f t="shared" si="14"/>
        <v>#VALUE!</v>
      </c>
      <c r="AN11" s="470" t="e">
        <f t="shared" si="2"/>
        <v>#VALUE!</v>
      </c>
      <c r="AO11" s="280"/>
      <c r="AP11" s="279" t="e">
        <f t="shared" ref="AP11:AP21" si="22">IF(AI11&lt;=0,SUM(K11),99)</f>
        <v>#VALUE!</v>
      </c>
      <c r="AQ11" s="279" t="e">
        <f t="shared" si="15"/>
        <v>#VALUE!</v>
      </c>
      <c r="AR11" s="279" t="e">
        <f t="shared" si="16"/>
        <v>#VALUE!</v>
      </c>
      <c r="AS11" s="279" t="e">
        <f t="shared" si="17"/>
        <v>#VALUE!</v>
      </c>
      <c r="AT11" s="279" t="e">
        <f t="shared" si="18"/>
        <v>#VALUE!</v>
      </c>
      <c r="AU11" s="468" t="e">
        <f t="shared" si="3"/>
        <v>#VALUE!</v>
      </c>
      <c r="AV11" s="291" t="e">
        <f t="shared" si="19"/>
        <v>#VALUE!</v>
      </c>
      <c r="AW11" s="281" t="e">
        <f t="shared" si="20"/>
        <v>#VALUE!</v>
      </c>
      <c r="AX11" s="270"/>
      <c r="AY11" s="270"/>
      <c r="AZ11" s="282">
        <f>SUM(様式１!C14:D15)</f>
        <v>0</v>
      </c>
      <c r="BA11" s="283">
        <f>SUM('様式１－１（【本園分】標準時間対応）'!J11,'様式１－２（【分園分】標準時間対応）'!J11)</f>
        <v>0</v>
      </c>
      <c r="BB11" s="284">
        <f>SUM('様式１－１（【本園分】標準時間対応）'!R11,'様式１－２（【分園分】標準時間対応）'!R11)</f>
        <v>0</v>
      </c>
      <c r="BC11" s="284">
        <f>SUM('様式１－１（【本園分】標準時間対応）'!Z11,'様式１－２（【分園分】標準時間対応）'!Z11)</f>
        <v>0</v>
      </c>
      <c r="BD11" s="284">
        <f>SUM('様式１－１（【本園分】標準時間対応）'!AH11,'様式１－２（【分園分】標準時間対応）'!AH11)</f>
        <v>0</v>
      </c>
      <c r="BE11" s="284">
        <f>SUM('様式１－１（【本園分】標準時間対応）'!AP11,'様式１－２（【分園分】標準時間対応）'!AP11)</f>
        <v>0</v>
      </c>
      <c r="BF11" s="285">
        <f>SUM('様式１－１（【本園分】標準時間対応）'!AX11,'様式１－２（【分園分】標準時間対応）'!AX11)</f>
        <v>0</v>
      </c>
      <c r="BG11" s="283">
        <f>SUM(様式１!E15,様式１!N15)-SUM('様式１－１（【本園分】標準時間対応）'!J11,'様式１－２（【分園分】標準時間対応）'!J11)</f>
        <v>0</v>
      </c>
      <c r="BH11" s="284">
        <f>SUM(様式１!F15,様式１!O15)-SUM('様式１－１（【本園分】標準時間対応）'!R11,'様式１－２（【分園分】標準時間対応）'!R11)</f>
        <v>0</v>
      </c>
      <c r="BI11" s="284">
        <f>SUM(様式１!H15,様式１!Q15)-SUM('様式１－１（【本園分】標準時間対応）'!Z11,'様式１－２（【分園分】標準時間対応）'!Z11)</f>
        <v>0</v>
      </c>
      <c r="BJ11" s="284">
        <f>SUM(様式１!J14,様式１!S14)-SUM('様式１－１（【本園分】標準時間対応）'!AH11,'様式１－２（【分園分】標準時間対応）'!AH11)</f>
        <v>0</v>
      </c>
      <c r="BK11" s="284">
        <f>SUM(様式１!K14,様式１!T14)-SUM('様式１－１（【本園分】標準時間対応）'!AP11,'様式１－２（【分園分】標準時間対応）'!AP11)</f>
        <v>0</v>
      </c>
      <c r="BL11" s="285">
        <f>SUM(様式１!L14,様式１!U14)-SUM('様式１－１（【本園分】標準時間対応）'!AX11,'様式１－２（【分園分】標準時間対応）'!AX11)</f>
        <v>0</v>
      </c>
    </row>
    <row r="12" spans="1:64" ht="18.75" customHeight="1">
      <c r="A12">
        <f t="shared" si="4"/>
        <v>0</v>
      </c>
      <c r="B12" s="480" t="s">
        <v>147</v>
      </c>
      <c r="C12" s="480"/>
      <c r="D12" s="299" t="e">
        <f>様式１!BK16-様式１!BV16+ROUNDDOWN('様式２（専従の常勤）'!J85*様式１!BW17,1)</f>
        <v>#VALUE!</v>
      </c>
      <c r="E12" s="247" t="e">
        <f t="shared" si="5"/>
        <v>#VALUE!</v>
      </c>
      <c r="F12" s="247" t="e">
        <f t="shared" si="6"/>
        <v>#VALUE!</v>
      </c>
      <c r="G12" s="247" t="e">
        <f t="shared" si="0"/>
        <v>#VALUE!</v>
      </c>
      <c r="H12" s="481" t="e">
        <f t="shared" si="1"/>
        <v>#VALUE!</v>
      </c>
      <c r="I12" s="481"/>
      <c r="J12" s="481"/>
      <c r="K12" s="299" t="e">
        <f>様式１!AA17+様式１!AC17+様式１!AE17+様式１!AH17+様式１!AL17+様式１!AQ17</f>
        <v>#VALUE!</v>
      </c>
      <c r="L12" s="502">
        <f>様式１!AS16</f>
        <v>0</v>
      </c>
      <c r="M12" s="503"/>
      <c r="N12" s="502">
        <f>様式１!AT16</f>
        <v>0</v>
      </c>
      <c r="O12" s="504"/>
      <c r="P12" s="503"/>
      <c r="Q12" s="481">
        <f>様式１!AU16</f>
        <v>0</v>
      </c>
      <c r="R12" s="481"/>
      <c r="S12" s="481"/>
      <c r="T12" s="481">
        <f>様式１!AV16+様式１!AW16</f>
        <v>0</v>
      </c>
      <c r="U12" s="481"/>
      <c r="V12" s="481"/>
      <c r="W12" s="481">
        <f>様式１!AX16</f>
        <v>0</v>
      </c>
      <c r="X12" s="481"/>
      <c r="Y12" s="481"/>
      <c r="Z12" s="481">
        <f>様式１!AY16</f>
        <v>2</v>
      </c>
      <c r="AA12" s="481"/>
      <c r="AB12" s="502"/>
      <c r="AC12" s="461">
        <f>様式１!AZ16</f>
        <v>0</v>
      </c>
      <c r="AD12" s="300" t="e">
        <f t="shared" si="7"/>
        <v>#VALUE!</v>
      </c>
      <c r="AE12" s="253" t="e">
        <f t="shared" si="8"/>
        <v>#VALUE!</v>
      </c>
      <c r="AF12" s="253" t="e">
        <f t="shared" si="9"/>
        <v>#VALUE!</v>
      </c>
      <c r="AG12" s="254" t="e">
        <f t="shared" si="10"/>
        <v>#VALUE!</v>
      </c>
      <c r="AI12" s="279" t="e">
        <f t="shared" si="21"/>
        <v>#VALUE!</v>
      </c>
      <c r="AJ12" s="279" t="e">
        <f t="shared" si="11"/>
        <v>#VALUE!</v>
      </c>
      <c r="AK12" s="279" t="e">
        <f t="shared" si="12"/>
        <v>#VALUE!</v>
      </c>
      <c r="AL12" s="279" t="e">
        <f t="shared" si="13"/>
        <v>#VALUE!</v>
      </c>
      <c r="AM12" s="279" t="e">
        <f t="shared" si="14"/>
        <v>#VALUE!</v>
      </c>
      <c r="AN12" s="470" t="e">
        <f t="shared" si="2"/>
        <v>#VALUE!</v>
      </c>
      <c r="AO12" s="280"/>
      <c r="AP12" s="279" t="e">
        <f t="shared" si="22"/>
        <v>#VALUE!</v>
      </c>
      <c r="AQ12" s="279" t="e">
        <f t="shared" si="15"/>
        <v>#VALUE!</v>
      </c>
      <c r="AR12" s="279" t="e">
        <f t="shared" si="16"/>
        <v>#VALUE!</v>
      </c>
      <c r="AS12" s="279" t="e">
        <f t="shared" si="17"/>
        <v>#VALUE!</v>
      </c>
      <c r="AT12" s="279" t="e">
        <f t="shared" si="18"/>
        <v>#VALUE!</v>
      </c>
      <c r="AU12" s="468" t="e">
        <f t="shared" si="3"/>
        <v>#VALUE!</v>
      </c>
      <c r="AV12" s="291" t="e">
        <f t="shared" si="19"/>
        <v>#VALUE!</v>
      </c>
      <c r="AW12" s="281" t="e">
        <f t="shared" si="20"/>
        <v>#VALUE!</v>
      </c>
      <c r="AX12" s="270"/>
      <c r="AY12" s="270"/>
      <c r="AZ12" s="282">
        <f>SUM(様式１!C17:D18)</f>
        <v>0</v>
      </c>
      <c r="BA12" s="283">
        <f>SUM('様式１－１（【本園分】標準時間対応）'!J13,'様式１－２（【分園分】標準時間対応）'!J13)</f>
        <v>0</v>
      </c>
      <c r="BB12" s="284">
        <f>SUM('様式１－１（【本園分】標準時間対応）'!R13,'様式１－２（【分園分】標準時間対応）'!R13)</f>
        <v>0</v>
      </c>
      <c r="BC12" s="284">
        <f>SUM('様式１－１（【本園分】標準時間対応）'!Z13,'様式１－２（【分園分】標準時間対応）'!Z13)</f>
        <v>0</v>
      </c>
      <c r="BD12" s="284">
        <f>SUM('様式１－１（【本園分】標準時間対応）'!AH13,'様式１－２（【分園分】標準時間対応）'!AH13)</f>
        <v>0</v>
      </c>
      <c r="BE12" s="284">
        <f>SUM('様式１－１（【本園分】標準時間対応）'!AP13,'様式１－２（【分園分】標準時間対応）'!AP13)</f>
        <v>0</v>
      </c>
      <c r="BF12" s="285">
        <f>SUM('様式１－１（【本園分】標準時間対応）'!AX13,'様式１－２（【分園分】標準時間対応）'!AX13)</f>
        <v>0</v>
      </c>
      <c r="BG12" s="283">
        <f>SUM(様式１!E18,様式１!N18)-SUM('様式１－１（【本園分】標準時間対応）'!J13,'様式１－２（【分園分】標準時間対応）'!J13)</f>
        <v>0</v>
      </c>
      <c r="BH12" s="284">
        <f>SUM(様式１!F18,様式１!O18)-SUM('様式１－１（【本園分】標準時間対応）'!R13,'様式１－２（【分園分】標準時間対応）'!R13)</f>
        <v>0</v>
      </c>
      <c r="BI12" s="284">
        <f>SUM(様式１!H18,様式１!Q18)-SUM('様式１－１（【本園分】標準時間対応）'!Z13,'様式１－２（【分園分】標準時間対応）'!Z13)</f>
        <v>0</v>
      </c>
      <c r="BJ12" s="284">
        <f>SUM(様式１!J17,様式１!S17)-SUM('様式１－１（【本園分】標準時間対応）'!AH13,'様式１－２（【分園分】標準時間対応）'!AH13)</f>
        <v>0</v>
      </c>
      <c r="BK12" s="284">
        <f>SUM(様式１!K17,様式１!T17)-SUM('様式１－１（【本園分】標準時間対応）'!AP13,'様式１－２（【分園分】標準時間対応）'!AP13)</f>
        <v>0</v>
      </c>
      <c r="BL12" s="285">
        <f>SUM(様式１!L17,様式１!U17)-SUM('様式１－１（【本園分】標準時間対応）'!AX13,'様式１－２（【分園分】標準時間対応）'!AX13)</f>
        <v>0</v>
      </c>
    </row>
    <row r="13" spans="1:64" ht="18.75" customHeight="1">
      <c r="A13">
        <f t="shared" si="4"/>
        <v>0</v>
      </c>
      <c r="B13" s="480" t="s">
        <v>148</v>
      </c>
      <c r="C13" s="480"/>
      <c r="D13" s="299" t="e">
        <f>様式１!BK19-様式１!BV19+ROUNDDOWN('様式２（専従の常勤）'!K85*様式１!BW20,1)</f>
        <v>#VALUE!</v>
      </c>
      <c r="E13" s="247" t="e">
        <f t="shared" si="5"/>
        <v>#VALUE!</v>
      </c>
      <c r="F13" s="247" t="e">
        <f t="shared" si="6"/>
        <v>#VALUE!</v>
      </c>
      <c r="G13" s="247" t="e">
        <f t="shared" si="0"/>
        <v>#VALUE!</v>
      </c>
      <c r="H13" s="481" t="e">
        <f t="shared" si="1"/>
        <v>#VALUE!</v>
      </c>
      <c r="I13" s="481"/>
      <c r="J13" s="481"/>
      <c r="K13" s="299" t="e">
        <f>様式１!AA20+様式１!AC20+様式１!AE20+様式１!AH20+様式１!AL20+様式１!AQ20</f>
        <v>#VALUE!</v>
      </c>
      <c r="L13" s="502">
        <f>様式１!AS19</f>
        <v>0</v>
      </c>
      <c r="M13" s="503"/>
      <c r="N13" s="502">
        <f>様式１!AT19</f>
        <v>0</v>
      </c>
      <c r="O13" s="504"/>
      <c r="P13" s="503"/>
      <c r="Q13" s="481">
        <f>様式１!AU19</f>
        <v>0</v>
      </c>
      <c r="R13" s="481"/>
      <c r="S13" s="481"/>
      <c r="T13" s="481">
        <f>様式１!AV19+様式１!AW19</f>
        <v>0</v>
      </c>
      <c r="U13" s="481"/>
      <c r="V13" s="481"/>
      <c r="W13" s="481">
        <f>様式１!AX19</f>
        <v>0</v>
      </c>
      <c r="X13" s="481"/>
      <c r="Y13" s="481"/>
      <c r="Z13" s="481">
        <f>様式１!AY19</f>
        <v>2</v>
      </c>
      <c r="AA13" s="481"/>
      <c r="AB13" s="502"/>
      <c r="AC13" s="461">
        <f>様式１!AZ19</f>
        <v>0</v>
      </c>
      <c r="AD13" s="300" t="e">
        <f t="shared" si="7"/>
        <v>#VALUE!</v>
      </c>
      <c r="AE13" s="253" t="e">
        <f t="shared" si="8"/>
        <v>#VALUE!</v>
      </c>
      <c r="AF13" s="253" t="e">
        <f t="shared" si="9"/>
        <v>#VALUE!</v>
      </c>
      <c r="AG13" s="254" t="e">
        <f t="shared" si="10"/>
        <v>#VALUE!</v>
      </c>
      <c r="AI13" s="279" t="e">
        <f t="shared" si="21"/>
        <v>#VALUE!</v>
      </c>
      <c r="AJ13" s="279" t="e">
        <f t="shared" si="11"/>
        <v>#VALUE!</v>
      </c>
      <c r="AK13" s="279" t="e">
        <f t="shared" si="12"/>
        <v>#VALUE!</v>
      </c>
      <c r="AL13" s="279" t="e">
        <f t="shared" si="13"/>
        <v>#VALUE!</v>
      </c>
      <c r="AM13" s="279" t="e">
        <f t="shared" si="14"/>
        <v>#VALUE!</v>
      </c>
      <c r="AN13" s="470" t="e">
        <f t="shared" si="2"/>
        <v>#VALUE!</v>
      </c>
      <c r="AO13" s="280"/>
      <c r="AP13" s="279" t="e">
        <f t="shared" si="22"/>
        <v>#VALUE!</v>
      </c>
      <c r="AQ13" s="279" t="e">
        <f t="shared" si="15"/>
        <v>#VALUE!</v>
      </c>
      <c r="AR13" s="279" t="e">
        <f t="shared" si="16"/>
        <v>#VALUE!</v>
      </c>
      <c r="AS13" s="279" t="e">
        <f t="shared" si="17"/>
        <v>#VALUE!</v>
      </c>
      <c r="AT13" s="279" t="e">
        <f t="shared" si="18"/>
        <v>#VALUE!</v>
      </c>
      <c r="AU13" s="468" t="e">
        <f t="shared" si="3"/>
        <v>#VALUE!</v>
      </c>
      <c r="AV13" s="291" t="e">
        <f t="shared" si="19"/>
        <v>#VALUE!</v>
      </c>
      <c r="AW13" s="281" t="e">
        <f t="shared" si="20"/>
        <v>#VALUE!</v>
      </c>
      <c r="AX13" s="270"/>
      <c r="AY13" s="270"/>
      <c r="AZ13" s="282">
        <f>SUM(様式１!C20:D21)</f>
        <v>0</v>
      </c>
      <c r="BA13" s="283">
        <f>SUM('様式１－１（【本園分】標準時間対応）'!J15,'様式１－２（【分園分】標準時間対応）'!J15)</f>
        <v>0</v>
      </c>
      <c r="BB13" s="284">
        <f>SUM('様式１－１（【本園分】標準時間対応）'!R15,'様式１－２（【分園分】標準時間対応）'!R15)</f>
        <v>0</v>
      </c>
      <c r="BC13" s="284">
        <f>SUM('様式１－１（【本園分】標準時間対応）'!Z15,'様式１－２（【分園分】標準時間対応）'!Z15)</f>
        <v>0</v>
      </c>
      <c r="BD13" s="284">
        <f>SUM('様式１－１（【本園分】標準時間対応）'!AH15,'様式１－２（【分園分】標準時間対応）'!AH15)</f>
        <v>0</v>
      </c>
      <c r="BE13" s="284">
        <f>SUM('様式１－１（【本園分】標準時間対応）'!AP15,'様式１－２（【分園分】標準時間対応）'!AP15)</f>
        <v>0</v>
      </c>
      <c r="BF13" s="285">
        <f>SUM('様式１－１（【本園分】標準時間対応）'!AX15,'様式１－２（【分園分】標準時間対応）'!AX15)</f>
        <v>0</v>
      </c>
      <c r="BG13" s="283">
        <f>SUM(様式１!E21,様式１!N21)-SUM('様式１－１（【本園分】標準時間対応）'!J15,'様式１－２（【分園分】標準時間対応）'!J15)</f>
        <v>0</v>
      </c>
      <c r="BH13" s="284">
        <f>SUM(様式１!F21,様式１!O21)-SUM('様式１－１（【本園分】標準時間対応）'!R15,'様式１－２（【分園分】標準時間対応）'!R15)</f>
        <v>0</v>
      </c>
      <c r="BI13" s="284">
        <f>SUM(様式１!H21,様式１!Q21)-SUM('様式１－１（【本園分】標準時間対応）'!Z15,'様式１－２（【分園分】標準時間対応）'!Z15)</f>
        <v>0</v>
      </c>
      <c r="BJ13" s="284">
        <f>SUM(様式１!J20,様式１!S20)-SUM('様式１－１（【本園分】標準時間対応）'!AH15,'様式１－２（【分園分】標準時間対応）'!AH15)</f>
        <v>0</v>
      </c>
      <c r="BK13" s="284">
        <f>SUM(様式１!K20,様式１!T20)-SUM('様式１－１（【本園分】標準時間対応）'!AP15,'様式１－２（【分園分】標準時間対応）'!AP15)</f>
        <v>0</v>
      </c>
      <c r="BL13" s="285">
        <f>SUM(様式１!L20,様式１!U20)-SUM('様式１－１（【本園分】標準時間対応）'!AX15,'様式１－２（【分園分】標準時間対応）'!AX15)</f>
        <v>0</v>
      </c>
    </row>
    <row r="14" spans="1:64" ht="18.75" customHeight="1">
      <c r="A14">
        <f t="shared" si="4"/>
        <v>0</v>
      </c>
      <c r="B14" s="480" t="s">
        <v>149</v>
      </c>
      <c r="C14" s="480"/>
      <c r="D14" s="299" t="e">
        <f>様式１!BK22-様式１!BV22+ROUNDDOWN('様式２（専従の常勤）'!L85*様式１!BW23,1)</f>
        <v>#VALUE!</v>
      </c>
      <c r="E14" s="247" t="e">
        <f t="shared" si="5"/>
        <v>#VALUE!</v>
      </c>
      <c r="F14" s="247" t="e">
        <f t="shared" si="6"/>
        <v>#VALUE!</v>
      </c>
      <c r="G14" s="247" t="e">
        <f t="shared" si="0"/>
        <v>#VALUE!</v>
      </c>
      <c r="H14" s="481" t="e">
        <f t="shared" si="1"/>
        <v>#VALUE!</v>
      </c>
      <c r="I14" s="481"/>
      <c r="J14" s="481"/>
      <c r="K14" s="299" t="e">
        <f>様式１!AA23+様式１!AC23+様式１!AE23+様式１!AH23+様式１!AL23+様式１!AQ23</f>
        <v>#VALUE!</v>
      </c>
      <c r="L14" s="502">
        <f>様式１!AS22</f>
        <v>0</v>
      </c>
      <c r="M14" s="503"/>
      <c r="N14" s="502">
        <f>様式１!AT22</f>
        <v>0</v>
      </c>
      <c r="O14" s="504"/>
      <c r="P14" s="503"/>
      <c r="Q14" s="481">
        <f>様式１!AU22</f>
        <v>0</v>
      </c>
      <c r="R14" s="481"/>
      <c r="S14" s="481"/>
      <c r="T14" s="481">
        <f>様式１!AV22+様式１!AW22</f>
        <v>0</v>
      </c>
      <c r="U14" s="481"/>
      <c r="V14" s="481"/>
      <c r="W14" s="481">
        <f>様式１!AX22</f>
        <v>0</v>
      </c>
      <c r="X14" s="481"/>
      <c r="Y14" s="481"/>
      <c r="Z14" s="481">
        <f>様式１!AY22</f>
        <v>2</v>
      </c>
      <c r="AA14" s="481"/>
      <c r="AB14" s="502"/>
      <c r="AC14" s="461">
        <f>様式１!AZ22</f>
        <v>0</v>
      </c>
      <c r="AD14" s="300" t="e">
        <f t="shared" si="7"/>
        <v>#VALUE!</v>
      </c>
      <c r="AE14" s="253" t="e">
        <f t="shared" si="8"/>
        <v>#VALUE!</v>
      </c>
      <c r="AF14" s="253" t="e">
        <f t="shared" si="9"/>
        <v>#VALUE!</v>
      </c>
      <c r="AG14" s="254" t="e">
        <f t="shared" si="10"/>
        <v>#VALUE!</v>
      </c>
      <c r="AI14" s="279" t="e">
        <f t="shared" si="21"/>
        <v>#VALUE!</v>
      </c>
      <c r="AJ14" s="279" t="e">
        <f t="shared" si="11"/>
        <v>#VALUE!</v>
      </c>
      <c r="AK14" s="279" t="e">
        <f t="shared" si="12"/>
        <v>#VALUE!</v>
      </c>
      <c r="AL14" s="279" t="e">
        <f t="shared" si="13"/>
        <v>#VALUE!</v>
      </c>
      <c r="AM14" s="279" t="e">
        <f t="shared" si="14"/>
        <v>#VALUE!</v>
      </c>
      <c r="AN14" s="470" t="e">
        <f t="shared" si="2"/>
        <v>#VALUE!</v>
      </c>
      <c r="AO14" s="280"/>
      <c r="AP14" s="279" t="e">
        <f t="shared" si="22"/>
        <v>#VALUE!</v>
      </c>
      <c r="AQ14" s="279" t="e">
        <f t="shared" si="15"/>
        <v>#VALUE!</v>
      </c>
      <c r="AR14" s="279" t="e">
        <f t="shared" si="16"/>
        <v>#VALUE!</v>
      </c>
      <c r="AS14" s="279" t="e">
        <f t="shared" si="17"/>
        <v>#VALUE!</v>
      </c>
      <c r="AT14" s="279" t="e">
        <f t="shared" si="18"/>
        <v>#VALUE!</v>
      </c>
      <c r="AU14" s="468" t="e">
        <f t="shared" si="3"/>
        <v>#VALUE!</v>
      </c>
      <c r="AV14" s="291" t="e">
        <f t="shared" si="19"/>
        <v>#VALUE!</v>
      </c>
      <c r="AW14" s="281" t="e">
        <f t="shared" si="20"/>
        <v>#VALUE!</v>
      </c>
      <c r="AX14" s="270"/>
      <c r="AY14" s="270"/>
      <c r="AZ14" s="282">
        <f>SUM(様式１!C23:D24)</f>
        <v>0</v>
      </c>
      <c r="BA14" s="283">
        <f>SUM('様式１－１（【本園分】標準時間対応）'!J17,'様式１－２（【分園分】標準時間対応）'!J17)</f>
        <v>0</v>
      </c>
      <c r="BB14" s="284">
        <f>SUM('様式１－１（【本園分】標準時間対応）'!R17,'様式１－２（【分園分】標準時間対応）'!R17)</f>
        <v>0</v>
      </c>
      <c r="BC14" s="284">
        <f>SUM('様式１－１（【本園分】標準時間対応）'!Z17,'様式１－２（【分園分】標準時間対応）'!Z17)</f>
        <v>0</v>
      </c>
      <c r="BD14" s="284">
        <f>SUM('様式１－１（【本園分】標準時間対応）'!AH17,'様式１－２（【分園分】標準時間対応）'!AH17)</f>
        <v>0</v>
      </c>
      <c r="BE14" s="284">
        <f>SUM('様式１－１（【本園分】標準時間対応）'!AP17,'様式１－２（【分園分】標準時間対応）'!AP17)</f>
        <v>0</v>
      </c>
      <c r="BF14" s="285">
        <f>SUM('様式１－１（【本園分】標準時間対応）'!AX17,'様式１－２（【分園分】標準時間対応）'!AX17)</f>
        <v>0</v>
      </c>
      <c r="BG14" s="283">
        <f>SUM(様式１!E24,様式１!N24)-SUM('様式１－１（【本園分】標準時間対応）'!J17,'様式１－２（【分園分】標準時間対応）'!J17)</f>
        <v>0</v>
      </c>
      <c r="BH14" s="284">
        <f>SUM(様式１!F24,様式１!O24)-SUM('様式１－１（【本園分】標準時間対応）'!R17,'様式１－２（【分園分】標準時間対応）'!R17)</f>
        <v>0</v>
      </c>
      <c r="BI14" s="284">
        <f>SUM(様式１!H24,様式１!Q24)-SUM('様式１－１（【本園分】標準時間対応）'!Z17,'様式１－２（【分園分】標準時間対応）'!Z17)</f>
        <v>0</v>
      </c>
      <c r="BJ14" s="284">
        <f>SUM(様式１!J23,様式１!S23)-SUM('様式１－１（【本園分】標準時間対応）'!AH17,'様式１－２（【分園分】標準時間対応）'!AH17)</f>
        <v>0</v>
      </c>
      <c r="BK14" s="284">
        <f>SUM(様式１!K23,様式１!T23)-SUM('様式１－１（【本園分】標準時間対応）'!AP17,'様式１－２（【分園分】標準時間対応）'!AP17)</f>
        <v>0</v>
      </c>
      <c r="BL14" s="285">
        <f>SUM(様式１!L23,様式１!U23)-SUM('様式１－１（【本園分】標準時間対応）'!AX17,'様式１－２（【分園分】標準時間対応）'!AX17)</f>
        <v>0</v>
      </c>
    </row>
    <row r="15" spans="1:64" ht="18.75" customHeight="1">
      <c r="A15">
        <f t="shared" si="4"/>
        <v>0</v>
      </c>
      <c r="B15" s="480" t="s">
        <v>150</v>
      </c>
      <c r="C15" s="480"/>
      <c r="D15" s="299" t="e">
        <f>様式１!BK25-様式１!BV25+ROUNDDOWN('様式２（専従の常勤）'!M85*様式１!BW26,1)</f>
        <v>#VALUE!</v>
      </c>
      <c r="E15" s="247" t="e">
        <f t="shared" si="5"/>
        <v>#VALUE!</v>
      </c>
      <c r="F15" s="247" t="e">
        <f t="shared" si="6"/>
        <v>#VALUE!</v>
      </c>
      <c r="G15" s="247" t="e">
        <f t="shared" si="0"/>
        <v>#VALUE!</v>
      </c>
      <c r="H15" s="481" t="e">
        <f t="shared" si="1"/>
        <v>#VALUE!</v>
      </c>
      <c r="I15" s="481"/>
      <c r="J15" s="481"/>
      <c r="K15" s="299" t="e">
        <f>様式１!AA26+様式１!AC26+様式１!AE26+様式１!AH26+様式１!AL26+様式１!AQ26</f>
        <v>#VALUE!</v>
      </c>
      <c r="L15" s="502">
        <f>様式１!AS25</f>
        <v>0</v>
      </c>
      <c r="M15" s="503"/>
      <c r="N15" s="502">
        <f>様式１!AT25</f>
        <v>0</v>
      </c>
      <c r="O15" s="504"/>
      <c r="P15" s="503"/>
      <c r="Q15" s="481">
        <f>様式１!AU25</f>
        <v>0</v>
      </c>
      <c r="R15" s="481"/>
      <c r="S15" s="481"/>
      <c r="T15" s="481">
        <f>様式１!AV25+様式１!AW25</f>
        <v>0</v>
      </c>
      <c r="U15" s="481"/>
      <c r="V15" s="481"/>
      <c r="W15" s="481">
        <f>様式１!AX25</f>
        <v>0</v>
      </c>
      <c r="X15" s="481"/>
      <c r="Y15" s="481"/>
      <c r="Z15" s="481">
        <f>様式１!AY25</f>
        <v>2</v>
      </c>
      <c r="AA15" s="481"/>
      <c r="AB15" s="502"/>
      <c r="AC15" s="461">
        <f>様式１!AZ25</f>
        <v>0</v>
      </c>
      <c r="AD15" s="300" t="e">
        <f t="shared" si="7"/>
        <v>#VALUE!</v>
      </c>
      <c r="AE15" s="253" t="e">
        <f t="shared" si="8"/>
        <v>#VALUE!</v>
      </c>
      <c r="AF15" s="253" t="e">
        <f t="shared" si="9"/>
        <v>#VALUE!</v>
      </c>
      <c r="AG15" s="254" t="e">
        <f t="shared" si="10"/>
        <v>#VALUE!</v>
      </c>
      <c r="AI15" s="279" t="e">
        <f t="shared" si="21"/>
        <v>#VALUE!</v>
      </c>
      <c r="AJ15" s="279" t="e">
        <f t="shared" si="11"/>
        <v>#VALUE!</v>
      </c>
      <c r="AK15" s="279" t="e">
        <f t="shared" si="12"/>
        <v>#VALUE!</v>
      </c>
      <c r="AL15" s="279" t="e">
        <f t="shared" si="13"/>
        <v>#VALUE!</v>
      </c>
      <c r="AM15" s="279" t="e">
        <f t="shared" si="14"/>
        <v>#VALUE!</v>
      </c>
      <c r="AN15" s="470" t="e">
        <f t="shared" si="2"/>
        <v>#VALUE!</v>
      </c>
      <c r="AO15" s="280"/>
      <c r="AP15" s="279" t="e">
        <f t="shared" si="22"/>
        <v>#VALUE!</v>
      </c>
      <c r="AQ15" s="279" t="e">
        <f t="shared" si="15"/>
        <v>#VALUE!</v>
      </c>
      <c r="AR15" s="279" t="e">
        <f t="shared" si="16"/>
        <v>#VALUE!</v>
      </c>
      <c r="AS15" s="279" t="e">
        <f t="shared" si="17"/>
        <v>#VALUE!</v>
      </c>
      <c r="AT15" s="279" t="e">
        <f t="shared" si="18"/>
        <v>#VALUE!</v>
      </c>
      <c r="AU15" s="468" t="e">
        <f t="shared" si="3"/>
        <v>#VALUE!</v>
      </c>
      <c r="AV15" s="291" t="e">
        <f t="shared" si="19"/>
        <v>#VALUE!</v>
      </c>
      <c r="AW15" s="281" t="e">
        <f t="shared" si="20"/>
        <v>#VALUE!</v>
      </c>
      <c r="AX15" s="270"/>
      <c r="AY15" s="270"/>
      <c r="AZ15" s="282">
        <f>SUM(様式１!C26:D27)</f>
        <v>0</v>
      </c>
      <c r="BA15" s="283">
        <f>SUM('様式１－１（【本園分】標準時間対応）'!J19,'様式１－２（【分園分】標準時間対応）'!J19)</f>
        <v>0</v>
      </c>
      <c r="BB15" s="284">
        <f>SUM('様式１－１（【本園分】標準時間対応）'!R19,'様式１－２（【分園分】標準時間対応）'!R19)</f>
        <v>0</v>
      </c>
      <c r="BC15" s="284">
        <f>SUM('様式１－１（【本園分】標準時間対応）'!Z19,'様式１－２（【分園分】標準時間対応）'!Z19)</f>
        <v>0</v>
      </c>
      <c r="BD15" s="284">
        <f>SUM('様式１－１（【本園分】標準時間対応）'!AH19,'様式１－２（【分園分】標準時間対応）'!AH19)</f>
        <v>0</v>
      </c>
      <c r="BE15" s="284">
        <f>SUM('様式１－１（【本園分】標準時間対応）'!AP19,'様式１－２（【分園分】標準時間対応）'!AP19)</f>
        <v>0</v>
      </c>
      <c r="BF15" s="285">
        <f>SUM('様式１－１（【本園分】標準時間対応）'!AX19,'様式１－２（【分園分】標準時間対応）'!AX19)</f>
        <v>0</v>
      </c>
      <c r="BG15" s="283">
        <f>SUM(様式１!E27,様式１!N27)-SUM('様式１－１（【本園分】標準時間対応）'!J19,'様式１－２（【分園分】標準時間対応）'!J19)</f>
        <v>0</v>
      </c>
      <c r="BH15" s="284">
        <f>SUM(様式１!F27,様式１!O27)-SUM('様式１－１（【本園分】標準時間対応）'!R19,'様式１－２（【分園分】標準時間対応）'!R19)</f>
        <v>0</v>
      </c>
      <c r="BI15" s="284">
        <f>SUM(様式１!H27,様式１!Q27)-SUM('様式１－１（【本園分】標準時間対応）'!Z19,'様式１－２（【分園分】標準時間対応）'!Z19)</f>
        <v>0</v>
      </c>
      <c r="BJ15" s="284">
        <f>SUM(様式１!J26,様式１!S26)-SUM('様式１－１（【本園分】標準時間対応）'!AH19,'様式１－２（【分園分】標準時間対応）'!AH19)</f>
        <v>0</v>
      </c>
      <c r="BK15" s="284">
        <f>SUM(様式１!K26,様式１!T26)-SUM('様式１－１（【本園分】標準時間対応）'!AP19,'様式１－２（【分園分】標準時間対応）'!AP19)</f>
        <v>0</v>
      </c>
      <c r="BL15" s="285">
        <f>SUM(様式１!L26,様式１!U26)-SUM('様式１－１（【本園分】標準時間対応）'!AX19,'様式１－２（【分園分】標準時間対応）'!AX19)</f>
        <v>0</v>
      </c>
    </row>
    <row r="16" spans="1:64" ht="18.75" customHeight="1">
      <c r="A16">
        <f t="shared" si="4"/>
        <v>0</v>
      </c>
      <c r="B16" s="480" t="s">
        <v>151</v>
      </c>
      <c r="C16" s="480"/>
      <c r="D16" s="299" t="e">
        <f>様式１!BK28-様式１!BV28+ROUNDDOWN('様式２（専従の常勤）'!N85*様式１!BW29,1)</f>
        <v>#VALUE!</v>
      </c>
      <c r="E16" s="247" t="e">
        <f t="shared" si="5"/>
        <v>#VALUE!</v>
      </c>
      <c r="F16" s="247" t="e">
        <f t="shared" si="6"/>
        <v>#VALUE!</v>
      </c>
      <c r="G16" s="247" t="e">
        <f t="shared" si="0"/>
        <v>#VALUE!</v>
      </c>
      <c r="H16" s="481" t="e">
        <f t="shared" si="1"/>
        <v>#VALUE!</v>
      </c>
      <c r="I16" s="481"/>
      <c r="J16" s="481"/>
      <c r="K16" s="299" t="e">
        <f>様式１!AA29+様式１!AC29+様式１!AE29+様式１!AH29+様式１!AL29+様式１!AQ29</f>
        <v>#VALUE!</v>
      </c>
      <c r="L16" s="502">
        <f>様式１!AS28</f>
        <v>0</v>
      </c>
      <c r="M16" s="503"/>
      <c r="N16" s="502">
        <f>様式１!AT28</f>
        <v>0</v>
      </c>
      <c r="O16" s="504"/>
      <c r="P16" s="503"/>
      <c r="Q16" s="481">
        <f>様式１!AU28</f>
        <v>0</v>
      </c>
      <c r="R16" s="481"/>
      <c r="S16" s="481"/>
      <c r="T16" s="481">
        <f>様式１!AV28+様式１!AW28</f>
        <v>0</v>
      </c>
      <c r="U16" s="481"/>
      <c r="V16" s="481"/>
      <c r="W16" s="481">
        <f>様式１!AX28</f>
        <v>0</v>
      </c>
      <c r="X16" s="481"/>
      <c r="Y16" s="481"/>
      <c r="Z16" s="481">
        <f>様式１!AY28</f>
        <v>2</v>
      </c>
      <c r="AA16" s="481"/>
      <c r="AB16" s="502"/>
      <c r="AC16" s="461">
        <f>様式１!AZ28</f>
        <v>0</v>
      </c>
      <c r="AD16" s="300" t="e">
        <f t="shared" si="7"/>
        <v>#VALUE!</v>
      </c>
      <c r="AE16" s="253" t="e">
        <f t="shared" si="8"/>
        <v>#VALUE!</v>
      </c>
      <c r="AF16" s="253" t="e">
        <f t="shared" si="9"/>
        <v>#VALUE!</v>
      </c>
      <c r="AG16" s="254" t="e">
        <f t="shared" si="10"/>
        <v>#VALUE!</v>
      </c>
      <c r="AI16" s="279" t="e">
        <f t="shared" si="21"/>
        <v>#VALUE!</v>
      </c>
      <c r="AJ16" s="279" t="e">
        <f t="shared" si="11"/>
        <v>#VALUE!</v>
      </c>
      <c r="AK16" s="279" t="e">
        <f t="shared" si="12"/>
        <v>#VALUE!</v>
      </c>
      <c r="AL16" s="279" t="e">
        <f t="shared" si="13"/>
        <v>#VALUE!</v>
      </c>
      <c r="AM16" s="279" t="e">
        <f t="shared" si="14"/>
        <v>#VALUE!</v>
      </c>
      <c r="AN16" s="470" t="e">
        <f t="shared" si="2"/>
        <v>#VALUE!</v>
      </c>
      <c r="AO16" s="280"/>
      <c r="AP16" s="279" t="e">
        <f t="shared" si="22"/>
        <v>#VALUE!</v>
      </c>
      <c r="AQ16" s="279" t="e">
        <f t="shared" si="15"/>
        <v>#VALUE!</v>
      </c>
      <c r="AR16" s="279" t="e">
        <f t="shared" si="16"/>
        <v>#VALUE!</v>
      </c>
      <c r="AS16" s="279" t="e">
        <f t="shared" si="17"/>
        <v>#VALUE!</v>
      </c>
      <c r="AT16" s="279" t="e">
        <f t="shared" si="18"/>
        <v>#VALUE!</v>
      </c>
      <c r="AU16" s="468" t="e">
        <f t="shared" si="3"/>
        <v>#VALUE!</v>
      </c>
      <c r="AV16" s="291" t="e">
        <f t="shared" si="19"/>
        <v>#VALUE!</v>
      </c>
      <c r="AW16" s="281" t="e">
        <f t="shared" si="20"/>
        <v>#VALUE!</v>
      </c>
      <c r="AX16" s="270"/>
      <c r="AY16" s="270"/>
      <c r="AZ16" s="282">
        <f>SUM(様式１!C29:D30)</f>
        <v>0</v>
      </c>
      <c r="BA16" s="283">
        <f>SUM('様式１－１（【本園分】標準時間対応）'!J21,'様式１－２（【分園分】標準時間対応）'!J21)</f>
        <v>0</v>
      </c>
      <c r="BB16" s="284">
        <f>SUM('様式１－１（【本園分】標準時間対応）'!R21,'様式１－２（【分園分】標準時間対応）'!R21)</f>
        <v>0</v>
      </c>
      <c r="BC16" s="284">
        <f>SUM('様式１－１（【本園分】標準時間対応）'!Z21,'様式１－２（【分園分】標準時間対応）'!Z21)</f>
        <v>0</v>
      </c>
      <c r="BD16" s="284">
        <f>SUM('様式１－１（【本園分】標準時間対応）'!AH21,'様式１－２（【分園分】標準時間対応）'!AH21)</f>
        <v>0</v>
      </c>
      <c r="BE16" s="284">
        <f>SUM('様式１－１（【本園分】標準時間対応）'!AP21,'様式１－２（【分園分】標準時間対応）'!AP21)</f>
        <v>0</v>
      </c>
      <c r="BF16" s="285">
        <f>SUM('様式１－１（【本園分】標準時間対応）'!AX21,'様式１－２（【分園分】標準時間対応）'!AX21)</f>
        <v>0</v>
      </c>
      <c r="BG16" s="283">
        <f>SUM(様式１!E30,様式１!N30)-SUM('様式１－１（【本園分】標準時間対応）'!J21,'様式１－２（【分園分】標準時間対応）'!J21)</f>
        <v>0</v>
      </c>
      <c r="BH16" s="284">
        <f>SUM(様式１!F30,様式１!O30)-SUM('様式１－１（【本園分】標準時間対応）'!R21,'様式１－２（【分園分】標準時間対応）'!R21)</f>
        <v>0</v>
      </c>
      <c r="BI16" s="284">
        <f>SUM(様式１!H30,様式１!Q30)-SUM('様式１－１（【本園分】標準時間対応）'!Z21,'様式１－２（【分園分】標準時間対応）'!Z21)</f>
        <v>0</v>
      </c>
      <c r="BJ16" s="284">
        <f>SUM(様式１!J29,様式１!S29)-SUM('様式１－１（【本園分】標準時間対応）'!AH21,'様式１－２（【分園分】標準時間対応）'!AH21)</f>
        <v>0</v>
      </c>
      <c r="BK16" s="284">
        <f>SUM(様式１!K29,様式１!T29)-SUM('様式１－１（【本園分】標準時間対応）'!AP21,'様式１－２（【分園分】標準時間対応）'!AP21)</f>
        <v>0</v>
      </c>
      <c r="BL16" s="285">
        <f>SUM(様式１!L29,様式１!U29)-SUM('様式１－１（【本園分】標準時間対応）'!AX21,'様式１－２（【分園分】標準時間対応）'!AX21)</f>
        <v>0</v>
      </c>
    </row>
    <row r="17" spans="1:64" ht="18.75" customHeight="1">
      <c r="A17">
        <f t="shared" si="4"/>
        <v>0</v>
      </c>
      <c r="B17" s="480" t="s">
        <v>152</v>
      </c>
      <c r="C17" s="480"/>
      <c r="D17" s="299" t="e">
        <f>様式１!BK31-様式１!BV31+ROUNDDOWN('様式２（専従の常勤）'!O85*様式１!BW32,1)</f>
        <v>#VALUE!</v>
      </c>
      <c r="E17" s="247" t="e">
        <f t="shared" si="5"/>
        <v>#VALUE!</v>
      </c>
      <c r="F17" s="247" t="e">
        <f t="shared" si="6"/>
        <v>#VALUE!</v>
      </c>
      <c r="G17" s="247" t="e">
        <f t="shared" si="0"/>
        <v>#VALUE!</v>
      </c>
      <c r="H17" s="481" t="e">
        <f t="shared" si="1"/>
        <v>#VALUE!</v>
      </c>
      <c r="I17" s="481"/>
      <c r="J17" s="481"/>
      <c r="K17" s="299" t="e">
        <f>様式１!AA32+様式１!AC32+様式１!AE32+様式１!AH32+様式１!AL32+様式１!AQ32</f>
        <v>#VALUE!</v>
      </c>
      <c r="L17" s="502">
        <f>様式１!AS31</f>
        <v>0</v>
      </c>
      <c r="M17" s="503"/>
      <c r="N17" s="502">
        <f>様式１!AT31</f>
        <v>0</v>
      </c>
      <c r="O17" s="504"/>
      <c r="P17" s="503"/>
      <c r="Q17" s="481">
        <f>様式１!AU31</f>
        <v>0</v>
      </c>
      <c r="R17" s="481"/>
      <c r="S17" s="481"/>
      <c r="T17" s="481">
        <f>様式１!AV31+様式１!AW31</f>
        <v>0</v>
      </c>
      <c r="U17" s="481"/>
      <c r="V17" s="481"/>
      <c r="W17" s="481">
        <f>様式１!AX31</f>
        <v>0</v>
      </c>
      <c r="X17" s="481"/>
      <c r="Y17" s="481"/>
      <c r="Z17" s="481">
        <f>様式１!AY31</f>
        <v>2</v>
      </c>
      <c r="AA17" s="481"/>
      <c r="AB17" s="502"/>
      <c r="AC17" s="461">
        <f>様式１!AZ31</f>
        <v>0</v>
      </c>
      <c r="AD17" s="300" t="e">
        <f t="shared" si="7"/>
        <v>#VALUE!</v>
      </c>
      <c r="AE17" s="253" t="e">
        <f t="shared" si="8"/>
        <v>#VALUE!</v>
      </c>
      <c r="AF17" s="253" t="e">
        <f t="shared" si="9"/>
        <v>#VALUE!</v>
      </c>
      <c r="AG17" s="254" t="e">
        <f t="shared" si="10"/>
        <v>#VALUE!</v>
      </c>
      <c r="AI17" s="279" t="e">
        <f t="shared" si="21"/>
        <v>#VALUE!</v>
      </c>
      <c r="AJ17" s="279" t="e">
        <f t="shared" si="11"/>
        <v>#VALUE!</v>
      </c>
      <c r="AK17" s="279" t="e">
        <f t="shared" si="12"/>
        <v>#VALUE!</v>
      </c>
      <c r="AL17" s="279" t="e">
        <f t="shared" si="13"/>
        <v>#VALUE!</v>
      </c>
      <c r="AM17" s="279" t="e">
        <f t="shared" si="14"/>
        <v>#VALUE!</v>
      </c>
      <c r="AN17" s="470" t="e">
        <f t="shared" si="2"/>
        <v>#VALUE!</v>
      </c>
      <c r="AO17" s="280"/>
      <c r="AP17" s="279" t="e">
        <f t="shared" si="22"/>
        <v>#VALUE!</v>
      </c>
      <c r="AQ17" s="279" t="e">
        <f t="shared" si="15"/>
        <v>#VALUE!</v>
      </c>
      <c r="AR17" s="279" t="e">
        <f t="shared" si="16"/>
        <v>#VALUE!</v>
      </c>
      <c r="AS17" s="279" t="e">
        <f t="shared" si="17"/>
        <v>#VALUE!</v>
      </c>
      <c r="AT17" s="279" t="e">
        <f t="shared" si="18"/>
        <v>#VALUE!</v>
      </c>
      <c r="AU17" s="468" t="e">
        <f t="shared" si="3"/>
        <v>#VALUE!</v>
      </c>
      <c r="AV17" s="291" t="e">
        <f t="shared" si="19"/>
        <v>#VALUE!</v>
      </c>
      <c r="AW17" s="281" t="e">
        <f t="shared" si="20"/>
        <v>#VALUE!</v>
      </c>
      <c r="AX17" s="270"/>
      <c r="AY17" s="270"/>
      <c r="AZ17" s="282">
        <f>SUM(様式１!C32:D33)</f>
        <v>0</v>
      </c>
      <c r="BA17" s="283">
        <f>SUM('様式１－１（【本園分】標準時間対応）'!J23,'様式１－２（【分園分】標準時間対応）'!J23)</f>
        <v>0</v>
      </c>
      <c r="BB17" s="284">
        <f>SUM('様式１－１（【本園分】標準時間対応）'!R23,'様式１－２（【分園分】標準時間対応）'!R23)</f>
        <v>0</v>
      </c>
      <c r="BC17" s="284">
        <f>SUM('様式１－１（【本園分】標準時間対応）'!Z23,'様式１－２（【分園分】標準時間対応）'!Z23)</f>
        <v>0</v>
      </c>
      <c r="BD17" s="284">
        <f>SUM('様式１－１（【本園分】標準時間対応）'!AH23,'様式１－２（【分園分】標準時間対応）'!AH23)</f>
        <v>0</v>
      </c>
      <c r="BE17" s="284">
        <f>SUM('様式１－１（【本園分】標準時間対応）'!AP23,'様式１－２（【分園分】標準時間対応）'!AP23)</f>
        <v>0</v>
      </c>
      <c r="BF17" s="285">
        <f>SUM('様式１－１（【本園分】標準時間対応）'!AX23,'様式１－２（【分園分】標準時間対応）'!AX23)</f>
        <v>0</v>
      </c>
      <c r="BG17" s="283">
        <f>SUM(様式１!E33,様式１!N33)-SUM('様式１－１（【本園分】標準時間対応）'!J23,'様式１－２（【分園分】標準時間対応）'!J23)</f>
        <v>0</v>
      </c>
      <c r="BH17" s="284">
        <f>SUM(様式１!F33,様式１!O33)-SUM('様式１－１（【本園分】標準時間対応）'!R23,'様式１－２（【分園分】標準時間対応）'!R23)</f>
        <v>0</v>
      </c>
      <c r="BI17" s="284">
        <f>SUM(様式１!H33,様式１!Q33)-SUM('様式１－１（【本園分】標準時間対応）'!Z23,'様式１－２（【分園分】標準時間対応）'!Z23)</f>
        <v>0</v>
      </c>
      <c r="BJ17" s="284">
        <f>SUM(様式１!J32,様式１!S32)-SUM('様式１－１（【本園分】標準時間対応）'!AH23,'様式１－２（【分園分】標準時間対応）'!AH23)</f>
        <v>0</v>
      </c>
      <c r="BK17" s="284">
        <f>SUM(様式１!K32,様式１!T32)-SUM('様式１－１（【本園分】標準時間対応）'!AP23,'様式１－２（【分園分】標準時間対応）'!AP23)</f>
        <v>0</v>
      </c>
      <c r="BL17" s="285">
        <f>SUM(様式１!L32,様式１!U32)-SUM('様式１－１（【本園分】標準時間対応）'!AX23,'様式１－２（【分園分】標準時間対応）'!AX23)</f>
        <v>0</v>
      </c>
    </row>
    <row r="18" spans="1:64" ht="18.75" customHeight="1">
      <c r="A18">
        <f t="shared" si="4"/>
        <v>0</v>
      </c>
      <c r="B18" s="480" t="s">
        <v>153</v>
      </c>
      <c r="C18" s="480"/>
      <c r="D18" s="299" t="e">
        <f>様式１!BK34-様式１!BV34+ROUNDDOWN('様式２（専従の常勤）'!P85*様式１!BW35,1)</f>
        <v>#VALUE!</v>
      </c>
      <c r="E18" s="247" t="e">
        <f t="shared" si="5"/>
        <v>#VALUE!</v>
      </c>
      <c r="F18" s="247" t="e">
        <f t="shared" si="6"/>
        <v>#VALUE!</v>
      </c>
      <c r="G18" s="247" t="e">
        <f t="shared" si="0"/>
        <v>#VALUE!</v>
      </c>
      <c r="H18" s="481" t="e">
        <f t="shared" si="1"/>
        <v>#VALUE!</v>
      </c>
      <c r="I18" s="481"/>
      <c r="J18" s="481"/>
      <c r="K18" s="299" t="e">
        <f>様式１!AA35+様式１!AC35+様式１!AE35+様式１!AH35+様式１!AL35+様式１!AQ35</f>
        <v>#VALUE!</v>
      </c>
      <c r="L18" s="502">
        <f>様式１!AS34</f>
        <v>0</v>
      </c>
      <c r="M18" s="503"/>
      <c r="N18" s="502">
        <f>様式１!AT34</f>
        <v>0</v>
      </c>
      <c r="O18" s="504"/>
      <c r="P18" s="503"/>
      <c r="Q18" s="481">
        <f>様式１!AU34</f>
        <v>0</v>
      </c>
      <c r="R18" s="481"/>
      <c r="S18" s="481"/>
      <c r="T18" s="481">
        <f>様式１!AV34+様式１!AW34</f>
        <v>0</v>
      </c>
      <c r="U18" s="481"/>
      <c r="V18" s="481"/>
      <c r="W18" s="481">
        <f>様式１!AX34</f>
        <v>0</v>
      </c>
      <c r="X18" s="481"/>
      <c r="Y18" s="481"/>
      <c r="Z18" s="481">
        <f>様式１!AY34</f>
        <v>2</v>
      </c>
      <c r="AA18" s="481"/>
      <c r="AB18" s="502"/>
      <c r="AC18" s="461">
        <f>様式１!AZ34</f>
        <v>0</v>
      </c>
      <c r="AD18" s="300" t="e">
        <f t="shared" si="7"/>
        <v>#VALUE!</v>
      </c>
      <c r="AE18" s="253" t="e">
        <f t="shared" si="8"/>
        <v>#VALUE!</v>
      </c>
      <c r="AF18" s="253" t="e">
        <f t="shared" si="9"/>
        <v>#VALUE!</v>
      </c>
      <c r="AG18" s="254" t="e">
        <f t="shared" si="10"/>
        <v>#VALUE!</v>
      </c>
      <c r="AI18" s="279" t="e">
        <f t="shared" si="21"/>
        <v>#VALUE!</v>
      </c>
      <c r="AJ18" s="279" t="e">
        <f t="shared" si="11"/>
        <v>#VALUE!</v>
      </c>
      <c r="AK18" s="279" t="e">
        <f t="shared" si="12"/>
        <v>#VALUE!</v>
      </c>
      <c r="AL18" s="279" t="e">
        <f t="shared" si="13"/>
        <v>#VALUE!</v>
      </c>
      <c r="AM18" s="279" t="e">
        <f t="shared" si="14"/>
        <v>#VALUE!</v>
      </c>
      <c r="AN18" s="470" t="e">
        <f t="shared" si="2"/>
        <v>#VALUE!</v>
      </c>
      <c r="AO18" s="280"/>
      <c r="AP18" s="279" t="e">
        <f t="shared" si="22"/>
        <v>#VALUE!</v>
      </c>
      <c r="AQ18" s="279" t="e">
        <f t="shared" si="15"/>
        <v>#VALUE!</v>
      </c>
      <c r="AR18" s="279" t="e">
        <f t="shared" si="16"/>
        <v>#VALUE!</v>
      </c>
      <c r="AS18" s="279" t="e">
        <f t="shared" si="17"/>
        <v>#VALUE!</v>
      </c>
      <c r="AT18" s="279" t="e">
        <f t="shared" si="18"/>
        <v>#VALUE!</v>
      </c>
      <c r="AU18" s="468" t="e">
        <f t="shared" si="3"/>
        <v>#VALUE!</v>
      </c>
      <c r="AV18" s="291" t="e">
        <f t="shared" si="19"/>
        <v>#VALUE!</v>
      </c>
      <c r="AW18" s="281" t="e">
        <f t="shared" si="20"/>
        <v>#VALUE!</v>
      </c>
      <c r="AX18" s="270"/>
      <c r="AY18" s="270"/>
      <c r="AZ18" s="282">
        <f>SUM(様式１!C35:D36)</f>
        <v>0</v>
      </c>
      <c r="BA18" s="283">
        <f>SUM('様式１－１（【本園分】標準時間対応）'!J25,'様式１－２（【分園分】標準時間対応）'!J25)</f>
        <v>0</v>
      </c>
      <c r="BB18" s="284">
        <f>SUM('様式１－１（【本園分】標準時間対応）'!R25,'様式１－２（【分園分】標準時間対応）'!R25)</f>
        <v>0</v>
      </c>
      <c r="BC18" s="284">
        <f>SUM('様式１－１（【本園分】標準時間対応）'!Z25,'様式１－２（【分園分】標準時間対応）'!Z25)</f>
        <v>0</v>
      </c>
      <c r="BD18" s="284">
        <f>SUM('様式１－１（【本園分】標準時間対応）'!AH25,'様式１－２（【分園分】標準時間対応）'!AH25)</f>
        <v>0</v>
      </c>
      <c r="BE18" s="284">
        <f>SUM('様式１－１（【本園分】標準時間対応）'!AP25,'様式１－２（【分園分】標準時間対応）'!AP25)</f>
        <v>0</v>
      </c>
      <c r="BF18" s="285">
        <f>SUM('様式１－１（【本園分】標準時間対応）'!AX25,'様式１－２（【分園分】標準時間対応）'!AX25)</f>
        <v>0</v>
      </c>
      <c r="BG18" s="283">
        <f>SUM(様式１!E36,様式１!N36)-SUM('様式１－１（【本園分】標準時間対応）'!J25,'様式１－２（【分園分】標準時間対応）'!J25)</f>
        <v>0</v>
      </c>
      <c r="BH18" s="284">
        <f>SUM(様式１!F36,様式１!O36)-SUM('様式１－１（【本園分】標準時間対応）'!R25,'様式１－２（【分園分】標準時間対応）'!R25)</f>
        <v>0</v>
      </c>
      <c r="BI18" s="284">
        <f>SUM(様式１!H36,様式１!Q36)-SUM('様式１－１（【本園分】標準時間対応）'!Z25,'様式１－２（【分園分】標準時間対応）'!Z25)</f>
        <v>0</v>
      </c>
      <c r="BJ18" s="284">
        <f>SUM(様式１!J35,様式１!S35)-SUM('様式１－１（【本園分】標準時間対応）'!AH25,'様式１－２（【分園分】標準時間対応）'!AH25)</f>
        <v>0</v>
      </c>
      <c r="BK18" s="284">
        <f>SUM(様式１!K35,様式１!T35)-SUM('様式１－１（【本園分】標準時間対応）'!AP25,'様式１－２（【分園分】標準時間対応）'!AP25)</f>
        <v>0</v>
      </c>
      <c r="BL18" s="285">
        <f>SUM(様式１!L35,様式１!U35)-SUM('様式１－１（【本園分】標準時間対応）'!AX25,'様式１－２（【分園分】標準時間対応）'!AX25)</f>
        <v>0</v>
      </c>
    </row>
    <row r="19" spans="1:64" ht="18.75" customHeight="1">
      <c r="A19">
        <f t="shared" si="4"/>
        <v>0</v>
      </c>
      <c r="B19" s="480" t="s">
        <v>15</v>
      </c>
      <c r="C19" s="480"/>
      <c r="D19" s="299" t="e">
        <f>様式１!BK37-様式１!BV37+ROUNDDOWN('様式２（専従の常勤）'!Q85*様式１!BW38,1)</f>
        <v>#VALUE!</v>
      </c>
      <c r="E19" s="247" t="e">
        <f t="shared" si="5"/>
        <v>#VALUE!</v>
      </c>
      <c r="F19" s="247" t="e">
        <f t="shared" si="6"/>
        <v>#VALUE!</v>
      </c>
      <c r="G19" s="247" t="e">
        <f t="shared" si="0"/>
        <v>#VALUE!</v>
      </c>
      <c r="H19" s="481" t="e">
        <f t="shared" si="1"/>
        <v>#VALUE!</v>
      </c>
      <c r="I19" s="481"/>
      <c r="J19" s="481"/>
      <c r="K19" s="299" t="e">
        <f>様式１!AA38+様式１!AC38+様式１!AE38+様式１!AH38+様式１!AL38+様式１!AQ38</f>
        <v>#VALUE!</v>
      </c>
      <c r="L19" s="502">
        <f>様式１!AS37</f>
        <v>0</v>
      </c>
      <c r="M19" s="503"/>
      <c r="N19" s="502">
        <f>様式１!AT37</f>
        <v>0</v>
      </c>
      <c r="O19" s="504"/>
      <c r="P19" s="503"/>
      <c r="Q19" s="481">
        <f>様式１!AU37</f>
        <v>0</v>
      </c>
      <c r="R19" s="481"/>
      <c r="S19" s="481"/>
      <c r="T19" s="481">
        <f>様式１!AV37+様式１!AW37</f>
        <v>0</v>
      </c>
      <c r="U19" s="481"/>
      <c r="V19" s="481"/>
      <c r="W19" s="481">
        <f>様式１!AX37</f>
        <v>0</v>
      </c>
      <c r="X19" s="481"/>
      <c r="Y19" s="481"/>
      <c r="Z19" s="481">
        <f>様式１!AY37</f>
        <v>2</v>
      </c>
      <c r="AA19" s="481"/>
      <c r="AB19" s="502"/>
      <c r="AC19" s="461">
        <f>様式１!AZ37</f>
        <v>0</v>
      </c>
      <c r="AD19" s="300" t="e">
        <f t="shared" si="7"/>
        <v>#VALUE!</v>
      </c>
      <c r="AE19" s="253" t="e">
        <f t="shared" si="8"/>
        <v>#VALUE!</v>
      </c>
      <c r="AF19" s="253" t="e">
        <f t="shared" si="9"/>
        <v>#VALUE!</v>
      </c>
      <c r="AG19" s="254" t="e">
        <f t="shared" si="10"/>
        <v>#VALUE!</v>
      </c>
      <c r="AI19" s="279" t="e">
        <f t="shared" si="21"/>
        <v>#VALUE!</v>
      </c>
      <c r="AJ19" s="279" t="e">
        <f t="shared" si="11"/>
        <v>#VALUE!</v>
      </c>
      <c r="AK19" s="279" t="e">
        <f t="shared" si="12"/>
        <v>#VALUE!</v>
      </c>
      <c r="AL19" s="279" t="e">
        <f t="shared" si="13"/>
        <v>#VALUE!</v>
      </c>
      <c r="AM19" s="279" t="e">
        <f t="shared" si="14"/>
        <v>#VALUE!</v>
      </c>
      <c r="AN19" s="470" t="e">
        <f t="shared" si="2"/>
        <v>#VALUE!</v>
      </c>
      <c r="AO19" s="280"/>
      <c r="AP19" s="279" t="e">
        <f t="shared" si="22"/>
        <v>#VALUE!</v>
      </c>
      <c r="AQ19" s="279" t="e">
        <f t="shared" si="15"/>
        <v>#VALUE!</v>
      </c>
      <c r="AR19" s="279" t="e">
        <f t="shared" si="16"/>
        <v>#VALUE!</v>
      </c>
      <c r="AS19" s="279" t="e">
        <f t="shared" si="17"/>
        <v>#VALUE!</v>
      </c>
      <c r="AT19" s="279" t="e">
        <f t="shared" si="18"/>
        <v>#VALUE!</v>
      </c>
      <c r="AU19" s="468" t="e">
        <f t="shared" si="3"/>
        <v>#VALUE!</v>
      </c>
      <c r="AV19" s="291" t="e">
        <f t="shared" si="19"/>
        <v>#VALUE!</v>
      </c>
      <c r="AW19" s="281" t="e">
        <f t="shared" si="20"/>
        <v>#VALUE!</v>
      </c>
      <c r="AX19" s="270"/>
      <c r="AY19" s="270"/>
      <c r="AZ19" s="282">
        <f>SUM(様式１!C38:D39)</f>
        <v>0</v>
      </c>
      <c r="BA19" s="283">
        <f>SUM('様式１－１（【本園分】標準時間対応）'!J27,'様式１－２（【分園分】標準時間対応）'!J27)</f>
        <v>0</v>
      </c>
      <c r="BB19" s="284">
        <f>SUM('様式１－１（【本園分】標準時間対応）'!R27,'様式１－２（【分園分】標準時間対応）'!R27)</f>
        <v>0</v>
      </c>
      <c r="BC19" s="284">
        <f>SUM('様式１－１（【本園分】標準時間対応）'!Z27,'様式１－２（【分園分】標準時間対応）'!Z27)</f>
        <v>0</v>
      </c>
      <c r="BD19" s="284">
        <f>SUM('様式１－１（【本園分】標準時間対応）'!AH27,'様式１－２（【分園分】標準時間対応）'!AH27)</f>
        <v>0</v>
      </c>
      <c r="BE19" s="284">
        <f>SUM('様式１－１（【本園分】標準時間対応）'!AP27,'様式１－２（【分園分】標準時間対応）'!AP27)</f>
        <v>0</v>
      </c>
      <c r="BF19" s="285">
        <f>SUM('様式１－１（【本園分】標準時間対応）'!AX27,'様式１－２（【分園分】標準時間対応）'!AX27)</f>
        <v>0</v>
      </c>
      <c r="BG19" s="283">
        <f>SUM(様式１!E39,様式１!N39)-SUM('様式１－１（【本園分】標準時間対応）'!J27,'様式１－２（【分園分】標準時間対応）'!J27)</f>
        <v>0</v>
      </c>
      <c r="BH19" s="284">
        <f>SUM(様式１!F39,様式１!O39)-SUM('様式１－１（【本園分】標準時間対応）'!R27,'様式１－２（【分園分】標準時間対応）'!R27)</f>
        <v>0</v>
      </c>
      <c r="BI19" s="284">
        <f>SUM(様式１!H39,様式１!Q39)-SUM('様式１－１（【本園分】標準時間対応）'!Z27,'様式１－２（【分園分】標準時間対応）'!Z27)</f>
        <v>0</v>
      </c>
      <c r="BJ19" s="284">
        <f>SUM(様式１!J38,様式１!S38)-SUM('様式１－１（【本園分】標準時間対応）'!AH27,'様式１－２（【分園分】標準時間対応）'!AH27)</f>
        <v>0</v>
      </c>
      <c r="BK19" s="284">
        <f>SUM(様式１!K38,様式１!T38)-SUM('様式１－１（【本園分】標準時間対応）'!AP27,'様式１－２（【分園分】標準時間対応）'!AP27)</f>
        <v>0</v>
      </c>
      <c r="BL19" s="285">
        <f>SUM(様式１!L38,様式１!U38)-SUM('様式１－１（【本園分】標準時間対応）'!AX27,'様式１－２（【分園分】標準時間対応）'!AX27)</f>
        <v>0</v>
      </c>
    </row>
    <row r="20" spans="1:64" ht="18.75" customHeight="1" thickBot="1">
      <c r="A20">
        <f t="shared" si="4"/>
        <v>0</v>
      </c>
      <c r="B20" s="508" t="s">
        <v>154</v>
      </c>
      <c r="C20" s="508"/>
      <c r="D20" s="301" t="e">
        <f>様式１!BK40-様式１!BV40+ROUNDDOWN('様式２（専従の常勤）'!R85*様式１!BW41,1)</f>
        <v>#VALUE!</v>
      </c>
      <c r="E20" s="248" t="e">
        <f t="shared" si="5"/>
        <v>#VALUE!</v>
      </c>
      <c r="F20" s="248" t="e">
        <f t="shared" si="6"/>
        <v>#VALUE!</v>
      </c>
      <c r="G20" s="248" t="e">
        <f t="shared" si="0"/>
        <v>#VALUE!</v>
      </c>
      <c r="H20" s="484" t="e">
        <f t="shared" si="1"/>
        <v>#VALUE!</v>
      </c>
      <c r="I20" s="484"/>
      <c r="J20" s="484"/>
      <c r="K20" s="301" t="e">
        <f>様式１!AA41+様式１!AC41+様式１!AE41+様式１!AH41+様式１!AL41+様式１!AQ41</f>
        <v>#VALUE!</v>
      </c>
      <c r="L20" s="510">
        <f>様式１!AS40</f>
        <v>0</v>
      </c>
      <c r="M20" s="511"/>
      <c r="N20" s="510">
        <f>様式１!AT40</f>
        <v>0</v>
      </c>
      <c r="O20" s="538"/>
      <c r="P20" s="511"/>
      <c r="Q20" s="484">
        <f>様式１!AU40</f>
        <v>0</v>
      </c>
      <c r="R20" s="484"/>
      <c r="S20" s="484"/>
      <c r="T20" s="484">
        <f>様式１!AV40+様式１!AW40</f>
        <v>0</v>
      </c>
      <c r="U20" s="484"/>
      <c r="V20" s="484"/>
      <c r="W20" s="484">
        <f>様式１!AX40</f>
        <v>0</v>
      </c>
      <c r="X20" s="484"/>
      <c r="Y20" s="484"/>
      <c r="Z20" s="484">
        <f>様式１!AY40</f>
        <v>2</v>
      </c>
      <c r="AA20" s="484"/>
      <c r="AB20" s="509"/>
      <c r="AC20" s="462">
        <f>様式１!AZ40</f>
        <v>0</v>
      </c>
      <c r="AD20" s="302" t="e">
        <f t="shared" si="7"/>
        <v>#VALUE!</v>
      </c>
      <c r="AE20" s="255" t="e">
        <f t="shared" si="8"/>
        <v>#VALUE!</v>
      </c>
      <c r="AF20" s="255" t="e">
        <f t="shared" si="9"/>
        <v>#VALUE!</v>
      </c>
      <c r="AG20" s="256" t="e">
        <f t="shared" si="10"/>
        <v>#VALUE!</v>
      </c>
      <c r="AI20" s="279" t="e">
        <f t="shared" si="21"/>
        <v>#VALUE!</v>
      </c>
      <c r="AJ20" s="279" t="e">
        <f t="shared" si="11"/>
        <v>#VALUE!</v>
      </c>
      <c r="AK20" s="279" t="e">
        <f t="shared" si="12"/>
        <v>#VALUE!</v>
      </c>
      <c r="AL20" s="279" t="e">
        <f t="shared" si="13"/>
        <v>#VALUE!</v>
      </c>
      <c r="AM20" s="279" t="e">
        <f t="shared" si="14"/>
        <v>#VALUE!</v>
      </c>
      <c r="AN20" s="470" t="e">
        <f t="shared" si="2"/>
        <v>#VALUE!</v>
      </c>
      <c r="AO20" s="280"/>
      <c r="AP20" s="279" t="e">
        <f t="shared" si="22"/>
        <v>#VALUE!</v>
      </c>
      <c r="AQ20" s="279" t="e">
        <f t="shared" si="15"/>
        <v>#VALUE!</v>
      </c>
      <c r="AR20" s="279" t="e">
        <f t="shared" si="16"/>
        <v>#VALUE!</v>
      </c>
      <c r="AS20" s="279" t="e">
        <f t="shared" si="17"/>
        <v>#VALUE!</v>
      </c>
      <c r="AT20" s="279" t="e">
        <f t="shared" si="18"/>
        <v>#VALUE!</v>
      </c>
      <c r="AU20" s="468" t="e">
        <f t="shared" si="3"/>
        <v>#VALUE!</v>
      </c>
      <c r="AV20" s="291" t="e">
        <f t="shared" si="19"/>
        <v>#VALUE!</v>
      </c>
      <c r="AW20" s="281" t="e">
        <f t="shared" si="20"/>
        <v>#VALUE!</v>
      </c>
      <c r="AX20" s="270"/>
      <c r="AY20" s="270"/>
      <c r="AZ20" s="282">
        <f>SUM(様式１!C41:D42)</f>
        <v>0</v>
      </c>
      <c r="BA20" s="283">
        <f>SUM('様式１－１（【本園分】標準時間対応）'!J29,'様式１－２（【分園分】標準時間対応）'!J29)</f>
        <v>0</v>
      </c>
      <c r="BB20" s="284">
        <f>SUM('様式１－１（【本園分】標準時間対応）'!R29,'様式１－２（【分園分】標準時間対応）'!R29)</f>
        <v>0</v>
      </c>
      <c r="BC20" s="284">
        <f>SUM('様式１－１（【本園分】標準時間対応）'!Z29,'様式１－２（【分園分】標準時間対応）'!Z29)</f>
        <v>0</v>
      </c>
      <c r="BD20" s="284">
        <f>SUM('様式１－１（【本園分】標準時間対応）'!AH29,'様式１－２（【分園分】標準時間対応）'!AH29)</f>
        <v>0</v>
      </c>
      <c r="BE20" s="284">
        <f>SUM('様式１－１（【本園分】標準時間対応）'!AP29,'様式１－２（【分園分】標準時間対応）'!AP29)</f>
        <v>0</v>
      </c>
      <c r="BF20" s="285">
        <f>SUM('様式１－１（【本園分】標準時間対応）'!AX29,'様式１－２（【分園分】標準時間対応）'!AX29)</f>
        <v>0</v>
      </c>
      <c r="BG20" s="283">
        <f>SUM(様式１!E42,様式１!N42)-SUM('様式１－１（【本園分】標準時間対応）'!J29,'様式１－２（【分園分】標準時間対応）'!J29)</f>
        <v>0</v>
      </c>
      <c r="BH20" s="284">
        <f>SUM(様式１!F42,様式１!O42)-SUM('様式１－１（【本園分】標準時間対応）'!R29,'様式１－２（【分園分】標準時間対応）'!R29)</f>
        <v>0</v>
      </c>
      <c r="BI20" s="284">
        <f>SUM(様式１!H42,様式１!Q42)-SUM('様式１－１（【本園分】標準時間対応）'!Z29,'様式１－２（【分園分】標準時間対応）'!Z29)</f>
        <v>0</v>
      </c>
      <c r="BJ20" s="284">
        <f>SUM(様式１!J41,様式１!S41)-SUM('様式１－１（【本園分】標準時間対応）'!AH29,'様式１－２（【分園分】標準時間対応）'!AH29)</f>
        <v>0</v>
      </c>
      <c r="BK20" s="284">
        <f>SUM(様式１!K41,様式１!T41)-SUM('様式１－１（【本園分】標準時間対応）'!AP29,'様式１－２（【分園分】標準時間対応）'!AP29)</f>
        <v>0</v>
      </c>
      <c r="BL20" s="285">
        <f>SUM(様式１!L41,様式１!U41)-SUM('様式１－１（【本園分】標準時間対応）'!AX29,'様式１－２（【分園分】標準時間対応）'!AX29)</f>
        <v>0</v>
      </c>
    </row>
    <row r="21" spans="1:64" ht="18.75" customHeight="1" thickTop="1" thickBot="1">
      <c r="A21">
        <f t="shared" si="4"/>
        <v>0</v>
      </c>
      <c r="B21" s="505" t="s">
        <v>155</v>
      </c>
      <c r="C21" s="505"/>
      <c r="D21" s="298">
        <f>様式１!BK43-様式１!BV43+ROUNDDOWN(SUM('様式２（専従の常勤）'!G85:R85)/12*様式１!BW44,1)</f>
        <v>0</v>
      </c>
      <c r="E21" s="249">
        <f t="shared" si="5"/>
        <v>0</v>
      </c>
      <c r="F21" s="249">
        <f>IF(MIN(L21,D21-K21)&lt;0,0,MIN(L21,D21-K21))</f>
        <v>0</v>
      </c>
      <c r="G21" s="249">
        <f>IF(MIN(N21,D21-K21-F21)&lt;0,0,MIN(N21,D21-K21-F21))</f>
        <v>0</v>
      </c>
      <c r="H21" s="506">
        <f t="shared" si="1"/>
        <v>4</v>
      </c>
      <c r="I21" s="506"/>
      <c r="J21" s="506"/>
      <c r="K21" s="298">
        <f>様式１!AA44+様式１!AC44+様式１!AE44+様式１!AH44+様式１!AL44+様式１!AQ44</f>
        <v>2</v>
      </c>
      <c r="L21" s="512">
        <f>様式１!AS43</f>
        <v>0</v>
      </c>
      <c r="M21" s="513"/>
      <c r="N21" s="512">
        <f>様式１!AT43</f>
        <v>0</v>
      </c>
      <c r="O21" s="539"/>
      <c r="P21" s="513"/>
      <c r="Q21" s="506">
        <f>様式１!AU43</f>
        <v>0</v>
      </c>
      <c r="R21" s="506"/>
      <c r="S21" s="506"/>
      <c r="T21" s="506">
        <f>様式１!AV43+様式１!AW43</f>
        <v>0</v>
      </c>
      <c r="U21" s="506"/>
      <c r="V21" s="506"/>
      <c r="W21" s="506">
        <f>様式１!AX43</f>
        <v>0</v>
      </c>
      <c r="X21" s="506"/>
      <c r="Y21" s="506"/>
      <c r="Z21" s="506">
        <f>様式１!AY43</f>
        <v>2</v>
      </c>
      <c r="AA21" s="506"/>
      <c r="AB21" s="507"/>
      <c r="AC21" s="463">
        <f>様式１!AZ43</f>
        <v>0</v>
      </c>
      <c r="AD21" s="297">
        <f t="shared" si="7"/>
        <v>2</v>
      </c>
      <c r="AE21" s="257">
        <f t="shared" si="8"/>
        <v>2</v>
      </c>
      <c r="AF21" s="290">
        <f>MIN(F21,L21)</f>
        <v>0</v>
      </c>
      <c r="AG21" s="258">
        <f>MIN(G21,N21)</f>
        <v>0</v>
      </c>
      <c r="AI21" s="279">
        <f>E21-K21</f>
        <v>-2</v>
      </c>
      <c r="AJ21" s="279">
        <f t="shared" si="11"/>
        <v>-2</v>
      </c>
      <c r="AK21" s="279">
        <f t="shared" si="12"/>
        <v>-2</v>
      </c>
      <c r="AL21" s="279">
        <f t="shared" si="13"/>
        <v>-2</v>
      </c>
      <c r="AM21" s="279">
        <f t="shared" si="14"/>
        <v>-4</v>
      </c>
      <c r="AN21" s="470">
        <f t="shared" ref="AN21" si="23">E21-SUM(K21,Q21:AC21)</f>
        <v>-4</v>
      </c>
      <c r="AO21" s="280"/>
      <c r="AP21" s="279">
        <f t="shared" si="22"/>
        <v>2</v>
      </c>
      <c r="AQ21" s="279">
        <f t="shared" si="15"/>
        <v>2</v>
      </c>
      <c r="AR21" s="279">
        <f t="shared" si="16"/>
        <v>2</v>
      </c>
      <c r="AS21" s="279">
        <f t="shared" si="17"/>
        <v>2</v>
      </c>
      <c r="AT21" s="279">
        <f t="shared" si="18"/>
        <v>4</v>
      </c>
      <c r="AU21" s="468">
        <f t="shared" si="3"/>
        <v>4</v>
      </c>
      <c r="AV21" s="291">
        <f t="shared" si="19"/>
        <v>4</v>
      </c>
      <c r="AW21" s="286">
        <f>MIN(AP21:AV21)</f>
        <v>2</v>
      </c>
      <c r="AX21" s="270"/>
      <c r="AY21" s="270"/>
      <c r="AZ21" s="282">
        <f>SUM(様式１!C44:D45)</f>
        <v>0</v>
      </c>
      <c r="BA21" s="287">
        <f>SUM('様式１－１（【本園分】標準時間対応）'!J31,'様式１－２（【分園分】標準時間対応）'!J31)</f>
        <v>0</v>
      </c>
      <c r="BB21" s="288">
        <f>SUM('様式１－１（【本園分】標準時間対応）'!R31,'様式１－２（【分園分】標準時間対応）'!R31)</f>
        <v>0</v>
      </c>
      <c r="BC21" s="288">
        <f>SUM('様式１－１（【本園分】標準時間対応）'!Z31,'様式１－２（【分園分】標準時間対応）'!Z31)</f>
        <v>0</v>
      </c>
      <c r="BD21" s="288">
        <f>SUM('様式１－１（【本園分】標準時間対応）'!AH31,'様式１－２（【分園分】標準時間対応）'!AH31)</f>
        <v>0</v>
      </c>
      <c r="BE21" s="288">
        <f>SUM('様式１－１（【本園分】標準時間対応）'!AP31,'様式１－２（【分園分】標準時間対応）'!AP31)</f>
        <v>0</v>
      </c>
      <c r="BF21" s="289">
        <f>SUM('様式１－１（【本園分】標準時間対応）'!AX31,'様式１－２（【分園分】標準時間対応）'!AX31)</f>
        <v>0</v>
      </c>
      <c r="BG21" s="287">
        <f>SUM(様式１!E45,様式１!N45)-SUM('様式１－１（【本園分】標準時間対応）'!J31,'様式１－２（【分園分】標準時間対応）'!J31)</f>
        <v>0</v>
      </c>
      <c r="BH21" s="288">
        <f>SUM(様式１!F45,様式１!O45)-SUM('様式１－１（【本園分】標準時間対応）'!R31,'様式１－２（【分園分】標準時間対応）'!R31)</f>
        <v>0</v>
      </c>
      <c r="BI21" s="288">
        <f>SUM(様式１!H45,様式１!Q45)-SUM('様式１－１（【本園分】標準時間対応）'!Z31,'様式１－２（【分園分】標準時間対応）'!Z31)</f>
        <v>0</v>
      </c>
      <c r="BJ21" s="288">
        <f>SUM(様式１!J44,様式１!S44)-SUM('様式１－１（【本園分】標準時間対応）'!AH31,'様式１－２（【分園分】標準時間対応）'!AH31)</f>
        <v>0</v>
      </c>
      <c r="BK21" s="288">
        <f>SUM(様式１!K44,様式１!T44)-SUM('様式１－１（【本園分】標準時間対応）'!AP31,'様式１－２（【分園分】標準時間対応）'!AP31)</f>
        <v>0</v>
      </c>
      <c r="BL21" s="289">
        <f>SUM(様式１!L44,様式１!U44)-SUM('様式１－１（【本園分】標準時間対応）'!AX31,'様式１－２（【分園分】標準時間対応）'!AX31)</f>
        <v>0</v>
      </c>
    </row>
    <row r="22" spans="1:64" ht="12" customHeight="1">
      <c r="B22" s="188"/>
      <c r="C22" s="188"/>
      <c r="D22" s="189"/>
      <c r="E22" s="189"/>
      <c r="F22" s="189"/>
      <c r="G22" s="189"/>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row>
    <row r="23" spans="1:64" ht="20.25" customHeight="1">
      <c r="B23" s="267" t="s">
        <v>392</v>
      </c>
      <c r="C23" s="268"/>
      <c r="D23" s="269"/>
      <c r="E23" s="269"/>
      <c r="F23" s="269"/>
      <c r="G23" s="269"/>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190"/>
      <c r="AF23" s="190"/>
      <c r="AG23" s="190"/>
    </row>
    <row r="24" spans="1:64" ht="20.100000000000001" customHeight="1">
      <c r="B24" s="478" t="s">
        <v>393</v>
      </c>
      <c r="C24" s="478"/>
      <c r="D24" s="478"/>
      <c r="E24" s="478"/>
      <c r="F24" s="478"/>
      <c r="G24" s="478"/>
      <c r="H24" s="478"/>
      <c r="I24" s="478"/>
      <c r="J24" s="478"/>
      <c r="K24" s="478"/>
      <c r="L24" s="478"/>
      <c r="M24" s="478"/>
      <c r="N24" s="478"/>
      <c r="O24" s="478"/>
      <c r="P24" s="478"/>
      <c r="Q24" s="478"/>
      <c r="R24" s="478"/>
      <c r="S24" s="478"/>
      <c r="T24" s="478"/>
      <c r="U24" s="478"/>
      <c r="V24" s="478"/>
      <c r="W24" s="478"/>
      <c r="X24" s="478"/>
      <c r="Y24" s="478"/>
      <c r="Z24" s="478"/>
      <c r="AA24" s="478"/>
      <c r="AB24" s="478"/>
      <c r="AC24" s="478"/>
      <c r="AD24" s="478"/>
      <c r="AE24" s="242"/>
      <c r="AF24" s="242"/>
      <c r="AG24" s="242"/>
    </row>
    <row r="25" spans="1:64" ht="20.100000000000001" customHeight="1">
      <c r="B25" s="478"/>
      <c r="C25" s="478"/>
      <c r="D25" s="478"/>
      <c r="E25" s="478"/>
      <c r="F25" s="478"/>
      <c r="G25" s="478"/>
      <c r="H25" s="478"/>
      <c r="I25" s="478"/>
      <c r="J25" s="478"/>
      <c r="K25" s="478"/>
      <c r="L25" s="478"/>
      <c r="M25" s="478"/>
      <c r="N25" s="478"/>
      <c r="O25" s="478"/>
      <c r="P25" s="478"/>
      <c r="Q25" s="478"/>
      <c r="R25" s="478"/>
      <c r="S25" s="478"/>
      <c r="T25" s="478"/>
      <c r="U25" s="478"/>
      <c r="V25" s="478"/>
      <c r="W25" s="478"/>
      <c r="X25" s="478"/>
      <c r="Y25" s="478"/>
      <c r="Z25" s="478"/>
      <c r="AA25" s="478"/>
      <c r="AB25" s="478"/>
      <c r="AC25" s="478"/>
      <c r="AD25" s="478"/>
      <c r="AE25" s="242"/>
      <c r="AF25" s="242"/>
      <c r="AG25" s="242"/>
    </row>
    <row r="29" spans="1:64">
      <c r="AH29" t="s">
        <v>166</v>
      </c>
      <c r="AI29" t="s">
        <v>167</v>
      </c>
    </row>
    <row r="30" spans="1:64">
      <c r="AH30" t="s">
        <v>168</v>
      </c>
      <c r="AI30" t="s">
        <v>169</v>
      </c>
    </row>
    <row r="31" spans="1:64">
      <c r="AH31" t="s">
        <v>170</v>
      </c>
      <c r="AI31" t="s">
        <v>171</v>
      </c>
    </row>
  </sheetData>
  <sheetProtection algorithmName="SHA-512" hashValue="+r9asSWYhkl+o+717KJ0n5YaLH6RzkDBZsM9w0I/7RAGcxYE5agqfPjzf1AI4Qc8iBx0KSax4Y5iFyYmV6oOCA==" saltValue="kzJ5Sf608tlPX7UusBbzDQ==" spinCount="100000" sheet="1" objects="1" scenarios="1"/>
  <mergeCells count="137">
    <mergeCell ref="N17:P17"/>
    <mergeCell ref="N18:P18"/>
    <mergeCell ref="N19:P19"/>
    <mergeCell ref="N20:P20"/>
    <mergeCell ref="N21:P21"/>
    <mergeCell ref="L7:P7"/>
    <mergeCell ref="L9:M9"/>
    <mergeCell ref="L8:M8"/>
    <mergeCell ref="L10:M10"/>
    <mergeCell ref="L11:M11"/>
    <mergeCell ref="L12:M12"/>
    <mergeCell ref="L13:M13"/>
    <mergeCell ref="N9:P9"/>
    <mergeCell ref="N8:P8"/>
    <mergeCell ref="L16:M16"/>
    <mergeCell ref="N10:P10"/>
    <mergeCell ref="N11:P11"/>
    <mergeCell ref="N12:P12"/>
    <mergeCell ref="N13:P13"/>
    <mergeCell ref="N14:P14"/>
    <mergeCell ref="N15:P15"/>
    <mergeCell ref="L14:M14"/>
    <mergeCell ref="L15:M15"/>
    <mergeCell ref="Z16:AB16"/>
    <mergeCell ref="T15:V15"/>
    <mergeCell ref="W15:Y15"/>
    <mergeCell ref="Z9:AB9"/>
    <mergeCell ref="AF6:AG6"/>
    <mergeCell ref="AF7:AG7"/>
    <mergeCell ref="AD6:AD8"/>
    <mergeCell ref="AZ7:BL7"/>
    <mergeCell ref="Q7:S8"/>
    <mergeCell ref="T7:V8"/>
    <mergeCell ref="W7:Y8"/>
    <mergeCell ref="Z7:AB8"/>
    <mergeCell ref="AE7:AE8"/>
    <mergeCell ref="AZ6:BL6"/>
    <mergeCell ref="AH6:AH7"/>
    <mergeCell ref="Q14:S14"/>
    <mergeCell ref="Q12:S12"/>
    <mergeCell ref="AI6:AW6"/>
    <mergeCell ref="AP7:AW7"/>
    <mergeCell ref="T9:V9"/>
    <mergeCell ref="Z13:AB13"/>
    <mergeCell ref="T12:V12"/>
    <mergeCell ref="W12:Y12"/>
    <mergeCell ref="T11:V11"/>
    <mergeCell ref="B21:C21"/>
    <mergeCell ref="H21:J21"/>
    <mergeCell ref="Q21:S21"/>
    <mergeCell ref="Q19:S19"/>
    <mergeCell ref="T19:V19"/>
    <mergeCell ref="W19:Y19"/>
    <mergeCell ref="Z19:AB19"/>
    <mergeCell ref="T21:V21"/>
    <mergeCell ref="W21:Y21"/>
    <mergeCell ref="Z21:AB21"/>
    <mergeCell ref="B20:C20"/>
    <mergeCell ref="H20:J20"/>
    <mergeCell ref="Q20:S20"/>
    <mergeCell ref="T20:V20"/>
    <mergeCell ref="Z20:AB20"/>
    <mergeCell ref="B19:C19"/>
    <mergeCell ref="H19:J19"/>
    <mergeCell ref="L20:M20"/>
    <mergeCell ref="L21:M21"/>
    <mergeCell ref="L19:M19"/>
    <mergeCell ref="Z15:AB15"/>
    <mergeCell ref="T14:V14"/>
    <mergeCell ref="W14:Y14"/>
    <mergeCell ref="Z14:AB14"/>
    <mergeCell ref="Q16:S16"/>
    <mergeCell ref="T18:V18"/>
    <mergeCell ref="W18:Y18"/>
    <mergeCell ref="Z18:AB18"/>
    <mergeCell ref="B17:C17"/>
    <mergeCell ref="H17:J17"/>
    <mergeCell ref="B16:C16"/>
    <mergeCell ref="H16:J16"/>
    <mergeCell ref="Q17:S17"/>
    <mergeCell ref="T17:V17"/>
    <mergeCell ref="W17:Y17"/>
    <mergeCell ref="Z17:AB17"/>
    <mergeCell ref="L17:M17"/>
    <mergeCell ref="B18:C18"/>
    <mergeCell ref="H18:J18"/>
    <mergeCell ref="Q18:S18"/>
    <mergeCell ref="L18:M18"/>
    <mergeCell ref="N16:P16"/>
    <mergeCell ref="T16:V16"/>
    <mergeCell ref="W16:Y16"/>
    <mergeCell ref="Z11:AB11"/>
    <mergeCell ref="T10:V10"/>
    <mergeCell ref="W10:Y10"/>
    <mergeCell ref="Z10:AB10"/>
    <mergeCell ref="B13:C13"/>
    <mergeCell ref="H13:J13"/>
    <mergeCell ref="B12:C12"/>
    <mergeCell ref="H12:J12"/>
    <mergeCell ref="Q13:S13"/>
    <mergeCell ref="T13:V13"/>
    <mergeCell ref="W13:Y13"/>
    <mergeCell ref="Z12:AB12"/>
    <mergeCell ref="H6:J8"/>
    <mergeCell ref="D6:D8"/>
    <mergeCell ref="B15:C15"/>
    <mergeCell ref="H15:J15"/>
    <mergeCell ref="B14:C14"/>
    <mergeCell ref="H14:J14"/>
    <mergeCell ref="Q15:S15"/>
    <mergeCell ref="Q11:S11"/>
    <mergeCell ref="W11:Y11"/>
    <mergeCell ref="K7:K8"/>
    <mergeCell ref="AC7:AC8"/>
    <mergeCell ref="AI7:AN7"/>
    <mergeCell ref="AD3:AE3"/>
    <mergeCell ref="AD4:AE4"/>
    <mergeCell ref="B2:AG2"/>
    <mergeCell ref="B24:AD25"/>
    <mergeCell ref="Z6:AB6"/>
    <mergeCell ref="B10:C10"/>
    <mergeCell ref="H10:J10"/>
    <mergeCell ref="Q10:S10"/>
    <mergeCell ref="Q6:S6"/>
    <mergeCell ref="T6:V6"/>
    <mergeCell ref="W6:Y6"/>
    <mergeCell ref="B9:C9"/>
    <mergeCell ref="H9:J9"/>
    <mergeCell ref="Q9:S9"/>
    <mergeCell ref="W20:Y20"/>
    <mergeCell ref="B11:C11"/>
    <mergeCell ref="H11:J11"/>
    <mergeCell ref="W9:Y9"/>
    <mergeCell ref="B6:C8"/>
    <mergeCell ref="F6:G6"/>
    <mergeCell ref="E7:E8"/>
    <mergeCell ref="F7:G7"/>
  </mergeCells>
  <phoneticPr fontId="2"/>
  <conditionalFormatting sqref="Q21:S21">
    <cfRule type="expression" dxfId="35" priority="37">
      <formula>$Q$26&lt;=#REF!</formula>
    </cfRule>
  </conditionalFormatting>
  <conditionalFormatting sqref="T21:V21">
    <cfRule type="expression" dxfId="34" priority="36">
      <formula>$T$26&lt;=#REF!</formula>
    </cfRule>
  </conditionalFormatting>
  <conditionalFormatting sqref="W21:Y21">
    <cfRule type="expression" dxfId="33" priority="35">
      <formula>$W$26&lt;=#REF!</formula>
    </cfRule>
  </conditionalFormatting>
  <conditionalFormatting sqref="Z21:AC21">
    <cfRule type="expression" dxfId="32" priority="34">
      <formula>$Z$26&lt;=#REF!</formula>
    </cfRule>
  </conditionalFormatting>
  <conditionalFormatting sqref="L9:L21">
    <cfRule type="expression" dxfId="31" priority="33">
      <formula>$N$26&lt;=#REF!</formula>
    </cfRule>
  </conditionalFormatting>
  <conditionalFormatting sqref="Q9:S19">
    <cfRule type="expression" dxfId="30" priority="32">
      <formula>$Q$26&lt;=#REF!</formula>
    </cfRule>
  </conditionalFormatting>
  <conditionalFormatting sqref="T9:V19">
    <cfRule type="expression" dxfId="29" priority="31">
      <formula>$T$26&lt;=#REF!</formula>
    </cfRule>
  </conditionalFormatting>
  <conditionalFormatting sqref="W9:Y19">
    <cfRule type="expression" dxfId="28" priority="30">
      <formula>$W$26&lt;=#REF!</formula>
    </cfRule>
  </conditionalFormatting>
  <conditionalFormatting sqref="Z9:AC19">
    <cfRule type="expression" dxfId="27" priority="29">
      <formula>$Z$26&lt;=#REF!</formula>
    </cfRule>
  </conditionalFormatting>
  <conditionalFormatting sqref="Q20:S20">
    <cfRule type="expression" dxfId="26" priority="27">
      <formula>$Q$26&lt;=#REF!</formula>
    </cfRule>
  </conditionalFormatting>
  <conditionalFormatting sqref="T20:V20">
    <cfRule type="expression" dxfId="25" priority="26">
      <formula>$T$26&lt;=#REF!</formula>
    </cfRule>
  </conditionalFormatting>
  <conditionalFormatting sqref="W20:Y20">
    <cfRule type="expression" dxfId="24" priority="25">
      <formula>$W$26&lt;=#REF!</formula>
    </cfRule>
  </conditionalFormatting>
  <conditionalFormatting sqref="Z20:AC20">
    <cfRule type="expression" dxfId="23" priority="24">
      <formula>$Z$26&lt;=#REF!</formula>
    </cfRule>
  </conditionalFormatting>
  <conditionalFormatting sqref="D21">
    <cfRule type="expression" dxfId="22" priority="23">
      <formula>$N$26&lt;=#REF!</formula>
    </cfRule>
  </conditionalFormatting>
  <conditionalFormatting sqref="D9:D19">
    <cfRule type="expression" dxfId="21" priority="22">
      <formula>$N$26&lt;=#REF!</formula>
    </cfRule>
  </conditionalFormatting>
  <conditionalFormatting sqref="D20">
    <cfRule type="expression" dxfId="20" priority="21">
      <formula>$N$26&lt;=#REF!</formula>
    </cfRule>
  </conditionalFormatting>
  <conditionalFormatting sqref="H9:J21">
    <cfRule type="expression" dxfId="19" priority="14">
      <formula>$Q$26&lt;=#REF!</formula>
    </cfRule>
  </conditionalFormatting>
  <conditionalFormatting sqref="K21">
    <cfRule type="expression" dxfId="18" priority="12">
      <formula>$N$26&lt;=#REF!</formula>
    </cfRule>
  </conditionalFormatting>
  <conditionalFormatting sqref="K9:K19">
    <cfRule type="expression" dxfId="17" priority="11">
      <formula>$N$26&lt;=#REF!</formula>
    </cfRule>
  </conditionalFormatting>
  <conditionalFormatting sqref="K20">
    <cfRule type="expression" dxfId="16" priority="10">
      <formula>$N$26&lt;=#REF!</formula>
    </cfRule>
  </conditionalFormatting>
  <conditionalFormatting sqref="E21:G21">
    <cfRule type="expression" dxfId="15" priority="9">
      <formula>$Q$26&lt;=#REF!</formula>
    </cfRule>
  </conditionalFormatting>
  <conditionalFormatting sqref="E9:G19">
    <cfRule type="expression" dxfId="14" priority="8">
      <formula>$Q$26&lt;=#REF!</formula>
    </cfRule>
  </conditionalFormatting>
  <conditionalFormatting sqref="E20:G20">
    <cfRule type="expression" dxfId="13" priority="7">
      <formula>$Q$26&lt;=#REF!</formula>
    </cfRule>
  </conditionalFormatting>
  <conditionalFormatting sqref="N9:N21">
    <cfRule type="expression" dxfId="12" priority="3">
      <formula>$N$26&lt;=#REF!</formula>
    </cfRule>
  </conditionalFormatting>
  <conditionalFormatting sqref="AD9:AD21">
    <cfRule type="expression" dxfId="11" priority="2">
      <formula>$Z$26&lt;=#REF!</formula>
    </cfRule>
  </conditionalFormatting>
  <pageMargins left="0.7" right="0.7" top="0.75" bottom="0.75" header="0.3" footer="0.3"/>
  <pageSetup paperSize="9" scale="73"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CB71"/>
  <sheetViews>
    <sheetView tabSelected="1" view="pageBreakPreview" zoomScale="60" zoomScaleNormal="100" workbookViewId="0">
      <selection activeCell="C1" sqref="C1"/>
    </sheetView>
  </sheetViews>
  <sheetFormatPr defaultRowHeight="13.5"/>
  <cols>
    <col min="1" max="21" width="7.875" style="1" customWidth="1"/>
    <col min="22" max="22" width="9" style="1" customWidth="1"/>
    <col min="23" max="36" width="7.875" style="1" customWidth="1"/>
    <col min="37" max="37" width="9" style="1" customWidth="1"/>
    <col min="38" max="53" width="7.875" style="1" customWidth="1"/>
    <col min="54" max="54" width="0.875" style="1" customWidth="1"/>
    <col min="55" max="55" width="8.25" style="1" hidden="1" customWidth="1"/>
    <col min="56" max="56" width="1" style="1" customWidth="1"/>
    <col min="57" max="57" width="7.875" style="1" customWidth="1"/>
    <col min="58" max="58" width="8.25" style="1" customWidth="1"/>
    <col min="59" max="59" width="8.25" style="74" customWidth="1"/>
    <col min="60" max="60" width="6.375" style="74" customWidth="1"/>
    <col min="61" max="61" width="8.375" style="74" customWidth="1"/>
    <col min="62" max="62" width="6.375" style="74" customWidth="1"/>
    <col min="63" max="63" width="8.625" style="1" customWidth="1"/>
    <col min="64" max="64" width="8.5" style="1" bestFit="1" customWidth="1"/>
    <col min="65" max="65" width="7.75" style="1" customWidth="1"/>
    <col min="66" max="66" width="3" style="1" customWidth="1"/>
    <col min="67" max="67" width="9" style="1"/>
    <col min="68" max="68" width="9.5" style="1" bestFit="1" customWidth="1"/>
    <col min="69" max="16384" width="9" style="1"/>
  </cols>
  <sheetData>
    <row r="1" spans="1:80" ht="43.5" customHeight="1" thickBot="1">
      <c r="A1" s="838" t="s">
        <v>119</v>
      </c>
      <c r="B1" s="838"/>
      <c r="C1" s="141"/>
    </row>
    <row r="2" spans="1:80" ht="43.5" customHeight="1" thickBot="1">
      <c r="A2" s="726" t="s">
        <v>80</v>
      </c>
      <c r="B2" s="726"/>
      <c r="C2" s="729"/>
      <c r="D2" s="729"/>
      <c r="E2" s="729"/>
      <c r="F2" s="729"/>
      <c r="G2" s="729"/>
      <c r="H2" s="729"/>
      <c r="I2" s="729"/>
      <c r="J2" s="729"/>
      <c r="K2" s="729"/>
      <c r="L2" s="58"/>
      <c r="M2" s="58"/>
      <c r="N2" s="58"/>
      <c r="O2" s="58"/>
      <c r="P2" s="58"/>
      <c r="Q2" s="58"/>
      <c r="R2" s="58"/>
      <c r="S2" s="58"/>
      <c r="T2" s="58"/>
      <c r="U2" s="58"/>
      <c r="V2" s="58"/>
      <c r="W2" s="58"/>
      <c r="X2" s="140"/>
      <c r="Y2" s="140"/>
      <c r="Z2" s="140"/>
      <c r="AA2" s="140"/>
      <c r="AB2" s="59"/>
      <c r="AC2" s="57"/>
      <c r="AD2" s="57"/>
      <c r="AE2" s="57"/>
      <c r="AF2" s="57"/>
      <c r="AG2" s="57"/>
      <c r="AH2" s="57"/>
      <c r="AI2" s="57"/>
      <c r="AJ2" s="57"/>
      <c r="AK2" s="343"/>
      <c r="AL2" s="57"/>
      <c r="AM2" s="57"/>
      <c r="AN2" s="57"/>
      <c r="AO2" s="57"/>
      <c r="AP2" s="57"/>
      <c r="AQ2" s="57"/>
      <c r="AR2" s="57"/>
      <c r="AS2" s="241"/>
      <c r="AT2" s="57"/>
      <c r="AU2" s="57"/>
      <c r="AV2" s="57"/>
      <c r="AW2" s="57"/>
      <c r="AX2" s="57"/>
      <c r="AY2" s="57"/>
      <c r="AZ2" s="432"/>
      <c r="BA2" s="57"/>
      <c r="BB2" s="57"/>
      <c r="BC2" s="57"/>
      <c r="BD2" s="57"/>
      <c r="BE2" s="59"/>
      <c r="BF2" s="59"/>
      <c r="BG2" s="60"/>
      <c r="BH2" s="60"/>
      <c r="BI2" s="60"/>
      <c r="BJ2" s="60"/>
      <c r="BK2" s="59"/>
      <c r="BL2" s="61" t="s">
        <v>66</v>
      </c>
    </row>
    <row r="3" spans="1:80" ht="46.5" customHeight="1" thickTop="1" thickBot="1">
      <c r="A3" s="730" t="s">
        <v>1</v>
      </c>
      <c r="B3" s="855" t="s">
        <v>185</v>
      </c>
      <c r="C3" s="856"/>
      <c r="D3" s="856"/>
      <c r="E3" s="856"/>
      <c r="F3" s="856"/>
      <c r="G3" s="856"/>
      <c r="H3" s="856"/>
      <c r="I3" s="856"/>
      <c r="J3" s="856"/>
      <c r="K3" s="856"/>
      <c r="L3" s="856"/>
      <c r="M3" s="856"/>
      <c r="N3" s="856"/>
      <c r="O3" s="856"/>
      <c r="P3" s="856"/>
      <c r="Q3" s="856"/>
      <c r="R3" s="856"/>
      <c r="S3" s="856"/>
      <c r="T3" s="856"/>
      <c r="U3" s="856"/>
      <c r="V3" s="856"/>
      <c r="W3" s="856"/>
      <c r="X3" s="856"/>
      <c r="Y3" s="856"/>
      <c r="Z3" s="857"/>
      <c r="AA3" s="849" t="s">
        <v>178</v>
      </c>
      <c r="AB3" s="850"/>
      <c r="AC3" s="721" t="s">
        <v>43</v>
      </c>
      <c r="AD3" s="789"/>
      <c r="AE3" s="846" t="s">
        <v>83</v>
      </c>
      <c r="AF3" s="750"/>
      <c r="AG3" s="757" t="s">
        <v>286</v>
      </c>
      <c r="AH3" s="758"/>
      <c r="AI3" s="758"/>
      <c r="AJ3" s="775" t="s">
        <v>285</v>
      </c>
      <c r="AK3" s="782" t="s">
        <v>284</v>
      </c>
      <c r="AL3" s="768" t="s">
        <v>124</v>
      </c>
      <c r="AM3" s="769"/>
      <c r="AN3" s="769"/>
      <c r="AO3" s="769"/>
      <c r="AP3" s="769"/>
      <c r="AQ3" s="770"/>
      <c r="AR3" s="778" t="s">
        <v>287</v>
      </c>
      <c r="AS3" s="796" t="s">
        <v>229</v>
      </c>
      <c r="AT3" s="797"/>
      <c r="AU3" s="797"/>
      <c r="AV3" s="797"/>
      <c r="AW3" s="797"/>
      <c r="AX3" s="797"/>
      <c r="AY3" s="797"/>
      <c r="AZ3" s="798"/>
      <c r="BA3" s="782" t="s">
        <v>382</v>
      </c>
      <c r="BB3" s="149"/>
      <c r="BD3" s="427"/>
      <c r="BE3" s="763" t="s">
        <v>84</v>
      </c>
      <c r="BF3" s="763"/>
      <c r="BG3" s="763"/>
      <c r="BH3" s="763"/>
      <c r="BI3" s="763"/>
      <c r="BJ3" s="763"/>
      <c r="BK3" s="764"/>
      <c r="BL3" s="867" t="s">
        <v>44</v>
      </c>
      <c r="BM3" s="868"/>
      <c r="BO3" s="229" t="s">
        <v>156</v>
      </c>
    </row>
    <row r="4" spans="1:80" ht="14.25" customHeight="1" thickTop="1" thickBot="1">
      <c r="A4" s="730"/>
      <c r="B4" s="736" t="s">
        <v>79</v>
      </c>
      <c r="C4" s="733" t="s">
        <v>176</v>
      </c>
      <c r="D4" s="733" t="s">
        <v>177</v>
      </c>
      <c r="E4" s="739" t="s">
        <v>20</v>
      </c>
      <c r="F4" s="721" t="s">
        <v>92</v>
      </c>
      <c r="G4" s="62"/>
      <c r="H4" s="723" t="s">
        <v>17</v>
      </c>
      <c r="I4" s="723" t="s">
        <v>74</v>
      </c>
      <c r="J4" s="723" t="s">
        <v>0</v>
      </c>
      <c r="K4" s="739" t="s">
        <v>18</v>
      </c>
      <c r="L4" s="723" t="s">
        <v>19</v>
      </c>
      <c r="M4" s="831" t="s">
        <v>67</v>
      </c>
      <c r="N4" s="858" t="s">
        <v>20</v>
      </c>
      <c r="O4" s="721" t="s">
        <v>92</v>
      </c>
      <c r="P4" s="62"/>
      <c r="Q4" s="723" t="s">
        <v>17</v>
      </c>
      <c r="R4" s="723" t="s">
        <v>74</v>
      </c>
      <c r="S4" s="723" t="s">
        <v>0</v>
      </c>
      <c r="T4" s="739" t="s">
        <v>18</v>
      </c>
      <c r="U4" s="723" t="s">
        <v>19</v>
      </c>
      <c r="V4" s="842" t="s">
        <v>67</v>
      </c>
      <c r="W4" s="741" t="s">
        <v>117</v>
      </c>
      <c r="X4" s="742"/>
      <c r="Y4" s="741" t="s">
        <v>118</v>
      </c>
      <c r="Z4" s="742"/>
      <c r="AA4" s="851"/>
      <c r="AB4" s="852"/>
      <c r="AC4" s="790"/>
      <c r="AD4" s="792"/>
      <c r="AE4" s="847"/>
      <c r="AF4" s="773"/>
      <c r="AG4" s="759"/>
      <c r="AH4" s="760"/>
      <c r="AI4" s="760"/>
      <c r="AJ4" s="776"/>
      <c r="AK4" s="783"/>
      <c r="AL4" s="771" t="s">
        <v>82</v>
      </c>
      <c r="AM4" s="750"/>
      <c r="AN4" s="723" t="s">
        <v>114</v>
      </c>
      <c r="AO4" s="721" t="s">
        <v>89</v>
      </c>
      <c r="AP4" s="788"/>
      <c r="AQ4" s="789"/>
      <c r="AR4" s="779"/>
      <c r="AS4" s="672" t="s">
        <v>189</v>
      </c>
      <c r="AT4" s="673"/>
      <c r="AU4" s="765" t="s">
        <v>91</v>
      </c>
      <c r="AV4" s="663" t="s">
        <v>174</v>
      </c>
      <c r="AW4" s="663" t="s">
        <v>173</v>
      </c>
      <c r="AX4" s="663" t="s">
        <v>288</v>
      </c>
      <c r="AY4" s="663" t="s">
        <v>125</v>
      </c>
      <c r="AZ4" s="799" t="s">
        <v>381</v>
      </c>
      <c r="BA4" s="783"/>
      <c r="BB4" s="184"/>
      <c r="BD4" s="427"/>
      <c r="BE4" s="749" t="s">
        <v>81</v>
      </c>
      <c r="BF4" s="749"/>
      <c r="BG4" s="750"/>
      <c r="BH4" s="749" t="s">
        <v>86</v>
      </c>
      <c r="BI4" s="749"/>
      <c r="BJ4" s="749"/>
      <c r="BK4" s="754" t="s">
        <v>96</v>
      </c>
      <c r="BL4" s="366" t="s">
        <v>186</v>
      </c>
      <c r="BM4" s="869" t="s">
        <v>289</v>
      </c>
      <c r="BO4" s="743" t="s">
        <v>16</v>
      </c>
      <c r="BP4" s="367"/>
    </row>
    <row r="5" spans="1:80" ht="60.75" customHeight="1" thickTop="1">
      <c r="A5" s="731"/>
      <c r="B5" s="737"/>
      <c r="C5" s="734"/>
      <c r="D5" s="734"/>
      <c r="E5" s="740"/>
      <c r="F5" s="722"/>
      <c r="G5" s="145" t="s">
        <v>122</v>
      </c>
      <c r="H5" s="722"/>
      <c r="I5" s="722"/>
      <c r="J5" s="722"/>
      <c r="K5" s="740"/>
      <c r="L5" s="722"/>
      <c r="M5" s="832"/>
      <c r="N5" s="859"/>
      <c r="O5" s="722"/>
      <c r="P5" s="145" t="s">
        <v>122</v>
      </c>
      <c r="Q5" s="722"/>
      <c r="R5" s="722"/>
      <c r="S5" s="722"/>
      <c r="T5" s="740"/>
      <c r="U5" s="722"/>
      <c r="V5" s="843"/>
      <c r="W5" s="742"/>
      <c r="X5" s="742"/>
      <c r="Y5" s="742"/>
      <c r="Z5" s="742"/>
      <c r="AA5" s="851"/>
      <c r="AB5" s="852"/>
      <c r="AC5" s="790"/>
      <c r="AD5" s="792"/>
      <c r="AE5" s="848"/>
      <c r="AF5" s="752"/>
      <c r="AG5" s="759"/>
      <c r="AH5" s="760"/>
      <c r="AI5" s="760"/>
      <c r="AJ5" s="777"/>
      <c r="AK5" s="783"/>
      <c r="AL5" s="772"/>
      <c r="AM5" s="773"/>
      <c r="AN5" s="748"/>
      <c r="AO5" s="790"/>
      <c r="AP5" s="791"/>
      <c r="AQ5" s="792"/>
      <c r="AR5" s="780"/>
      <c r="AS5" s="674"/>
      <c r="AT5" s="675"/>
      <c r="AU5" s="766"/>
      <c r="AV5" s="664"/>
      <c r="AW5" s="664"/>
      <c r="AX5" s="664"/>
      <c r="AY5" s="664"/>
      <c r="AZ5" s="800"/>
      <c r="BA5" s="783"/>
      <c r="BB5" s="184"/>
      <c r="BD5" s="428"/>
      <c r="BE5" s="751"/>
      <c r="BF5" s="751"/>
      <c r="BG5" s="752"/>
      <c r="BH5" s="753"/>
      <c r="BI5" s="753"/>
      <c r="BJ5" s="753"/>
      <c r="BK5" s="755"/>
      <c r="BL5" s="865" t="s">
        <v>290</v>
      </c>
      <c r="BM5" s="865"/>
      <c r="BO5" s="743"/>
      <c r="BP5" s="579" t="s">
        <v>383</v>
      </c>
      <c r="BT5"/>
      <c r="BU5" s="191" t="s">
        <v>180</v>
      </c>
      <c r="BY5"/>
      <c r="BZ5" s="191" t="s">
        <v>181</v>
      </c>
      <c r="CA5"/>
      <c r="CB5"/>
    </row>
    <row r="6" spans="1:80" ht="73.5" customHeight="1">
      <c r="A6" s="732"/>
      <c r="B6" s="738"/>
      <c r="C6" s="735"/>
      <c r="D6" s="735"/>
      <c r="E6" s="727" t="s">
        <v>115</v>
      </c>
      <c r="F6" s="728"/>
      <c r="G6" s="728"/>
      <c r="H6" s="728"/>
      <c r="I6" s="728"/>
      <c r="J6" s="728"/>
      <c r="K6" s="728"/>
      <c r="L6" s="728"/>
      <c r="M6" s="833"/>
      <c r="N6" s="845" t="s">
        <v>116</v>
      </c>
      <c r="O6" s="728"/>
      <c r="P6" s="728"/>
      <c r="Q6" s="728"/>
      <c r="R6" s="728"/>
      <c r="S6" s="728"/>
      <c r="T6" s="728"/>
      <c r="U6" s="728"/>
      <c r="V6" s="844"/>
      <c r="W6" s="742"/>
      <c r="X6" s="742"/>
      <c r="Y6" s="742"/>
      <c r="Z6" s="742"/>
      <c r="AA6" s="853"/>
      <c r="AB6" s="854"/>
      <c r="AC6" s="793"/>
      <c r="AD6" s="795"/>
      <c r="AE6" s="368" t="s">
        <v>291</v>
      </c>
      <c r="AF6" s="369" t="s">
        <v>294</v>
      </c>
      <c r="AG6" s="761"/>
      <c r="AH6" s="762"/>
      <c r="AI6" s="762"/>
      <c r="AJ6" s="777"/>
      <c r="AK6" s="784"/>
      <c r="AL6" s="774"/>
      <c r="AM6" s="752"/>
      <c r="AN6" s="722"/>
      <c r="AO6" s="793"/>
      <c r="AP6" s="794"/>
      <c r="AQ6" s="795"/>
      <c r="AR6" s="780"/>
      <c r="AS6" s="250" t="s">
        <v>187</v>
      </c>
      <c r="AT6" s="250" t="s">
        <v>188</v>
      </c>
      <c r="AU6" s="767"/>
      <c r="AV6" s="665"/>
      <c r="AW6" s="665"/>
      <c r="AX6" s="665"/>
      <c r="AY6" s="665"/>
      <c r="AZ6" s="801"/>
      <c r="BA6" s="784"/>
      <c r="BB6" s="184"/>
      <c r="BD6" s="428"/>
      <c r="BE6" s="63" t="s">
        <v>230</v>
      </c>
      <c r="BF6" s="64" t="s">
        <v>231</v>
      </c>
      <c r="BG6" s="306" t="s">
        <v>232</v>
      </c>
      <c r="BH6" s="65" t="s">
        <v>87</v>
      </c>
      <c r="BI6" s="65" t="s">
        <v>85</v>
      </c>
      <c r="BJ6" s="66" t="s">
        <v>88</v>
      </c>
      <c r="BK6" s="756"/>
      <c r="BL6" s="866"/>
      <c r="BM6" s="866"/>
      <c r="BO6" s="744"/>
      <c r="BP6" s="580"/>
      <c r="BT6"/>
      <c r="BU6" s="147" t="s">
        <v>172</v>
      </c>
      <c r="BV6" s="230" t="s">
        <v>226</v>
      </c>
      <c r="BW6" s="147" t="s">
        <v>144</v>
      </c>
      <c r="BY6"/>
      <c r="BZ6" s="199" t="s">
        <v>172</v>
      </c>
      <c r="CA6" s="230" t="s">
        <v>182</v>
      </c>
      <c r="CB6" s="199" t="s">
        <v>144</v>
      </c>
    </row>
    <row r="7" spans="1:80" ht="27" customHeight="1">
      <c r="A7" s="717" t="s">
        <v>336</v>
      </c>
      <c r="B7" s="67" t="s">
        <v>71</v>
      </c>
      <c r="C7" s="235"/>
      <c r="D7" s="236"/>
      <c r="E7" s="68"/>
      <c r="F7" s="69"/>
      <c r="G7" s="69"/>
      <c r="H7" s="69"/>
      <c r="I7" s="54"/>
      <c r="J7" s="204"/>
      <c r="K7" s="54"/>
      <c r="L7" s="54"/>
      <c r="M7" s="310"/>
      <c r="N7" s="68"/>
      <c r="O7" s="69"/>
      <c r="P7" s="69"/>
      <c r="Q7" s="69"/>
      <c r="R7" s="54"/>
      <c r="S7" s="204"/>
      <c r="T7" s="54"/>
      <c r="U7" s="54"/>
      <c r="V7" s="313"/>
      <c r="W7" s="55">
        <f>SUM(I7:L7)</f>
        <v>0</v>
      </c>
      <c r="X7" s="636">
        <f>SUM(W7:W9)</f>
        <v>0</v>
      </c>
      <c r="Y7" s="55">
        <f>SUM(R7:U7)</f>
        <v>0</v>
      </c>
      <c r="Z7" s="636">
        <f>SUM(Y7:Y9)</f>
        <v>0</v>
      </c>
      <c r="AA7" s="192"/>
      <c r="AB7" s="697">
        <f>AA8</f>
        <v>2</v>
      </c>
      <c r="AC7" s="359"/>
      <c r="AD7" s="697">
        <f>IF('様式１－１（【本園分】標準時間対応）'!BC7&gt;0,1,0)+IF('様式１－２（【分園分】標準時間対応）'!BC7&gt;0,1,0)</f>
        <v>0</v>
      </c>
      <c r="AE7" s="357">
        <f>IF($W7&gt;0,1,0)+IF($Y7&gt;0,1,0)</f>
        <v>0</v>
      </c>
      <c r="AF7" s="839">
        <f>VLOOKUP($A7,加算等適用状況!$A$14:$O$25,13,FALSE)</f>
        <v>0</v>
      </c>
      <c r="AG7" s="650" t="str">
        <f>VLOOKUP($A7,加算等適用状況!$A$14:$O$25,15,FALSE)</f>
        <v>入力未了</v>
      </c>
      <c r="AH7" s="373">
        <f>参考_歳児別配置基準!Q4</f>
        <v>0</v>
      </c>
      <c r="AI7" s="652" t="str">
        <f>IF(AG7="入力完了",参考_歳児別配置基準!H4,AG7)</f>
        <v>入力未了</v>
      </c>
      <c r="AJ7" s="546" t="e">
        <f>AB7+AD7+AE7+AE8+AI7-AF7</f>
        <v>#VALUE!</v>
      </c>
      <c r="AK7" s="701" t="str">
        <f>IF(AG7="入力完了",参考_歳児別配置基準!U4+AB7+AD7+AE7+AE8-AF7,AG7)</f>
        <v>入力未了</v>
      </c>
      <c r="AL7" s="361">
        <f>IFERROR(ROUND(((W7+Y7)/(W7+Y7+W8+Y8))*AM7,1),0)</f>
        <v>0</v>
      </c>
      <c r="AM7" s="711">
        <f>IF(VLOOKUP($A7,加算等適用状況!$A$14:$O$25,4,FALSE)="○",VLOOKUP($A7,加算等適用状況!$A$14:$O$25,5,FALSE),0)</f>
        <v>0</v>
      </c>
      <c r="AN7" s="692">
        <f>IF(VLOOKUP($A7,加算等適用状況!$A$14:$O$25,11,FALSE)="○",1,0)</f>
        <v>0</v>
      </c>
      <c r="AO7" s="745">
        <f>VLOOKUP($A7,加算等適用状況!$A$14:$O$25,12,FALSE)</f>
        <v>0</v>
      </c>
      <c r="AP7" s="682">
        <f>IF(AO7="専任",0,1)</f>
        <v>1</v>
      </c>
      <c r="AQ7" s="231">
        <f>IFERROR(AP7*(ROUND((W7+Y7)/(Z7+X7),1)),0)</f>
        <v>0</v>
      </c>
      <c r="AR7" s="546" t="e">
        <f>AJ7+AM7+AN7+AP7</f>
        <v>#VALUE!</v>
      </c>
      <c r="AS7" s="669"/>
      <c r="AT7" s="669"/>
      <c r="AU7" s="625">
        <f>(ROUNDDOWN(($F9-$G9)/5,1)+ROUNDDOWN($G9/4.6,1))-ROUNDDOWN($F9/5,1)+(ROUNDDOWN(($O9-$P9)/5,1)+ROUNDDOWN($P9/4.6,1))-ROUNDDOWN($O9/5,1)</f>
        <v>0</v>
      </c>
      <c r="AV7" s="625">
        <f>SUM('様式１－１（【本園分】標準時間対応）'!BA7:BA8)</f>
        <v>0</v>
      </c>
      <c r="AW7" s="625">
        <f>SUM('様式１－２（【分園分】標準時間対応）'!BA7:BA8)</f>
        <v>0</v>
      </c>
      <c r="AX7" s="666">
        <f>2-AB7</f>
        <v>0</v>
      </c>
      <c r="AY7" s="622">
        <f>IF(OR(AND('様式１－１（【本園分】標準時間対応）'!J7&gt;0, '様式１－１（【本園分】標準時間対応）'!R7&gt;0), '様式１－１（【本園分】標準時間対応）'!BC7&gt;=ROUND((C8+C9)*0.3,0)),1,0) + IF(OR(AND('様式１－２（【分園分】標準時間対応）'!J7&gt;0, '様式１－２（【分園分】標準時間対応）'!R7&gt;0), '様式１－２（【分園分】標準時間対応）'!BC7&gt;=ROUND((D8+D9)*0.3,0)),1,0)</f>
        <v>2</v>
      </c>
      <c r="AZ7" s="802">
        <f>(ROUNDDOWN(J8/10,1)-ROUNDDOWN(J8/15,1))+(ROUNDDOWN(S8/10,1)-ROUNDDOWN(S8/15,1))</f>
        <v>0</v>
      </c>
      <c r="BA7" s="785" t="e">
        <f>SUM(AR7:AZ9)</f>
        <v>#VALUE!</v>
      </c>
      <c r="BB7" s="185"/>
      <c r="BD7" s="555"/>
      <c r="BE7" s="549">
        <f>'様式２（専従の常勤）'!G58</f>
        <v>0</v>
      </c>
      <c r="BF7" s="679">
        <f>COUNTIFS('様式３（非専従の常勤＋非常勤）'!$N$8:$N$37,"&gt;=1")+'様式２（専従の常勤）'!G70</f>
        <v>0</v>
      </c>
      <c r="BG7" s="562">
        <f>'様式３（非専従の常勤＋非常勤）'!$O$41</f>
        <v>0</v>
      </c>
      <c r="BH7" s="559"/>
      <c r="BI7" s="552">
        <f>COUNTIFS('様式３（非専従の常勤＋非常勤）'!$N$50:$N$54,"&gt;=1")</f>
        <v>0</v>
      </c>
      <c r="BJ7" s="556">
        <f>ROUNDDOWN('様式３（非専従の常勤＋非常勤）'!$N$57,1)</f>
        <v>0</v>
      </c>
      <c r="BK7" s="546">
        <f>BE7+BG7+IF((BH7+BJ7)&gt;=AM7,AM7,(BH7+BJ7))</f>
        <v>0</v>
      </c>
      <c r="BL7" s="546" t="e">
        <f>BK7-AR7</f>
        <v>#VALUE!</v>
      </c>
      <c r="BM7" s="546" t="e">
        <f>BK7-(AK7+AM7+AN7+AP7)</f>
        <v>#VALUE!</v>
      </c>
      <c r="BO7" s="543"/>
      <c r="BP7" s="568" t="str">
        <f>IF(BO7&gt;=0.2,BK7-AR7-BO7,"")</f>
        <v/>
      </c>
      <c r="BT7" s="615" t="s">
        <v>11</v>
      </c>
      <c r="BU7" s="293" t="s">
        <v>71</v>
      </c>
      <c r="BV7" s="294">
        <f>AA7+AC7+AE7+AH7+AL7+AN7+AQ7</f>
        <v>0</v>
      </c>
      <c r="BW7" s="295" t="e">
        <f>ROUND(BV7/(BV7+BV8),2)</f>
        <v>#VALUE!</v>
      </c>
      <c r="BY7" s="615" t="s">
        <v>11</v>
      </c>
      <c r="BZ7" s="293" t="s">
        <v>71</v>
      </c>
      <c r="CA7" s="296">
        <f>AE7+AH7</f>
        <v>0</v>
      </c>
      <c r="CB7" s="295" t="e">
        <f>ROUND(CA7/(CA7+CA8),2)</f>
        <v>#VALUE!</v>
      </c>
    </row>
    <row r="8" spans="1:80" ht="27" customHeight="1">
      <c r="A8" s="718"/>
      <c r="B8" s="67" t="s">
        <v>72</v>
      </c>
      <c r="C8" s="235"/>
      <c r="D8" s="236"/>
      <c r="E8" s="68"/>
      <c r="F8" s="69"/>
      <c r="G8" s="69"/>
      <c r="H8" s="69"/>
      <c r="I8" s="69"/>
      <c r="J8" s="54"/>
      <c r="K8" s="54"/>
      <c r="L8" s="54"/>
      <c r="M8" s="310"/>
      <c r="N8" s="68"/>
      <c r="O8" s="69"/>
      <c r="P8" s="69"/>
      <c r="Q8" s="69"/>
      <c r="R8" s="69"/>
      <c r="S8" s="54"/>
      <c r="T8" s="54"/>
      <c r="U8" s="54"/>
      <c r="V8" s="313"/>
      <c r="W8" s="55">
        <f>SUM(J8:L8)</f>
        <v>0</v>
      </c>
      <c r="X8" s="637"/>
      <c r="Y8" s="55">
        <f>SUM(S8:U8)</f>
        <v>0</v>
      </c>
      <c r="Z8" s="637"/>
      <c r="AA8" s="724">
        <f>IF(C8+C9&lt;=90,1,0)+IF(D8+D9&lt;=90,1,0)</f>
        <v>2</v>
      </c>
      <c r="AB8" s="698"/>
      <c r="AC8" s="834">
        <f>AD7</f>
        <v>0</v>
      </c>
      <c r="AD8" s="698"/>
      <c r="AE8" s="648">
        <f>IF($W8+$W9&gt;0,1,0)+IF($Y8+$Y9&gt;0,1,0)</f>
        <v>0</v>
      </c>
      <c r="AF8" s="840"/>
      <c r="AG8" s="651"/>
      <c r="AH8" s="657" t="e">
        <f>AI7-AH7</f>
        <v>#VALUE!</v>
      </c>
      <c r="AI8" s="653"/>
      <c r="AJ8" s="547"/>
      <c r="AK8" s="702"/>
      <c r="AL8" s="358">
        <f>AM7-AL7</f>
        <v>0</v>
      </c>
      <c r="AM8" s="712"/>
      <c r="AN8" s="693"/>
      <c r="AO8" s="746"/>
      <c r="AP8" s="683"/>
      <c r="AQ8" s="685">
        <f>IFERROR(AP7*(ROUND((W8+W9+Y8+Y9)/(Z7+X7),1)),0)</f>
        <v>0</v>
      </c>
      <c r="AR8" s="547"/>
      <c r="AS8" s="670"/>
      <c r="AT8" s="670"/>
      <c r="AU8" s="626"/>
      <c r="AV8" s="626"/>
      <c r="AW8" s="626"/>
      <c r="AX8" s="667"/>
      <c r="AY8" s="623"/>
      <c r="AZ8" s="803"/>
      <c r="BA8" s="786"/>
      <c r="BB8" s="185"/>
      <c r="BD8" s="555"/>
      <c r="BE8" s="550"/>
      <c r="BF8" s="680" t="e">
        <v>#VALUE!</v>
      </c>
      <c r="BG8" s="563"/>
      <c r="BH8" s="560"/>
      <c r="BI8" s="553" t="e">
        <v>#VALUE!</v>
      </c>
      <c r="BJ8" s="557"/>
      <c r="BK8" s="547"/>
      <c r="BL8" s="547"/>
      <c r="BM8" s="547"/>
      <c r="BN8"/>
      <c r="BO8" s="544"/>
      <c r="BP8" s="566"/>
      <c r="BQ8">
        <v>0</v>
      </c>
      <c r="BR8">
        <v>1</v>
      </c>
      <c r="BT8" s="616"/>
      <c r="BU8" s="612" t="s">
        <v>123</v>
      </c>
      <c r="BV8" s="860" t="e">
        <f>AA8+AC8+AE8+AH8+AL8+AQ8+AU7+AV7+AW7+AY7+AX7+AZ7</f>
        <v>#VALUE!</v>
      </c>
      <c r="BW8" s="614" t="e">
        <f>1-BW7</f>
        <v>#VALUE!</v>
      </c>
      <c r="BY8" s="616"/>
      <c r="BZ8" s="612" t="s">
        <v>123</v>
      </c>
      <c r="CA8" s="613" t="e">
        <f>AA8+AC8+AH8+AE8</f>
        <v>#VALUE!</v>
      </c>
      <c r="CB8" s="614" t="e">
        <f>ROUND(CA8/(CA7+CA8),2)</f>
        <v>#VALUE!</v>
      </c>
    </row>
    <row r="9" spans="1:80" ht="27" customHeight="1">
      <c r="A9" s="719"/>
      <c r="B9" s="67" t="s">
        <v>73</v>
      </c>
      <c r="C9" s="235"/>
      <c r="D9" s="236"/>
      <c r="E9" s="54"/>
      <c r="F9" s="54"/>
      <c r="G9" s="204"/>
      <c r="H9" s="54"/>
      <c r="I9" s="69"/>
      <c r="J9" s="69"/>
      <c r="K9" s="69"/>
      <c r="L9" s="69"/>
      <c r="M9" s="310"/>
      <c r="N9" s="54"/>
      <c r="O9" s="54"/>
      <c r="P9" s="204"/>
      <c r="Q9" s="54"/>
      <c r="R9" s="69"/>
      <c r="S9" s="69"/>
      <c r="T9" s="69"/>
      <c r="U9" s="69"/>
      <c r="V9" s="314"/>
      <c r="W9" s="55">
        <f>SUM(E9:F9,H9)</f>
        <v>0</v>
      </c>
      <c r="X9" s="716"/>
      <c r="Y9" s="55">
        <f>SUM(N9:O9,Q9)</f>
        <v>0</v>
      </c>
      <c r="Z9" s="716"/>
      <c r="AA9" s="725"/>
      <c r="AB9" s="699"/>
      <c r="AC9" s="835"/>
      <c r="AD9" s="699"/>
      <c r="AE9" s="649"/>
      <c r="AF9" s="841"/>
      <c r="AG9" s="687"/>
      <c r="AH9" s="658"/>
      <c r="AI9" s="656"/>
      <c r="AJ9" s="548"/>
      <c r="AK9" s="703"/>
      <c r="AL9" s="362"/>
      <c r="AM9" s="713"/>
      <c r="AN9" s="694"/>
      <c r="AO9" s="747"/>
      <c r="AP9" s="684"/>
      <c r="AQ9" s="686"/>
      <c r="AR9" s="548"/>
      <c r="AS9" s="671"/>
      <c r="AT9" s="671"/>
      <c r="AU9" s="627"/>
      <c r="AV9" s="627"/>
      <c r="AW9" s="627"/>
      <c r="AX9" s="668"/>
      <c r="AY9" s="624"/>
      <c r="AZ9" s="804"/>
      <c r="BA9" s="787"/>
      <c r="BB9" s="185"/>
      <c r="BD9" s="555"/>
      <c r="BE9" s="551"/>
      <c r="BF9" s="681" t="e">
        <v>#VALUE!</v>
      </c>
      <c r="BG9" s="564"/>
      <c r="BH9" s="561"/>
      <c r="BI9" s="554" t="e">
        <v>#VALUE!</v>
      </c>
      <c r="BJ9" s="558"/>
      <c r="BK9" s="548"/>
      <c r="BL9" s="548"/>
      <c r="BM9" s="548"/>
      <c r="BO9" s="545"/>
      <c r="BP9" s="567"/>
      <c r="BT9" s="617"/>
      <c r="BU9" s="612"/>
      <c r="BV9" s="861"/>
      <c r="BW9" s="614"/>
      <c r="BY9" s="617"/>
      <c r="BZ9" s="612"/>
      <c r="CA9" s="613"/>
      <c r="CB9" s="614"/>
    </row>
    <row r="10" spans="1:80" ht="27" customHeight="1">
      <c r="A10" s="717" t="s">
        <v>337</v>
      </c>
      <c r="B10" s="70" t="s">
        <v>71</v>
      </c>
      <c r="C10" s="237">
        <f>$C7</f>
        <v>0</v>
      </c>
      <c r="D10" s="237">
        <f t="shared" ref="D10:D42" si="0">$D7</f>
        <v>0</v>
      </c>
      <c r="E10" s="69"/>
      <c r="F10" s="69"/>
      <c r="G10" s="69"/>
      <c r="H10" s="69"/>
      <c r="I10" s="54"/>
      <c r="J10" s="204"/>
      <c r="K10" s="54"/>
      <c r="L10" s="54"/>
      <c r="M10" s="310"/>
      <c r="N10" s="69"/>
      <c r="O10" s="69"/>
      <c r="P10" s="69"/>
      <c r="Q10" s="69"/>
      <c r="R10" s="54"/>
      <c r="S10" s="204"/>
      <c r="T10" s="54"/>
      <c r="U10" s="54"/>
      <c r="V10" s="313"/>
      <c r="W10" s="55">
        <f>SUM(I10:L10)</f>
        <v>0</v>
      </c>
      <c r="X10" s="633">
        <f>SUM(W10:W12)</f>
        <v>0</v>
      </c>
      <c r="Y10" s="55">
        <f>SUM(R10:U10)</f>
        <v>0</v>
      </c>
      <c r="Z10" s="636">
        <f>SUM(Y10:Y12)</f>
        <v>0</v>
      </c>
      <c r="AA10" s="192"/>
      <c r="AB10" s="697">
        <f t="shared" ref="AB10" si="1">AA11</f>
        <v>2</v>
      </c>
      <c r="AC10" s="359"/>
      <c r="AD10" s="697">
        <f>IF('様式１－１（【本園分】標準時間対応）'!BC9&gt;0,1,0)+IF('様式１－２（【分園分】標準時間対応）'!BC9&gt;0,1,0)</f>
        <v>0</v>
      </c>
      <c r="AE10" s="357">
        <f>IF($W10&gt;0,1,0)+IF($Y10&gt;0,1,0)</f>
        <v>0</v>
      </c>
      <c r="AF10" s="659" t="str">
        <f>VLOOKUP($A10,加算等適用状況!$A$14:$O$25,13,FALSE)</f>
        <v/>
      </c>
      <c r="AG10" s="650" t="str">
        <f>VLOOKUP($A10,加算等適用状況!$A$14:$O$25,15,FALSE)</f>
        <v>入力未了</v>
      </c>
      <c r="AH10" s="373">
        <f>参考_歳児別配置基準!Q14</f>
        <v>0</v>
      </c>
      <c r="AI10" s="652" t="str">
        <f>IF(AG10="入力完了",参考_歳児別配置基準!H14,AG10)</f>
        <v>入力未了</v>
      </c>
      <c r="AJ10" s="546" t="e">
        <f t="shared" ref="AJ10" si="2">AB10+AD10+AE10+AE11+AI10-AF10</f>
        <v>#VALUE!</v>
      </c>
      <c r="AK10" s="701" t="str">
        <f>IF(AG10="入力完了",参考_歳児別配置基準!U14+AB10+AD10+AE10+AE11-AF10,AG10)</f>
        <v>入力未了</v>
      </c>
      <c r="AL10" s="363">
        <f>IFERROR(ROUND(((W10+Y10)/(W10+Y10+W11+Y11))*AM10,1),0)</f>
        <v>0</v>
      </c>
      <c r="AM10" s="711">
        <f>IF(VLOOKUP($A10,加算等適用状況!$A$14:$O$25,4,FALSE)="○",VLOOKUP($A10,加算等適用状況!$A$14:$O$25,5,FALSE),0)</f>
        <v>0</v>
      </c>
      <c r="AN10" s="692">
        <f>IF(VLOOKUP($A10,加算等適用状況!$A$14:$O$25,11,FALSE)="○",1,0)</f>
        <v>0</v>
      </c>
      <c r="AO10" s="688" t="str">
        <f>VLOOKUP($A10,加算等適用状況!$A$14:$O$25,12,FALSE)</f>
        <v/>
      </c>
      <c r="AP10" s="682">
        <f>IF(AO10="専任",0,1)</f>
        <v>1</v>
      </c>
      <c r="AQ10" s="231">
        <f>IFERROR(AP10*(ROUND((W10+Y10)/(Z10+X10),1)),0)</f>
        <v>0</v>
      </c>
      <c r="AR10" s="546" t="e">
        <f t="shared" ref="AR10" si="3">AJ10+AM10+AN10+AP10</f>
        <v>#VALUE!</v>
      </c>
      <c r="AS10" s="669"/>
      <c r="AT10" s="669"/>
      <c r="AU10" s="625">
        <f>$AU$7</f>
        <v>0</v>
      </c>
      <c r="AV10" s="625">
        <f>SUM('様式１－１（【本園分】標準時間対応）'!BA9:BA10)</f>
        <v>0</v>
      </c>
      <c r="AW10" s="625">
        <f>SUM('様式１－２（【分園分】標準時間対応）'!BA9:BA10)</f>
        <v>0</v>
      </c>
      <c r="AX10" s="628">
        <f>2-AB10</f>
        <v>0</v>
      </c>
      <c r="AY10" s="622">
        <f>IF(OR(AND('様式１－１（【本園分】標準時間対応）'!J9&gt;0, '様式１－１（【本園分】標準時間対応）'!R9&gt;0), '様式１－１（【本園分】標準時間対応）'!BC9&gt;=ROUND((C11+C12)*0.3,0)),1,0) + IF(OR(AND('様式１－２（【分園分】標準時間対応）'!J9&gt;0, '様式１－２（【分園分】標準時間対応）'!R9&gt;0), '様式１－２（【分園分】標準時間対応）'!BC9&gt;=ROUND((D11+D12)*0.3,0)),1,0)</f>
        <v>2</v>
      </c>
      <c r="AZ10" s="802">
        <f t="shared" ref="AZ10" si="4">(ROUNDDOWN(J11/10,1)-ROUNDDOWN(J11/15,1))+(ROUNDDOWN(S11/10,1)-ROUNDDOWN(S11/15,1))</f>
        <v>0</v>
      </c>
      <c r="BA10" s="785" t="e">
        <f>SUM(AR10:AZ12)</f>
        <v>#VALUE!</v>
      </c>
      <c r="BB10" s="185"/>
      <c r="BD10" s="555"/>
      <c r="BE10" s="549">
        <f>'様式２（専従の常勤）'!H58</f>
        <v>0</v>
      </c>
      <c r="BF10" s="679">
        <f>COUNTIFS('様式３（非専従の常勤＋非常勤）'!$P$8:$P$37,"&gt;=1")+'様式２（専従の常勤）'!H70</f>
        <v>0</v>
      </c>
      <c r="BG10" s="562">
        <f>'様式３（非専従の常勤＋非常勤）'!$Q$41</f>
        <v>0</v>
      </c>
      <c r="BH10" s="559"/>
      <c r="BI10" s="552">
        <f>COUNTIFS('様式３（非専従の常勤＋非常勤）'!$P$50:$P$54,"&gt;=1")</f>
        <v>0</v>
      </c>
      <c r="BJ10" s="556">
        <f>ROUNDDOWN('様式３（非専従の常勤＋非常勤）'!$P$57,1)</f>
        <v>0</v>
      </c>
      <c r="BK10" s="546">
        <f>BE10+BG10+IF((BH10+BJ10)&gt;=AM10,AM10,(BH10+BJ10))</f>
        <v>0</v>
      </c>
      <c r="BL10" s="546" t="e">
        <f>BK10-AR10</f>
        <v>#VALUE!</v>
      </c>
      <c r="BM10" s="546" t="e">
        <f>BK10-(AK10+AM10+AN10+AP10)</f>
        <v>#VALUE!</v>
      </c>
      <c r="BO10" s="543"/>
      <c r="BP10" s="568" t="str">
        <f>IF(BO10&gt;=0.2,BK10-AR10-BO10,"")</f>
        <v/>
      </c>
      <c r="BT10" s="615" t="s">
        <v>2</v>
      </c>
      <c r="BU10" s="293" t="s">
        <v>71</v>
      </c>
      <c r="BV10" s="294">
        <f>AA10+AC10+AE10+AH10+AL10+AN10+AQ10</f>
        <v>0</v>
      </c>
      <c r="BW10" s="295" t="e">
        <f>ROUND(BV10/(BV10+BV11),2)</f>
        <v>#VALUE!</v>
      </c>
      <c r="BY10" s="615" t="s">
        <v>2</v>
      </c>
      <c r="BZ10" s="293" t="s">
        <v>71</v>
      </c>
      <c r="CA10" s="296">
        <f>AE10+AH10</f>
        <v>0</v>
      </c>
      <c r="CB10" s="295" t="e">
        <f t="shared" ref="CB10" si="5">ROUND(CA10/(CA10+CA11),2)</f>
        <v>#VALUE!</v>
      </c>
    </row>
    <row r="11" spans="1:80" ht="27" customHeight="1">
      <c r="A11" s="718"/>
      <c r="B11" s="70" t="s">
        <v>72</v>
      </c>
      <c r="C11" s="238">
        <f t="shared" ref="C11:C42" si="6">$C8</f>
        <v>0</v>
      </c>
      <c r="D11" s="238">
        <f t="shared" si="0"/>
        <v>0</v>
      </c>
      <c r="E11" s="69"/>
      <c r="F11" s="69"/>
      <c r="G11" s="69"/>
      <c r="H11" s="69"/>
      <c r="I11" s="69"/>
      <c r="J11" s="54"/>
      <c r="K11" s="54"/>
      <c r="L11" s="54"/>
      <c r="M11" s="310"/>
      <c r="N11" s="69"/>
      <c r="O11" s="69"/>
      <c r="P11" s="69"/>
      <c r="Q11" s="69"/>
      <c r="R11" s="69"/>
      <c r="S11" s="54"/>
      <c r="T11" s="54"/>
      <c r="U11" s="54"/>
      <c r="V11" s="313"/>
      <c r="W11" s="55">
        <f>SUM(J11:L11)</f>
        <v>0</v>
      </c>
      <c r="X11" s="634"/>
      <c r="Y11" s="55">
        <f>SUM(S11:U11)</f>
        <v>0</v>
      </c>
      <c r="Z11" s="637"/>
      <c r="AA11" s="724">
        <f>IF(C11+C12&lt;=90,1,0)+IF(D11+D12&lt;=90,1,0)</f>
        <v>2</v>
      </c>
      <c r="AB11" s="698"/>
      <c r="AC11" s="695">
        <f>AD10</f>
        <v>0</v>
      </c>
      <c r="AD11" s="698"/>
      <c r="AE11" s="648">
        <f>IF($W11+$W12&gt;0,1,0)+IF($Y11+$Y12&gt;0,1,0)</f>
        <v>0</v>
      </c>
      <c r="AF11" s="660"/>
      <c r="AG11" s="651"/>
      <c r="AH11" s="657" t="e">
        <f>AI10-AH10</f>
        <v>#VALUE!</v>
      </c>
      <c r="AI11" s="653"/>
      <c r="AJ11" s="547"/>
      <c r="AK11" s="702"/>
      <c r="AL11" s="358">
        <f>AM10-AL10</f>
        <v>0</v>
      </c>
      <c r="AM11" s="712"/>
      <c r="AN11" s="693"/>
      <c r="AO11" s="689"/>
      <c r="AP11" s="683"/>
      <c r="AQ11" s="685">
        <f>IFERROR(AP10*(ROUND((W11+W12+Y11+Y12)/(Z10+X10),1)),0)</f>
        <v>0</v>
      </c>
      <c r="AR11" s="547"/>
      <c r="AS11" s="670"/>
      <c r="AT11" s="670"/>
      <c r="AU11" s="626"/>
      <c r="AV11" s="626"/>
      <c r="AW11" s="626"/>
      <c r="AX11" s="629"/>
      <c r="AY11" s="623"/>
      <c r="AZ11" s="803"/>
      <c r="BA11" s="786"/>
      <c r="BB11" s="185"/>
      <c r="BD11" s="555"/>
      <c r="BE11" s="550"/>
      <c r="BF11" s="680" t="e">
        <v>#VALUE!</v>
      </c>
      <c r="BG11" s="563"/>
      <c r="BH11" s="560"/>
      <c r="BI11" s="553" t="e">
        <v>#VALUE!</v>
      </c>
      <c r="BJ11" s="557"/>
      <c r="BK11" s="547"/>
      <c r="BL11" s="547"/>
      <c r="BM11" s="547"/>
      <c r="BO11" s="544"/>
      <c r="BP11" s="566"/>
      <c r="BT11" s="616"/>
      <c r="BU11" s="612" t="s">
        <v>123</v>
      </c>
      <c r="BV11" s="860" t="e">
        <f>AA11+AC11+AE11+AH11+AL11+AQ11+AU10+AV10+AW10+AY10+AX10+AZ10</f>
        <v>#VALUE!</v>
      </c>
      <c r="BW11" s="614" t="e">
        <f>1-BW10</f>
        <v>#VALUE!</v>
      </c>
      <c r="BY11" s="616"/>
      <c r="BZ11" s="612" t="s">
        <v>123</v>
      </c>
      <c r="CA11" s="613" t="e">
        <f>AA11+AC11+AH11+AE11</f>
        <v>#VALUE!</v>
      </c>
      <c r="CB11" s="614" t="e">
        <f t="shared" ref="CB11" si="7">ROUND(CA11/(CA10+CA11),2)</f>
        <v>#VALUE!</v>
      </c>
    </row>
    <row r="12" spans="1:80" ht="27" customHeight="1">
      <c r="A12" s="719"/>
      <c r="B12" s="70" t="s">
        <v>73</v>
      </c>
      <c r="C12" s="238">
        <f t="shared" si="6"/>
        <v>0</v>
      </c>
      <c r="D12" s="238">
        <f t="shared" si="0"/>
        <v>0</v>
      </c>
      <c r="E12" s="54"/>
      <c r="F12" s="54"/>
      <c r="G12" s="71"/>
      <c r="H12" s="54"/>
      <c r="I12" s="69"/>
      <c r="J12" s="69"/>
      <c r="K12" s="69"/>
      <c r="L12" s="69"/>
      <c r="M12" s="310"/>
      <c r="N12" s="54"/>
      <c r="O12" s="54"/>
      <c r="P12" s="71"/>
      <c r="Q12" s="54"/>
      <c r="R12" s="69"/>
      <c r="S12" s="69"/>
      <c r="T12" s="69"/>
      <c r="U12" s="69"/>
      <c r="V12" s="313"/>
      <c r="W12" s="55">
        <f>SUM(E12:F12,H12)</f>
        <v>0</v>
      </c>
      <c r="X12" s="720"/>
      <c r="Y12" s="55">
        <f>SUM(N12:O12,Q12)</f>
        <v>0</v>
      </c>
      <c r="Z12" s="716"/>
      <c r="AA12" s="725"/>
      <c r="AB12" s="699"/>
      <c r="AC12" s="696"/>
      <c r="AD12" s="699"/>
      <c r="AE12" s="649"/>
      <c r="AF12" s="662"/>
      <c r="AG12" s="687"/>
      <c r="AH12" s="658"/>
      <c r="AI12" s="656"/>
      <c r="AJ12" s="548"/>
      <c r="AK12" s="703"/>
      <c r="AL12" s="364"/>
      <c r="AM12" s="713"/>
      <c r="AN12" s="694"/>
      <c r="AO12" s="781"/>
      <c r="AP12" s="684"/>
      <c r="AQ12" s="686"/>
      <c r="AR12" s="548"/>
      <c r="AS12" s="671"/>
      <c r="AT12" s="671"/>
      <c r="AU12" s="627"/>
      <c r="AV12" s="627"/>
      <c r="AW12" s="627"/>
      <c r="AX12" s="630"/>
      <c r="AY12" s="624"/>
      <c r="AZ12" s="804"/>
      <c r="BA12" s="787"/>
      <c r="BB12" s="185"/>
      <c r="BD12" s="555"/>
      <c r="BE12" s="551"/>
      <c r="BF12" s="681" t="e">
        <v>#VALUE!</v>
      </c>
      <c r="BG12" s="564"/>
      <c r="BH12" s="561"/>
      <c r="BI12" s="554" t="e">
        <v>#VALUE!</v>
      </c>
      <c r="BJ12" s="558"/>
      <c r="BK12" s="548"/>
      <c r="BL12" s="548"/>
      <c r="BM12" s="548"/>
      <c r="BO12" s="545"/>
      <c r="BP12" s="567"/>
      <c r="BT12" s="617"/>
      <c r="BU12" s="612"/>
      <c r="BV12" s="861"/>
      <c r="BW12" s="614"/>
      <c r="BY12" s="617"/>
      <c r="BZ12" s="612"/>
      <c r="CA12" s="613"/>
      <c r="CB12" s="614"/>
    </row>
    <row r="13" spans="1:80" ht="27" customHeight="1">
      <c r="A13" s="717" t="s">
        <v>338</v>
      </c>
      <c r="B13" s="70" t="s">
        <v>71</v>
      </c>
      <c r="C13" s="237">
        <f t="shared" si="6"/>
        <v>0</v>
      </c>
      <c r="D13" s="237">
        <f t="shared" si="0"/>
        <v>0</v>
      </c>
      <c r="E13" s="69"/>
      <c r="F13" s="69"/>
      <c r="G13" s="69"/>
      <c r="H13" s="69"/>
      <c r="I13" s="54"/>
      <c r="J13" s="204"/>
      <c r="K13" s="54"/>
      <c r="L13" s="54"/>
      <c r="M13" s="310"/>
      <c r="N13" s="69"/>
      <c r="O13" s="69"/>
      <c r="P13" s="69"/>
      <c r="Q13" s="69"/>
      <c r="R13" s="54"/>
      <c r="S13" s="204"/>
      <c r="T13" s="54"/>
      <c r="U13" s="54"/>
      <c r="V13" s="313"/>
      <c r="W13" s="55">
        <f>SUM(I13:L13)</f>
        <v>0</v>
      </c>
      <c r="X13" s="633">
        <f>SUM(W13:W15)</f>
        <v>0</v>
      </c>
      <c r="Y13" s="55">
        <f>SUM(R13:U13)</f>
        <v>0</v>
      </c>
      <c r="Z13" s="636">
        <f>SUM(Y13:Y15)</f>
        <v>0</v>
      </c>
      <c r="AA13" s="192"/>
      <c r="AB13" s="697">
        <f t="shared" ref="AB13" si="8">AA14</f>
        <v>2</v>
      </c>
      <c r="AC13" s="359"/>
      <c r="AD13" s="697">
        <f>IF('様式１－１（【本園分】標準時間対応）'!BC11&gt;0,1,0)+IF('様式１－２（【分園分】標準時間対応）'!BC11&gt;0,1,0)</f>
        <v>0</v>
      </c>
      <c r="AE13" s="357">
        <f>IF($W13&gt;0,1,0)+IF($Y13&gt;0,1,0)</f>
        <v>0</v>
      </c>
      <c r="AF13" s="659" t="str">
        <f>VLOOKUP($A13,加算等適用状況!$A$14:$O$25,13,FALSE)</f>
        <v/>
      </c>
      <c r="AG13" s="650" t="str">
        <f>VLOOKUP($A13,加算等適用状況!$A$14:$O$25,15,FALSE)</f>
        <v>入力未了</v>
      </c>
      <c r="AH13" s="373">
        <f>参考_歳児別配置基準!Q24</f>
        <v>0</v>
      </c>
      <c r="AI13" s="652" t="str">
        <f>IF(AG13="入力完了",参考_歳児別配置基準!H24,AG13)</f>
        <v>入力未了</v>
      </c>
      <c r="AJ13" s="546" t="e">
        <f t="shared" ref="AJ13" si="9">AB13+AD13+AE13+AE14+AI13-AF13</f>
        <v>#VALUE!</v>
      </c>
      <c r="AK13" s="701" t="str">
        <f>IF(AG13="入力完了",参考_歳児別配置基準!U24+AB13+AD13+AE13+AE14-AF13,AG13)</f>
        <v>入力未了</v>
      </c>
      <c r="AL13" s="363">
        <f>IFERROR(ROUND(((W13+Y13)/(W13+Y13+W14+Y14))*AM13,1),0)</f>
        <v>0</v>
      </c>
      <c r="AM13" s="711">
        <f>IF(VLOOKUP($A13,加算等適用状況!$A$14:$O$25,4,FALSE)="○",VLOOKUP($A13,加算等適用状況!$A$14:$O$25,5,FALSE),0)</f>
        <v>0</v>
      </c>
      <c r="AN13" s="692">
        <f>IF(VLOOKUP($A13,加算等適用状況!$A$14:$O$25,11,FALSE)="○",1,0)</f>
        <v>0</v>
      </c>
      <c r="AO13" s="688" t="str">
        <f>VLOOKUP($A13,加算等適用状況!$A$14:$O$25,12,FALSE)</f>
        <v/>
      </c>
      <c r="AP13" s="682">
        <f>IF(AO13="専任",0,1)</f>
        <v>1</v>
      </c>
      <c r="AQ13" s="231">
        <f>IFERROR(AP13*(ROUND((W13+Y13)/(Z13+X13),1)),0)</f>
        <v>0</v>
      </c>
      <c r="AR13" s="546" t="e">
        <f t="shared" ref="AR13" si="10">AJ13+AM13+AN13+AP13</f>
        <v>#VALUE!</v>
      </c>
      <c r="AS13" s="669"/>
      <c r="AT13" s="669"/>
      <c r="AU13" s="625">
        <f>$AU$7</f>
        <v>0</v>
      </c>
      <c r="AV13" s="625">
        <f>SUM('様式１－１（【本園分】標準時間対応）'!BA11:BA12)</f>
        <v>0</v>
      </c>
      <c r="AW13" s="625">
        <f>SUM('様式１－２（【分園分】標準時間対応）'!BA11:BA12)</f>
        <v>0</v>
      </c>
      <c r="AX13" s="628">
        <f>2-AB13</f>
        <v>0</v>
      </c>
      <c r="AY13" s="622">
        <f>IF(OR(AND('様式１－１（【本園分】標準時間対応）'!J11&gt;0, '様式１－１（【本園分】標準時間対応）'!R11&gt;0), '様式１－１（【本園分】標準時間対応）'!BC11&gt;=ROUND((C14+C15)*0.3,0)),1,0) + IF(OR(AND('様式１－２（【分園分】標準時間対応）'!J11&gt;0, '様式１－２（【分園分】標準時間対応）'!R11&gt;0), '様式１－２（【分園分】標準時間対応）'!BC11&gt;=ROUND((D14+D15)*0.3,0)),1,0)</f>
        <v>2</v>
      </c>
      <c r="AZ13" s="802">
        <f t="shared" ref="AZ13" si="11">(ROUNDDOWN(J14/10,1)-ROUNDDOWN(J14/15,1))+(ROUNDDOWN(S14/10,1)-ROUNDDOWN(S14/15,1))</f>
        <v>0</v>
      </c>
      <c r="BA13" s="785" t="e">
        <f>SUM(AR13:AZ15)</f>
        <v>#VALUE!</v>
      </c>
      <c r="BB13" s="185"/>
      <c r="BD13" s="555"/>
      <c r="BE13" s="549">
        <f>'様式２（専従の常勤）'!I58</f>
        <v>0</v>
      </c>
      <c r="BF13" s="679">
        <f>COUNTIFS('様式３（非専従の常勤＋非常勤）'!$R$8:$R$37,"&gt;=1")+'様式２（専従の常勤）'!I70</f>
        <v>0</v>
      </c>
      <c r="BG13" s="562">
        <f>'様式３（非専従の常勤＋非常勤）'!$S$41</f>
        <v>0</v>
      </c>
      <c r="BH13" s="559"/>
      <c r="BI13" s="552">
        <f>COUNTIFS('様式３（非専従の常勤＋非常勤）'!$R$50:$R$54,"&gt;=1")</f>
        <v>0</v>
      </c>
      <c r="BJ13" s="556">
        <f>ROUNDDOWN('様式３（非専従の常勤＋非常勤）'!$R$57,1)</f>
        <v>0</v>
      </c>
      <c r="BK13" s="546">
        <f>BE13+BG13+IF((BH13+BJ13)&gt;=AM13,AM13,(BH13+BJ13))</f>
        <v>0</v>
      </c>
      <c r="BL13" s="546" t="e">
        <f>BK13-AR13</f>
        <v>#VALUE!</v>
      </c>
      <c r="BM13" s="546" t="e">
        <f>BK13-(AK13+AM13+AN13+AP13)</f>
        <v>#VALUE!</v>
      </c>
      <c r="BO13" s="543"/>
      <c r="BP13" s="568" t="str">
        <f>IF(BO13&gt;=0.2,BK13-AR13-BO13,"")</f>
        <v/>
      </c>
      <c r="BT13" s="615" t="s">
        <v>3</v>
      </c>
      <c r="BU13" s="293" t="s">
        <v>71</v>
      </c>
      <c r="BV13" s="294">
        <f>AA13+AC13+AE13+AH13+AL13+AN13+AQ13</f>
        <v>0</v>
      </c>
      <c r="BW13" s="295" t="e">
        <f>ROUND(BV13/(BV13+BV14),2)</f>
        <v>#VALUE!</v>
      </c>
      <c r="BY13" s="615" t="s">
        <v>3</v>
      </c>
      <c r="BZ13" s="293" t="s">
        <v>71</v>
      </c>
      <c r="CA13" s="296">
        <f>AE13+AH13</f>
        <v>0</v>
      </c>
      <c r="CB13" s="295" t="e">
        <f t="shared" ref="CB13" si="12">ROUND(CA13/(CA13+CA14),2)</f>
        <v>#VALUE!</v>
      </c>
    </row>
    <row r="14" spans="1:80" ht="27" customHeight="1">
      <c r="A14" s="718"/>
      <c r="B14" s="70" t="s">
        <v>72</v>
      </c>
      <c r="C14" s="238">
        <f t="shared" si="6"/>
        <v>0</v>
      </c>
      <c r="D14" s="238">
        <f t="shared" si="0"/>
        <v>0</v>
      </c>
      <c r="E14" s="69"/>
      <c r="F14" s="69"/>
      <c r="G14" s="69"/>
      <c r="H14" s="69"/>
      <c r="I14" s="69"/>
      <c r="J14" s="54"/>
      <c r="K14" s="54"/>
      <c r="L14" s="54"/>
      <c r="M14" s="310"/>
      <c r="N14" s="69"/>
      <c r="O14" s="69"/>
      <c r="P14" s="69"/>
      <c r="Q14" s="69"/>
      <c r="R14" s="69"/>
      <c r="S14" s="54"/>
      <c r="T14" s="54"/>
      <c r="U14" s="54"/>
      <c r="V14" s="313"/>
      <c r="W14" s="55">
        <f>SUM(J14:L14)</f>
        <v>0</v>
      </c>
      <c r="X14" s="634"/>
      <c r="Y14" s="55">
        <f>SUM(S14:U14)</f>
        <v>0</v>
      </c>
      <c r="Z14" s="637"/>
      <c r="AA14" s="724">
        <f>IF(C14+C15&lt;=90,1,0)+IF(D14+D15&lt;=90,1,0)</f>
        <v>2</v>
      </c>
      <c r="AB14" s="698"/>
      <c r="AC14" s="695">
        <f>AD13</f>
        <v>0</v>
      </c>
      <c r="AD14" s="698"/>
      <c r="AE14" s="648">
        <f>IF($W14+$W15&gt;0,1,0)+IF($Y14+$Y15&gt;0,1,0)</f>
        <v>0</v>
      </c>
      <c r="AF14" s="660"/>
      <c r="AG14" s="651"/>
      <c r="AH14" s="657" t="e">
        <f>AI13-AH13</f>
        <v>#VALUE!</v>
      </c>
      <c r="AI14" s="653"/>
      <c r="AJ14" s="547"/>
      <c r="AK14" s="702"/>
      <c r="AL14" s="358">
        <f>AM13-AL13</f>
        <v>0</v>
      </c>
      <c r="AM14" s="712"/>
      <c r="AN14" s="693"/>
      <c r="AO14" s="689"/>
      <c r="AP14" s="683"/>
      <c r="AQ14" s="685">
        <f>IFERROR(AP13*(ROUND((W14+W15+Y14+Y15)/(Z13+X13),1)),0)</f>
        <v>0</v>
      </c>
      <c r="AR14" s="547"/>
      <c r="AS14" s="670"/>
      <c r="AT14" s="670"/>
      <c r="AU14" s="626"/>
      <c r="AV14" s="626"/>
      <c r="AW14" s="626"/>
      <c r="AX14" s="629"/>
      <c r="AY14" s="623"/>
      <c r="AZ14" s="803"/>
      <c r="BA14" s="786"/>
      <c r="BB14" s="185"/>
      <c r="BD14" s="555"/>
      <c r="BE14" s="550"/>
      <c r="BF14" s="680" t="e">
        <v>#VALUE!</v>
      </c>
      <c r="BG14" s="563"/>
      <c r="BH14" s="560"/>
      <c r="BI14" s="553" t="e">
        <v>#VALUE!</v>
      </c>
      <c r="BJ14" s="557"/>
      <c r="BK14" s="547"/>
      <c r="BL14" s="547"/>
      <c r="BM14" s="547"/>
      <c r="BO14" s="544"/>
      <c r="BP14" s="566"/>
      <c r="BT14" s="616"/>
      <c r="BU14" s="612" t="s">
        <v>123</v>
      </c>
      <c r="BV14" s="860" t="e">
        <f>AA14+AC14+AE14+AH14+AL14+AQ14+AU13+AV13+AW13+AY13+AX13+AZ13</f>
        <v>#VALUE!</v>
      </c>
      <c r="BW14" s="614" t="e">
        <f>1-BW13</f>
        <v>#VALUE!</v>
      </c>
      <c r="BY14" s="616"/>
      <c r="BZ14" s="612" t="s">
        <v>123</v>
      </c>
      <c r="CA14" s="613" t="e">
        <f>AA14+AC14+AH14+AE14</f>
        <v>#VALUE!</v>
      </c>
      <c r="CB14" s="614" t="e">
        <f t="shared" ref="CB14" si="13">ROUND(CA14/(CA13+CA14),2)</f>
        <v>#VALUE!</v>
      </c>
    </row>
    <row r="15" spans="1:80" ht="27" customHeight="1">
      <c r="A15" s="719"/>
      <c r="B15" s="70" t="s">
        <v>73</v>
      </c>
      <c r="C15" s="238">
        <f t="shared" si="6"/>
        <v>0</v>
      </c>
      <c r="D15" s="238">
        <f t="shared" si="0"/>
        <v>0</v>
      </c>
      <c r="E15" s="54"/>
      <c r="F15" s="54"/>
      <c r="G15" s="71"/>
      <c r="H15" s="54"/>
      <c r="I15" s="69"/>
      <c r="J15" s="69"/>
      <c r="K15" s="69"/>
      <c r="L15" s="69"/>
      <c r="M15" s="310"/>
      <c r="N15" s="54"/>
      <c r="O15" s="54"/>
      <c r="P15" s="71"/>
      <c r="Q15" s="54"/>
      <c r="R15" s="69"/>
      <c r="S15" s="69"/>
      <c r="T15" s="69"/>
      <c r="U15" s="69"/>
      <c r="V15" s="313"/>
      <c r="W15" s="55">
        <f>SUM(E15:F15,H15)</f>
        <v>0</v>
      </c>
      <c r="X15" s="720"/>
      <c r="Y15" s="55">
        <f>SUM(N15:O15,Q15)</f>
        <v>0</v>
      </c>
      <c r="Z15" s="716"/>
      <c r="AA15" s="725"/>
      <c r="AB15" s="699"/>
      <c r="AC15" s="696"/>
      <c r="AD15" s="699"/>
      <c r="AE15" s="649"/>
      <c r="AF15" s="662"/>
      <c r="AG15" s="687"/>
      <c r="AH15" s="658"/>
      <c r="AI15" s="656"/>
      <c r="AJ15" s="548"/>
      <c r="AK15" s="703"/>
      <c r="AL15" s="364"/>
      <c r="AM15" s="713"/>
      <c r="AN15" s="694"/>
      <c r="AO15" s="781"/>
      <c r="AP15" s="684"/>
      <c r="AQ15" s="686"/>
      <c r="AR15" s="548"/>
      <c r="AS15" s="671"/>
      <c r="AT15" s="671"/>
      <c r="AU15" s="627"/>
      <c r="AV15" s="627"/>
      <c r="AW15" s="627"/>
      <c r="AX15" s="630"/>
      <c r="AY15" s="624"/>
      <c r="AZ15" s="804"/>
      <c r="BA15" s="787"/>
      <c r="BB15" s="185"/>
      <c r="BD15" s="555"/>
      <c r="BE15" s="551"/>
      <c r="BF15" s="681" t="e">
        <v>#VALUE!</v>
      </c>
      <c r="BG15" s="564"/>
      <c r="BH15" s="561"/>
      <c r="BI15" s="554" t="e">
        <v>#VALUE!</v>
      </c>
      <c r="BJ15" s="558"/>
      <c r="BK15" s="548"/>
      <c r="BL15" s="548"/>
      <c r="BM15" s="548"/>
      <c r="BO15" s="545"/>
      <c r="BP15" s="567"/>
      <c r="BT15" s="617"/>
      <c r="BU15" s="612"/>
      <c r="BV15" s="861"/>
      <c r="BW15" s="614"/>
      <c r="BY15" s="617"/>
      <c r="BZ15" s="612"/>
      <c r="CA15" s="613"/>
      <c r="CB15" s="614"/>
    </row>
    <row r="16" spans="1:80" ht="27" customHeight="1">
      <c r="A16" s="717" t="s">
        <v>339</v>
      </c>
      <c r="B16" s="70" t="s">
        <v>71</v>
      </c>
      <c r="C16" s="237">
        <f t="shared" si="6"/>
        <v>0</v>
      </c>
      <c r="D16" s="237">
        <f t="shared" si="0"/>
        <v>0</v>
      </c>
      <c r="E16" s="69"/>
      <c r="F16" s="69"/>
      <c r="G16" s="69"/>
      <c r="H16" s="69"/>
      <c r="I16" s="54"/>
      <c r="J16" s="204"/>
      <c r="K16" s="54"/>
      <c r="L16" s="54"/>
      <c r="M16" s="310"/>
      <c r="N16" s="69"/>
      <c r="O16" s="69"/>
      <c r="P16" s="69"/>
      <c r="Q16" s="69"/>
      <c r="R16" s="54"/>
      <c r="S16" s="204"/>
      <c r="T16" s="54"/>
      <c r="U16" s="54"/>
      <c r="V16" s="313"/>
      <c r="W16" s="55">
        <f>SUM(I16:L16)</f>
        <v>0</v>
      </c>
      <c r="X16" s="633">
        <f>SUM(W16:W18)</f>
        <v>0</v>
      </c>
      <c r="Y16" s="55">
        <f>SUM(R16:U16)</f>
        <v>0</v>
      </c>
      <c r="Z16" s="636">
        <f>SUM(Y16:Y18)</f>
        <v>0</v>
      </c>
      <c r="AA16" s="192"/>
      <c r="AB16" s="697">
        <f>AA17</f>
        <v>2</v>
      </c>
      <c r="AC16" s="359"/>
      <c r="AD16" s="697">
        <f>IF('様式１－１（【本園分】標準時間対応）'!BC13&gt;0,1,0)+IF('様式１－２（【分園分】標準時間対応）'!BC13&gt;0,1,0)</f>
        <v>0</v>
      </c>
      <c r="AE16" s="357">
        <f>IF($W16&gt;0,1,0)+IF($Y16&gt;0,1,0)</f>
        <v>0</v>
      </c>
      <c r="AF16" s="659" t="str">
        <f>VLOOKUP($A16,加算等適用状況!$A$14:$O$25,13,FALSE)</f>
        <v/>
      </c>
      <c r="AG16" s="650" t="str">
        <f>VLOOKUP($A16,加算等適用状況!$A$14:$O$25,15,FALSE)</f>
        <v>入力未了</v>
      </c>
      <c r="AH16" s="373">
        <f>参考_歳児別配置基準!Q34</f>
        <v>0</v>
      </c>
      <c r="AI16" s="652" t="str">
        <f>IF(AG16="入力完了",参考_歳児別配置基準!H34,AG16)</f>
        <v>入力未了</v>
      </c>
      <c r="AJ16" s="546" t="e">
        <f t="shared" ref="AJ16" si="14">AB16+AD16+AE16+AE17+AI16-AF16</f>
        <v>#VALUE!</v>
      </c>
      <c r="AK16" s="701" t="str">
        <f>IF(AG16="入力完了",参考_歳児別配置基準!U34+AB16+AD16+AE16+AE17-AF16,AG16)</f>
        <v>入力未了</v>
      </c>
      <c r="AL16" s="363">
        <f>IFERROR(ROUND(((W16+Y16)/(W16+Y16+W17+Y17))*AM16,1),0)</f>
        <v>0</v>
      </c>
      <c r="AM16" s="711">
        <f>IF(VLOOKUP($A16,加算等適用状況!$A$14:$O$25,4,FALSE)="○",VLOOKUP($A16,加算等適用状況!$A$14:$O$25,5,FALSE),0)</f>
        <v>0</v>
      </c>
      <c r="AN16" s="692">
        <f>IF(VLOOKUP($A16,加算等適用状況!$A$14:$O$25,11,FALSE)="○",1,0)</f>
        <v>0</v>
      </c>
      <c r="AO16" s="688" t="str">
        <f>VLOOKUP($A16,加算等適用状況!$A$14:$O$25,12,FALSE)</f>
        <v/>
      </c>
      <c r="AP16" s="682">
        <f>IF(AO16="専任",0,1)</f>
        <v>1</v>
      </c>
      <c r="AQ16" s="231">
        <f>IFERROR(AP16*(ROUND((W16+Y16)/(Z16+X16),1)),0)</f>
        <v>0</v>
      </c>
      <c r="AR16" s="546" t="e">
        <f t="shared" ref="AR16" si="15">AJ16+AM16+AN16+AP16</f>
        <v>#VALUE!</v>
      </c>
      <c r="AS16" s="669"/>
      <c r="AT16" s="669"/>
      <c r="AU16" s="625">
        <f>$AU$7</f>
        <v>0</v>
      </c>
      <c r="AV16" s="625">
        <f>SUM('様式１－１（【本園分】標準時間対応）'!BA13:BA14)</f>
        <v>0</v>
      </c>
      <c r="AW16" s="625">
        <f>SUM('様式１－２（【分園分】標準時間対応）'!BA13:BA14)</f>
        <v>0</v>
      </c>
      <c r="AX16" s="628">
        <f>2-AB16</f>
        <v>0</v>
      </c>
      <c r="AY16" s="622">
        <f>IF(OR(AND('様式１－１（【本園分】標準時間対応）'!J13&gt;0, '様式１－１（【本園分】標準時間対応）'!R13&gt;0), '様式１－１（【本園分】標準時間対応）'!BC13&gt;=ROUND((C17+C18)*0.3,0)),1,0) + IF(OR(AND('様式１－２（【分園分】標準時間対応）'!J13&gt;0, '様式１－２（【分園分】標準時間対応）'!R13&gt;0), '様式１－２（【分園分】標準時間対応）'!BC13&gt;=ROUND((D17+D18)*0.3,0)),1,0)</f>
        <v>2</v>
      </c>
      <c r="AZ16" s="802">
        <f t="shared" ref="AZ16" si="16">(ROUNDDOWN(J17/10,1)-ROUNDDOWN(J17/15,1))+(ROUNDDOWN(S17/10,1)-ROUNDDOWN(S17/15,1))</f>
        <v>0</v>
      </c>
      <c r="BA16" s="785" t="e">
        <f>SUM(AR16:AZ18)</f>
        <v>#VALUE!</v>
      </c>
      <c r="BB16" s="185"/>
      <c r="BD16" s="555"/>
      <c r="BE16" s="549">
        <f>'様式２（専従の常勤）'!J58</f>
        <v>0</v>
      </c>
      <c r="BF16" s="679">
        <f>COUNTIFS('様式３（非専従の常勤＋非常勤）'!$T$8:$T$37,"&gt;=1")+'様式２（専従の常勤）'!J70</f>
        <v>0</v>
      </c>
      <c r="BG16" s="562">
        <f>'様式３（非専従の常勤＋非常勤）'!$U$41</f>
        <v>0</v>
      </c>
      <c r="BH16" s="559"/>
      <c r="BI16" s="552">
        <f>COUNTIFS('様式３（非専従の常勤＋非常勤）'!$T$50:$T$54,"&gt;=1")</f>
        <v>0</v>
      </c>
      <c r="BJ16" s="556">
        <f>ROUNDDOWN('様式３（非専従の常勤＋非常勤）'!$T$57,1)</f>
        <v>0</v>
      </c>
      <c r="BK16" s="546">
        <f>BE16+BG16+IF((BH16+BJ16)&gt;=AM16,AM16,(BH16+BJ16))</f>
        <v>0</v>
      </c>
      <c r="BL16" s="546" t="e">
        <f>BK16-AR16</f>
        <v>#VALUE!</v>
      </c>
      <c r="BM16" s="546" t="e">
        <f>BK16-(AK16+AM16+AN16+AP16)</f>
        <v>#VALUE!</v>
      </c>
      <c r="BO16" s="543"/>
      <c r="BP16" s="568" t="str">
        <f>IF(BO16&gt;=0.2,BK16-AR16-BO16,"")</f>
        <v/>
      </c>
      <c r="BT16" s="615" t="s">
        <v>4</v>
      </c>
      <c r="BU16" s="293" t="s">
        <v>71</v>
      </c>
      <c r="BV16" s="294">
        <f>AA16+AC16+AE16+AH16+AL16+AN16+AQ16</f>
        <v>0</v>
      </c>
      <c r="BW16" s="295" t="e">
        <f>ROUND(BV16/(BV16+BV17),2)</f>
        <v>#VALUE!</v>
      </c>
      <c r="BY16" s="615" t="s">
        <v>4</v>
      </c>
      <c r="BZ16" s="293" t="s">
        <v>71</v>
      </c>
      <c r="CA16" s="296">
        <f>AE16+AH16</f>
        <v>0</v>
      </c>
      <c r="CB16" s="295" t="e">
        <f t="shared" ref="CB16" si="17">ROUND(CA16/(CA16+CA17),2)</f>
        <v>#VALUE!</v>
      </c>
    </row>
    <row r="17" spans="1:80" ht="27" customHeight="1">
      <c r="A17" s="718"/>
      <c r="B17" s="70" t="s">
        <v>72</v>
      </c>
      <c r="C17" s="238">
        <f t="shared" si="6"/>
        <v>0</v>
      </c>
      <c r="D17" s="238">
        <f t="shared" si="0"/>
        <v>0</v>
      </c>
      <c r="E17" s="69"/>
      <c r="F17" s="69"/>
      <c r="G17" s="69"/>
      <c r="H17" s="69"/>
      <c r="I17" s="69"/>
      <c r="J17" s="54"/>
      <c r="K17" s="54"/>
      <c r="L17" s="54"/>
      <c r="M17" s="310"/>
      <c r="N17" s="69"/>
      <c r="O17" s="69"/>
      <c r="P17" s="69"/>
      <c r="Q17" s="69"/>
      <c r="R17" s="69"/>
      <c r="S17" s="54"/>
      <c r="T17" s="54"/>
      <c r="U17" s="54"/>
      <c r="V17" s="313"/>
      <c r="W17" s="55">
        <f>SUM(J17:L17)</f>
        <v>0</v>
      </c>
      <c r="X17" s="634"/>
      <c r="Y17" s="55">
        <f>SUM(S17:U17)</f>
        <v>0</v>
      </c>
      <c r="Z17" s="637"/>
      <c r="AA17" s="724">
        <f>IF(C17+C18&lt;=90,1,0)+IF(D17+D18&lt;=90,1,0)</f>
        <v>2</v>
      </c>
      <c r="AB17" s="698"/>
      <c r="AC17" s="695">
        <f>AD16</f>
        <v>0</v>
      </c>
      <c r="AD17" s="698"/>
      <c r="AE17" s="648">
        <f>IF($W17+$W18&gt;0,1,0)+IF($Y17+$Y18&gt;0,1,0)</f>
        <v>0</v>
      </c>
      <c r="AF17" s="660"/>
      <c r="AG17" s="651"/>
      <c r="AH17" s="657" t="e">
        <f>AI16-AH16</f>
        <v>#VALUE!</v>
      </c>
      <c r="AI17" s="653"/>
      <c r="AJ17" s="547"/>
      <c r="AK17" s="702"/>
      <c r="AL17" s="358">
        <f>AM16-AL16</f>
        <v>0</v>
      </c>
      <c r="AM17" s="712"/>
      <c r="AN17" s="693"/>
      <c r="AO17" s="689"/>
      <c r="AP17" s="683"/>
      <c r="AQ17" s="685">
        <f>IFERROR(AP16*(ROUND((W17+W18+Y17+Y18)/(Z16+X16),1)),0)</f>
        <v>0</v>
      </c>
      <c r="AR17" s="547"/>
      <c r="AS17" s="670"/>
      <c r="AT17" s="670"/>
      <c r="AU17" s="626"/>
      <c r="AV17" s="626"/>
      <c r="AW17" s="626"/>
      <c r="AX17" s="629"/>
      <c r="AY17" s="623"/>
      <c r="AZ17" s="803"/>
      <c r="BA17" s="786"/>
      <c r="BB17" s="185"/>
      <c r="BD17" s="555"/>
      <c r="BE17" s="550"/>
      <c r="BF17" s="680" t="e">
        <v>#VALUE!</v>
      </c>
      <c r="BG17" s="563"/>
      <c r="BH17" s="560"/>
      <c r="BI17" s="553" t="e">
        <v>#VALUE!</v>
      </c>
      <c r="BJ17" s="557"/>
      <c r="BK17" s="547"/>
      <c r="BL17" s="547"/>
      <c r="BM17" s="547"/>
      <c r="BO17" s="544"/>
      <c r="BP17" s="566"/>
      <c r="BT17" s="616"/>
      <c r="BU17" s="612" t="s">
        <v>123</v>
      </c>
      <c r="BV17" s="860" t="e">
        <f>AA17+AC17+AE17+AH17+AL17+AQ17+AU16+AV16+AW16+AY16+AX16+AZ16</f>
        <v>#VALUE!</v>
      </c>
      <c r="BW17" s="614" t="e">
        <f>1-BW16</f>
        <v>#VALUE!</v>
      </c>
      <c r="BY17" s="616"/>
      <c r="BZ17" s="612" t="s">
        <v>123</v>
      </c>
      <c r="CA17" s="613" t="e">
        <f>AA17+AC17+AH17+AE17</f>
        <v>#VALUE!</v>
      </c>
      <c r="CB17" s="614" t="e">
        <f t="shared" ref="CB17" si="18">ROUND(CA17/(CA16+CA17),2)</f>
        <v>#VALUE!</v>
      </c>
    </row>
    <row r="18" spans="1:80" ht="27" customHeight="1">
      <c r="A18" s="719"/>
      <c r="B18" s="70" t="s">
        <v>73</v>
      </c>
      <c r="C18" s="238">
        <f t="shared" si="6"/>
        <v>0</v>
      </c>
      <c r="D18" s="238">
        <f t="shared" si="0"/>
        <v>0</v>
      </c>
      <c r="E18" s="54"/>
      <c r="F18" s="54"/>
      <c r="G18" s="71"/>
      <c r="H18" s="54"/>
      <c r="I18" s="69"/>
      <c r="J18" s="69"/>
      <c r="K18" s="69"/>
      <c r="L18" s="69"/>
      <c r="M18" s="310"/>
      <c r="N18" s="54"/>
      <c r="O18" s="54"/>
      <c r="P18" s="71"/>
      <c r="Q18" s="54"/>
      <c r="R18" s="69"/>
      <c r="S18" s="69"/>
      <c r="T18" s="69"/>
      <c r="U18" s="69"/>
      <c r="V18" s="313"/>
      <c r="W18" s="55">
        <f>SUM(E18:F18,H18)</f>
        <v>0</v>
      </c>
      <c r="X18" s="720"/>
      <c r="Y18" s="55">
        <f>SUM(N18:O18,Q18)</f>
        <v>0</v>
      </c>
      <c r="Z18" s="716"/>
      <c r="AA18" s="725"/>
      <c r="AB18" s="699"/>
      <c r="AC18" s="696"/>
      <c r="AD18" s="699"/>
      <c r="AE18" s="649"/>
      <c r="AF18" s="662"/>
      <c r="AG18" s="687"/>
      <c r="AH18" s="658"/>
      <c r="AI18" s="656"/>
      <c r="AJ18" s="548"/>
      <c r="AK18" s="703"/>
      <c r="AL18" s="364"/>
      <c r="AM18" s="713"/>
      <c r="AN18" s="694"/>
      <c r="AO18" s="781"/>
      <c r="AP18" s="684"/>
      <c r="AQ18" s="686"/>
      <c r="AR18" s="548"/>
      <c r="AS18" s="671"/>
      <c r="AT18" s="671"/>
      <c r="AU18" s="627"/>
      <c r="AV18" s="627"/>
      <c r="AW18" s="627"/>
      <c r="AX18" s="630"/>
      <c r="AY18" s="624"/>
      <c r="AZ18" s="804"/>
      <c r="BA18" s="787"/>
      <c r="BB18" s="185"/>
      <c r="BD18" s="555"/>
      <c r="BE18" s="551"/>
      <c r="BF18" s="681" t="e">
        <v>#VALUE!</v>
      </c>
      <c r="BG18" s="564"/>
      <c r="BH18" s="561"/>
      <c r="BI18" s="554" t="e">
        <v>#VALUE!</v>
      </c>
      <c r="BJ18" s="558"/>
      <c r="BK18" s="548"/>
      <c r="BL18" s="548"/>
      <c r="BM18" s="548"/>
      <c r="BO18" s="545"/>
      <c r="BP18" s="567"/>
      <c r="BT18" s="617"/>
      <c r="BU18" s="612"/>
      <c r="BV18" s="861"/>
      <c r="BW18" s="614"/>
      <c r="BY18" s="617"/>
      <c r="BZ18" s="612"/>
      <c r="CA18" s="613"/>
      <c r="CB18" s="614"/>
    </row>
    <row r="19" spans="1:80" ht="27" customHeight="1">
      <c r="A19" s="717" t="s">
        <v>340</v>
      </c>
      <c r="B19" s="70" t="s">
        <v>71</v>
      </c>
      <c r="C19" s="237">
        <f t="shared" si="6"/>
        <v>0</v>
      </c>
      <c r="D19" s="237">
        <f t="shared" si="0"/>
        <v>0</v>
      </c>
      <c r="E19" s="69"/>
      <c r="F19" s="69"/>
      <c r="G19" s="69"/>
      <c r="H19" s="69"/>
      <c r="I19" s="54"/>
      <c r="J19" s="204"/>
      <c r="K19" s="54"/>
      <c r="L19" s="54"/>
      <c r="M19" s="310"/>
      <c r="N19" s="69"/>
      <c r="O19" s="69"/>
      <c r="P19" s="69"/>
      <c r="Q19" s="69"/>
      <c r="R19" s="54"/>
      <c r="S19" s="204"/>
      <c r="T19" s="54"/>
      <c r="U19" s="54"/>
      <c r="V19" s="313"/>
      <c r="W19" s="55">
        <f>SUM(I19:L19)</f>
        <v>0</v>
      </c>
      <c r="X19" s="633">
        <f>SUM(W19:W21)</f>
        <v>0</v>
      </c>
      <c r="Y19" s="55">
        <f>SUM(R19:U19)</f>
        <v>0</v>
      </c>
      <c r="Z19" s="636">
        <f>SUM(Y19:Y21)</f>
        <v>0</v>
      </c>
      <c r="AA19" s="192"/>
      <c r="AB19" s="697">
        <f t="shared" ref="AB19" si="19">AA20</f>
        <v>2</v>
      </c>
      <c r="AC19" s="359"/>
      <c r="AD19" s="697">
        <f>IF('様式１－１（【本園分】標準時間対応）'!BC15&gt;0,1,0)+IF('様式１－２（【分園分】標準時間対応）'!BC15&gt;0,1,0)</f>
        <v>0</v>
      </c>
      <c r="AE19" s="357">
        <f>IF($W19&gt;0,1,0)+IF($Y19&gt;0,1,0)</f>
        <v>0</v>
      </c>
      <c r="AF19" s="659" t="str">
        <f>VLOOKUP($A19,加算等適用状況!$A$14:$O$25,13,FALSE)</f>
        <v/>
      </c>
      <c r="AG19" s="650" t="str">
        <f>VLOOKUP($A19,加算等適用状況!$A$14:$O$25,15,FALSE)</f>
        <v>入力未了</v>
      </c>
      <c r="AH19" s="373">
        <f>参考_歳児別配置基準!Q44</f>
        <v>0</v>
      </c>
      <c r="AI19" s="652" t="str">
        <f>IF(AG19="入力完了",参考_歳児別配置基準!H44,AG19)</f>
        <v>入力未了</v>
      </c>
      <c r="AJ19" s="546" t="e">
        <f t="shared" ref="AJ19" si="20">AB19+AD19+AE19+AE20+AI19-AF19</f>
        <v>#VALUE!</v>
      </c>
      <c r="AK19" s="701" t="str">
        <f>IF(AG19="入力完了",参考_歳児別配置基準!U44+AB19+AD19+AE19+AE20-AF19,AG19)</f>
        <v>入力未了</v>
      </c>
      <c r="AL19" s="363">
        <f>IFERROR(ROUND(((W19+Y19)/(W19+Y19+W20+Y20))*AM19,1),0)</f>
        <v>0</v>
      </c>
      <c r="AM19" s="711">
        <f>IF(VLOOKUP($A19,加算等適用状況!$A$14:$O$25,4,FALSE)="○",VLOOKUP($A19,加算等適用状況!$A$14:$O$25,5,FALSE),0)</f>
        <v>0</v>
      </c>
      <c r="AN19" s="692">
        <f>IF(VLOOKUP($A19,加算等適用状況!$A$14:$O$25,11,FALSE)="○",1,0)</f>
        <v>0</v>
      </c>
      <c r="AO19" s="688" t="str">
        <f>VLOOKUP($A19,加算等適用状況!$A$14:$O$25,12,FALSE)</f>
        <v/>
      </c>
      <c r="AP19" s="682">
        <f>IF(AO19="専任",0,1)</f>
        <v>1</v>
      </c>
      <c r="AQ19" s="231">
        <f>IFERROR(AP19*(ROUND((W19+Y19)/(Z19+X19),1)),0)</f>
        <v>0</v>
      </c>
      <c r="AR19" s="546" t="e">
        <f t="shared" ref="AR19" si="21">AJ19+AM19+AN19+AP19</f>
        <v>#VALUE!</v>
      </c>
      <c r="AS19" s="669"/>
      <c r="AT19" s="669"/>
      <c r="AU19" s="625">
        <f>$AU$7</f>
        <v>0</v>
      </c>
      <c r="AV19" s="625">
        <f>SUM('様式１－１（【本園分】標準時間対応）'!BA15:BA16)</f>
        <v>0</v>
      </c>
      <c r="AW19" s="625">
        <f>SUM('様式１－２（【分園分】標準時間対応）'!BA15:BA16)</f>
        <v>0</v>
      </c>
      <c r="AX19" s="628">
        <f>2-AB19</f>
        <v>0</v>
      </c>
      <c r="AY19" s="622">
        <f>IF(OR(AND('様式１－１（【本園分】標準時間対応）'!J15&gt;0, '様式１－１（【本園分】標準時間対応）'!R15&gt;0), '様式１－１（【本園分】標準時間対応）'!BC15&gt;=ROUND((C20+C21)*0.3,0)),1,0) + IF(OR(AND('様式１－２（【分園分】標準時間対応）'!J15&gt;0, '様式１－２（【分園分】標準時間対応）'!R15&gt;0), '様式１－２（【分園分】標準時間対応）'!BC15&gt;=ROUND((D20+D21)*0.3,0)),1,0)</f>
        <v>2</v>
      </c>
      <c r="AZ19" s="802">
        <f t="shared" ref="AZ19" si="22">(ROUNDDOWN(J20/10,1)-ROUNDDOWN(J20/15,1))+(ROUNDDOWN(S20/10,1)-ROUNDDOWN(S20/15,1))</f>
        <v>0</v>
      </c>
      <c r="BA19" s="785" t="e">
        <f>SUM(AR19:AZ21)</f>
        <v>#VALUE!</v>
      </c>
      <c r="BB19" s="185"/>
      <c r="BD19" s="555"/>
      <c r="BE19" s="549">
        <f>'様式２（専従の常勤）'!K58</f>
        <v>0</v>
      </c>
      <c r="BF19" s="679">
        <f>COUNTIFS('様式３（非専従の常勤＋非常勤）'!$V$8:$V$37,"&gt;=1")+'様式２（専従の常勤）'!K70</f>
        <v>0</v>
      </c>
      <c r="BG19" s="562">
        <f>'様式３（非専従の常勤＋非常勤）'!$W$41</f>
        <v>0</v>
      </c>
      <c r="BH19" s="559"/>
      <c r="BI19" s="552">
        <f>COUNTIFS('様式３（非専従の常勤＋非常勤）'!$V$50:$V$54,"&gt;=1")</f>
        <v>0</v>
      </c>
      <c r="BJ19" s="556">
        <f>ROUNDDOWN('様式３（非専従の常勤＋非常勤）'!$V$57,1)</f>
        <v>0</v>
      </c>
      <c r="BK19" s="546">
        <f>BE19+BG19+IF((BH19+BJ19)&gt;=AM19,AM19,(BH19+BJ19))</f>
        <v>0</v>
      </c>
      <c r="BL19" s="546" t="e">
        <f>BK19-AR19</f>
        <v>#VALUE!</v>
      </c>
      <c r="BM19" s="546" t="e">
        <f>BK19-(AK19+AM19+AN19+AP19)</f>
        <v>#VALUE!</v>
      </c>
      <c r="BO19" s="543"/>
      <c r="BP19" s="568" t="str">
        <f>IF(BO19&gt;=0.2,BK19-AR19-BO19,"")</f>
        <v/>
      </c>
      <c r="BT19" s="615" t="s">
        <v>5</v>
      </c>
      <c r="BU19" s="293" t="s">
        <v>71</v>
      </c>
      <c r="BV19" s="294">
        <f>AA19+AC19+AE19+AH19+AL19+AN19+AQ19</f>
        <v>0</v>
      </c>
      <c r="BW19" s="295" t="e">
        <f>ROUND(BV19/(BV19+BV20),2)</f>
        <v>#VALUE!</v>
      </c>
      <c r="BY19" s="615" t="s">
        <v>5</v>
      </c>
      <c r="BZ19" s="293" t="s">
        <v>71</v>
      </c>
      <c r="CA19" s="296">
        <f>AE19+AH19</f>
        <v>0</v>
      </c>
      <c r="CB19" s="295" t="e">
        <f>ROUND(CA19/(CA19+CA20),2)</f>
        <v>#VALUE!</v>
      </c>
    </row>
    <row r="20" spans="1:80" ht="27" customHeight="1">
      <c r="A20" s="718"/>
      <c r="B20" s="70" t="s">
        <v>72</v>
      </c>
      <c r="C20" s="238">
        <f t="shared" si="6"/>
        <v>0</v>
      </c>
      <c r="D20" s="238">
        <f t="shared" si="0"/>
        <v>0</v>
      </c>
      <c r="E20" s="69"/>
      <c r="F20" s="69"/>
      <c r="G20" s="69"/>
      <c r="H20" s="69"/>
      <c r="I20" s="69"/>
      <c r="J20" s="54"/>
      <c r="K20" s="54"/>
      <c r="L20" s="54"/>
      <c r="M20" s="310"/>
      <c r="N20" s="69"/>
      <c r="O20" s="69"/>
      <c r="P20" s="69"/>
      <c r="Q20" s="69"/>
      <c r="R20" s="69"/>
      <c r="S20" s="54"/>
      <c r="T20" s="54"/>
      <c r="U20" s="54"/>
      <c r="V20" s="313"/>
      <c r="W20" s="55">
        <f>SUM(J20:L20)</f>
        <v>0</v>
      </c>
      <c r="X20" s="634"/>
      <c r="Y20" s="55">
        <f>SUM(S20:U20)</f>
        <v>0</v>
      </c>
      <c r="Z20" s="637"/>
      <c r="AA20" s="724">
        <f>IF(C20+C21&lt;=90,1,0)+IF(D20+D21&lt;=90,1,0)</f>
        <v>2</v>
      </c>
      <c r="AB20" s="698"/>
      <c r="AC20" s="695">
        <f>AD19</f>
        <v>0</v>
      </c>
      <c r="AD20" s="698"/>
      <c r="AE20" s="648">
        <f>IF($W20+$W21&gt;0,1,0)+IF($Y20+$Y21&gt;0,1,0)</f>
        <v>0</v>
      </c>
      <c r="AF20" s="660"/>
      <c r="AG20" s="651"/>
      <c r="AH20" s="657" t="e">
        <f>AI19-AH19</f>
        <v>#VALUE!</v>
      </c>
      <c r="AI20" s="653"/>
      <c r="AJ20" s="547"/>
      <c r="AK20" s="702"/>
      <c r="AL20" s="358">
        <f>AM19-AL19</f>
        <v>0</v>
      </c>
      <c r="AM20" s="712"/>
      <c r="AN20" s="693"/>
      <c r="AO20" s="689"/>
      <c r="AP20" s="683"/>
      <c r="AQ20" s="685">
        <f>IFERROR(AP19*(ROUND((W20+W21+Y20+Y21)/(Z19+X19),1)),0)</f>
        <v>0</v>
      </c>
      <c r="AR20" s="547"/>
      <c r="AS20" s="670"/>
      <c r="AT20" s="670"/>
      <c r="AU20" s="626"/>
      <c r="AV20" s="626"/>
      <c r="AW20" s="626"/>
      <c r="AX20" s="629"/>
      <c r="AY20" s="623"/>
      <c r="AZ20" s="803"/>
      <c r="BA20" s="786"/>
      <c r="BB20" s="185"/>
      <c r="BD20" s="555"/>
      <c r="BE20" s="550"/>
      <c r="BF20" s="680" t="e">
        <v>#VALUE!</v>
      </c>
      <c r="BG20" s="563"/>
      <c r="BH20" s="560"/>
      <c r="BI20" s="553" t="e">
        <v>#VALUE!</v>
      </c>
      <c r="BJ20" s="557"/>
      <c r="BK20" s="547"/>
      <c r="BL20" s="547"/>
      <c r="BM20" s="547"/>
      <c r="BO20" s="544"/>
      <c r="BP20" s="566"/>
      <c r="BT20" s="616"/>
      <c r="BU20" s="612" t="s">
        <v>123</v>
      </c>
      <c r="BV20" s="860" t="e">
        <f>AA20+AC20+AE20+AH20+AL20+AQ20+AU19+AV19+AW19+AY19+AX19+AZ19</f>
        <v>#VALUE!</v>
      </c>
      <c r="BW20" s="614" t="e">
        <f>1-BW19</f>
        <v>#VALUE!</v>
      </c>
      <c r="BY20" s="616"/>
      <c r="BZ20" s="612" t="s">
        <v>123</v>
      </c>
      <c r="CA20" s="613" t="e">
        <f>AA20+AC20+AH20+AE20</f>
        <v>#VALUE!</v>
      </c>
      <c r="CB20" s="614" t="e">
        <f>ROUND(CA20/(CA19+CA20),2)</f>
        <v>#VALUE!</v>
      </c>
    </row>
    <row r="21" spans="1:80" ht="27" customHeight="1">
      <c r="A21" s="719"/>
      <c r="B21" s="70" t="s">
        <v>73</v>
      </c>
      <c r="C21" s="238">
        <f t="shared" si="6"/>
        <v>0</v>
      </c>
      <c r="D21" s="238">
        <f t="shared" si="0"/>
        <v>0</v>
      </c>
      <c r="E21" s="54"/>
      <c r="F21" s="54"/>
      <c r="G21" s="71"/>
      <c r="H21" s="54"/>
      <c r="I21" s="69"/>
      <c r="J21" s="69"/>
      <c r="K21" s="69"/>
      <c r="L21" s="69"/>
      <c r="M21" s="311"/>
      <c r="N21" s="54"/>
      <c r="O21" s="54"/>
      <c r="P21" s="71"/>
      <c r="Q21" s="54"/>
      <c r="R21" s="69"/>
      <c r="S21" s="69"/>
      <c r="T21" s="69"/>
      <c r="U21" s="69"/>
      <c r="V21" s="314"/>
      <c r="W21" s="56">
        <f>SUM(E21:F21,H21)</f>
        <v>0</v>
      </c>
      <c r="X21" s="720"/>
      <c r="Y21" s="55">
        <f>SUM(N21:O21,Q21)</f>
        <v>0</v>
      </c>
      <c r="Z21" s="716"/>
      <c r="AA21" s="725"/>
      <c r="AB21" s="699"/>
      <c r="AC21" s="696"/>
      <c r="AD21" s="699"/>
      <c r="AE21" s="649"/>
      <c r="AF21" s="662"/>
      <c r="AG21" s="687"/>
      <c r="AH21" s="658"/>
      <c r="AI21" s="656"/>
      <c r="AJ21" s="548"/>
      <c r="AK21" s="703"/>
      <c r="AL21" s="364"/>
      <c r="AM21" s="713"/>
      <c r="AN21" s="694"/>
      <c r="AO21" s="781"/>
      <c r="AP21" s="684"/>
      <c r="AQ21" s="686"/>
      <c r="AR21" s="548"/>
      <c r="AS21" s="671"/>
      <c r="AT21" s="671"/>
      <c r="AU21" s="627"/>
      <c r="AV21" s="627"/>
      <c r="AW21" s="627"/>
      <c r="AX21" s="630"/>
      <c r="AY21" s="624"/>
      <c r="AZ21" s="804"/>
      <c r="BA21" s="787"/>
      <c r="BB21" s="185"/>
      <c r="BD21" s="555"/>
      <c r="BE21" s="551"/>
      <c r="BF21" s="681" t="e">
        <v>#VALUE!</v>
      </c>
      <c r="BG21" s="564"/>
      <c r="BH21" s="561"/>
      <c r="BI21" s="554" t="e">
        <v>#VALUE!</v>
      </c>
      <c r="BJ21" s="558"/>
      <c r="BK21" s="548"/>
      <c r="BL21" s="548"/>
      <c r="BM21" s="548"/>
      <c r="BO21" s="545"/>
      <c r="BP21" s="567"/>
      <c r="BT21" s="617"/>
      <c r="BU21" s="612"/>
      <c r="BV21" s="861"/>
      <c r="BW21" s="614"/>
      <c r="BY21" s="617"/>
      <c r="BZ21" s="612"/>
      <c r="CA21" s="613"/>
      <c r="CB21" s="614"/>
    </row>
    <row r="22" spans="1:80" ht="27" customHeight="1">
      <c r="A22" s="717" t="s">
        <v>341</v>
      </c>
      <c r="B22" s="70" t="s">
        <v>71</v>
      </c>
      <c r="C22" s="237">
        <f t="shared" si="6"/>
        <v>0</v>
      </c>
      <c r="D22" s="237">
        <f t="shared" si="0"/>
        <v>0</v>
      </c>
      <c r="E22" s="69"/>
      <c r="F22" s="69"/>
      <c r="G22" s="69"/>
      <c r="H22" s="69"/>
      <c r="I22" s="54"/>
      <c r="J22" s="204"/>
      <c r="K22" s="54"/>
      <c r="L22" s="54"/>
      <c r="M22" s="310"/>
      <c r="N22" s="69"/>
      <c r="O22" s="69"/>
      <c r="P22" s="69"/>
      <c r="Q22" s="69"/>
      <c r="R22" s="54"/>
      <c r="S22" s="204"/>
      <c r="T22" s="54"/>
      <c r="U22" s="54"/>
      <c r="V22" s="313"/>
      <c r="W22" s="55">
        <f>SUM(I22:L22)</f>
        <v>0</v>
      </c>
      <c r="X22" s="633">
        <f>SUM(W22:W24)</f>
        <v>0</v>
      </c>
      <c r="Y22" s="55">
        <f>SUM(R22:U22)</f>
        <v>0</v>
      </c>
      <c r="Z22" s="636">
        <f>SUM(Y22:Y24)</f>
        <v>0</v>
      </c>
      <c r="AA22" s="192"/>
      <c r="AB22" s="697">
        <f t="shared" ref="AB22" si="23">AA23</f>
        <v>2</v>
      </c>
      <c r="AC22" s="359"/>
      <c r="AD22" s="697">
        <f>IF('様式１－１（【本園分】標準時間対応）'!BC17&gt;0,1,0)+IF('様式１－２（【分園分】標準時間対応）'!BC17&gt;0,1,0)</f>
        <v>0</v>
      </c>
      <c r="AE22" s="357">
        <f>IF($W22&gt;0,1,0)+IF($Y22&gt;0,1,0)</f>
        <v>0</v>
      </c>
      <c r="AF22" s="659" t="str">
        <f>VLOOKUP($A22,加算等適用状況!$A$14:$O$25,13,FALSE)</f>
        <v/>
      </c>
      <c r="AG22" s="650" t="str">
        <f>VLOOKUP($A22,加算等適用状況!$A$14:$O$25,15,FALSE)</f>
        <v>入力未了</v>
      </c>
      <c r="AH22" s="373">
        <f>参考_歳児別配置基準!Q54</f>
        <v>0</v>
      </c>
      <c r="AI22" s="652" t="str">
        <f>IF(AG22="入力完了",参考_歳児別配置基準!H54,AG22)</f>
        <v>入力未了</v>
      </c>
      <c r="AJ22" s="546" t="e">
        <f t="shared" ref="AJ22" si="24">AB22+AD22+AE22+AE23+AI22-AF22</f>
        <v>#VALUE!</v>
      </c>
      <c r="AK22" s="701" t="str">
        <f>IF(AG22="入力完了",参考_歳児別配置基準!U54+AB22+AD22+AE22+AE23-AF22,AG22)</f>
        <v>入力未了</v>
      </c>
      <c r="AL22" s="363">
        <f>IFERROR(ROUND(((W22+Y22)/(W22+Y22+W23+Y23))*AM22,1),0)</f>
        <v>0</v>
      </c>
      <c r="AM22" s="711">
        <f>IF(VLOOKUP($A22,加算等適用状況!$A$14:$O$25,4,FALSE)="○",VLOOKUP($A22,加算等適用状況!$A$14:$O$25,5,FALSE),0)</f>
        <v>0</v>
      </c>
      <c r="AN22" s="692">
        <f>IF(VLOOKUP($A22,加算等適用状況!$A$14:$O$25,11,FALSE)="○",1,0)</f>
        <v>0</v>
      </c>
      <c r="AO22" s="688" t="str">
        <f>VLOOKUP($A22,加算等適用状況!$A$14:$O$25,12,FALSE)</f>
        <v/>
      </c>
      <c r="AP22" s="682">
        <f>IF(AO22="専任",0,1)</f>
        <v>1</v>
      </c>
      <c r="AQ22" s="231">
        <f>IFERROR(AP22*(ROUND((W22+Y22)/(Z22+X22),1)),0)</f>
        <v>0</v>
      </c>
      <c r="AR22" s="546" t="e">
        <f t="shared" ref="AR22" si="25">AJ22+AM22+AN22+AP22</f>
        <v>#VALUE!</v>
      </c>
      <c r="AS22" s="669"/>
      <c r="AT22" s="669"/>
      <c r="AU22" s="625">
        <f>$AU$7</f>
        <v>0</v>
      </c>
      <c r="AV22" s="625">
        <f>SUM('様式１－１（【本園分】標準時間対応）'!BA17:BA18)</f>
        <v>0</v>
      </c>
      <c r="AW22" s="625">
        <f>SUM('様式１－２（【分園分】標準時間対応）'!BA17:BA18)</f>
        <v>0</v>
      </c>
      <c r="AX22" s="628">
        <f>2-AB22</f>
        <v>0</v>
      </c>
      <c r="AY22" s="622">
        <f>IF(OR(AND('様式１－１（【本園分】標準時間対応）'!J17&gt;0, '様式１－１（【本園分】標準時間対応）'!R17&gt;0), '様式１－１（【本園分】標準時間対応）'!BC17&gt;=ROUND((C23+C24)*0.3,0)),1,0) + IF(OR(AND('様式１－２（【分園分】標準時間対応）'!J17&gt;0, '様式１－２（【分園分】標準時間対応）'!R17&gt;0), '様式１－２（【分園分】標準時間対応）'!BC17&gt;=ROUND((D23+D24)*0.3,0)),1,0)</f>
        <v>2</v>
      </c>
      <c r="AZ22" s="802">
        <f t="shared" ref="AZ22" si="26">(ROUNDDOWN(J23/10,1)-ROUNDDOWN(J23/15,1))+(ROUNDDOWN(S23/10,1)-ROUNDDOWN(S23/15,1))</f>
        <v>0</v>
      </c>
      <c r="BA22" s="785" t="e">
        <f>SUM(AR22:AZ24)</f>
        <v>#VALUE!</v>
      </c>
      <c r="BB22" s="185"/>
      <c r="BD22" s="555"/>
      <c r="BE22" s="549">
        <f>'様式２（専従の常勤）'!L58</f>
        <v>0</v>
      </c>
      <c r="BF22" s="679">
        <f>COUNTIFS('様式３（非専従の常勤＋非常勤）'!$X$8:$X$37,"&gt;=1")+'様式２（専従の常勤）'!L70</f>
        <v>0</v>
      </c>
      <c r="BG22" s="562">
        <f>'様式３（非専従の常勤＋非常勤）'!$Y$41</f>
        <v>0</v>
      </c>
      <c r="BH22" s="559"/>
      <c r="BI22" s="552">
        <f>COUNTIFS('様式３（非専従の常勤＋非常勤）'!$X$50:$X$54,"&gt;=1")</f>
        <v>0</v>
      </c>
      <c r="BJ22" s="556">
        <f>ROUNDDOWN('様式３（非専従の常勤＋非常勤）'!$X$57,1)</f>
        <v>0</v>
      </c>
      <c r="BK22" s="546">
        <f>BE22+BG22+IF((BH22+BJ22)&gt;=AM22,AM22,(BH22+BJ22))</f>
        <v>0</v>
      </c>
      <c r="BL22" s="546" t="e">
        <f>BK22-AR22</f>
        <v>#VALUE!</v>
      </c>
      <c r="BM22" s="546" t="e">
        <f>BK22-(AK22+AM22+AN22+AP22)</f>
        <v>#VALUE!</v>
      </c>
      <c r="BO22" s="543"/>
      <c r="BP22" s="568" t="str">
        <f>IF(BO22&gt;=0.2,BK22-AR22-BO22,"")</f>
        <v/>
      </c>
      <c r="BT22" s="615" t="s">
        <v>6</v>
      </c>
      <c r="BU22" s="293" t="s">
        <v>71</v>
      </c>
      <c r="BV22" s="294">
        <f>AA22+AC22+AE22+AH22+AL22+AN22+AQ22</f>
        <v>0</v>
      </c>
      <c r="BW22" s="295" t="e">
        <f>ROUND(BV22/(BV22+BV23),2)</f>
        <v>#VALUE!</v>
      </c>
      <c r="BY22" s="615" t="s">
        <v>6</v>
      </c>
      <c r="BZ22" s="293" t="s">
        <v>71</v>
      </c>
      <c r="CA22" s="296">
        <f>AE22+AH22</f>
        <v>0</v>
      </c>
      <c r="CB22" s="295" t="e">
        <f>ROUND(CA22/(CA22+CA23),2)</f>
        <v>#VALUE!</v>
      </c>
    </row>
    <row r="23" spans="1:80" ht="27" customHeight="1">
      <c r="A23" s="718"/>
      <c r="B23" s="70" t="s">
        <v>72</v>
      </c>
      <c r="C23" s="238">
        <f t="shared" si="6"/>
        <v>0</v>
      </c>
      <c r="D23" s="238">
        <f t="shared" si="0"/>
        <v>0</v>
      </c>
      <c r="E23" s="69"/>
      <c r="F23" s="69"/>
      <c r="G23" s="69"/>
      <c r="H23" s="69"/>
      <c r="I23" s="69"/>
      <c r="J23" s="54"/>
      <c r="K23" s="54"/>
      <c r="L23" s="54"/>
      <c r="M23" s="310"/>
      <c r="N23" s="69"/>
      <c r="O23" s="69"/>
      <c r="P23" s="69"/>
      <c r="Q23" s="69"/>
      <c r="R23" s="69"/>
      <c r="S23" s="54"/>
      <c r="T23" s="54"/>
      <c r="U23" s="54"/>
      <c r="V23" s="313"/>
      <c r="W23" s="55">
        <f>SUM(J23:L23)</f>
        <v>0</v>
      </c>
      <c r="X23" s="634"/>
      <c r="Y23" s="55">
        <f>SUM(S23:U23)</f>
        <v>0</v>
      </c>
      <c r="Z23" s="637"/>
      <c r="AA23" s="724">
        <f>IF(C23+C24&lt;=90,1,0)+IF(D23+D24&lt;=90,1,0)</f>
        <v>2</v>
      </c>
      <c r="AB23" s="698"/>
      <c r="AC23" s="695">
        <f>AD22</f>
        <v>0</v>
      </c>
      <c r="AD23" s="698"/>
      <c r="AE23" s="648">
        <f>IF($W23+$W24&gt;0,1,0)+IF($Y23+$Y24&gt;0,1,0)</f>
        <v>0</v>
      </c>
      <c r="AF23" s="660"/>
      <c r="AG23" s="651"/>
      <c r="AH23" s="657" t="e">
        <f>AI22-AH22</f>
        <v>#VALUE!</v>
      </c>
      <c r="AI23" s="653"/>
      <c r="AJ23" s="547"/>
      <c r="AK23" s="702"/>
      <c r="AL23" s="358">
        <f>AM22-AL22</f>
        <v>0</v>
      </c>
      <c r="AM23" s="712"/>
      <c r="AN23" s="693"/>
      <c r="AO23" s="689"/>
      <c r="AP23" s="683"/>
      <c r="AQ23" s="685">
        <f>IFERROR(AP22*(ROUND((W23+W24+Y23+Y24)/(Z22+X22),1)),0)</f>
        <v>0</v>
      </c>
      <c r="AR23" s="547"/>
      <c r="AS23" s="670"/>
      <c r="AT23" s="670"/>
      <c r="AU23" s="626"/>
      <c r="AV23" s="626"/>
      <c r="AW23" s="626"/>
      <c r="AX23" s="629"/>
      <c r="AY23" s="623"/>
      <c r="AZ23" s="803"/>
      <c r="BA23" s="786"/>
      <c r="BB23" s="185"/>
      <c r="BD23" s="555"/>
      <c r="BE23" s="550"/>
      <c r="BF23" s="680" t="e">
        <v>#VALUE!</v>
      </c>
      <c r="BG23" s="563"/>
      <c r="BH23" s="560"/>
      <c r="BI23" s="553" t="e">
        <v>#VALUE!</v>
      </c>
      <c r="BJ23" s="557"/>
      <c r="BK23" s="547"/>
      <c r="BL23" s="547"/>
      <c r="BM23" s="547"/>
      <c r="BO23" s="544"/>
      <c r="BP23" s="566"/>
      <c r="BT23" s="616"/>
      <c r="BU23" s="612" t="s">
        <v>123</v>
      </c>
      <c r="BV23" s="860" t="e">
        <f>AA23+AC23+AE23+AH23+AL23+AQ23+AU22+AV22+AW22+AY22+AX22+AZ22</f>
        <v>#VALUE!</v>
      </c>
      <c r="BW23" s="614" t="e">
        <f>1-BW22</f>
        <v>#VALUE!</v>
      </c>
      <c r="BY23" s="616"/>
      <c r="BZ23" s="612" t="s">
        <v>123</v>
      </c>
      <c r="CA23" s="613" t="e">
        <f>AA23+AC23+AH23+AE23</f>
        <v>#VALUE!</v>
      </c>
      <c r="CB23" s="614" t="e">
        <f>ROUND(CA23/(CA22+CA23),2)</f>
        <v>#VALUE!</v>
      </c>
    </row>
    <row r="24" spans="1:80" ht="27" customHeight="1">
      <c r="A24" s="719"/>
      <c r="B24" s="70" t="s">
        <v>73</v>
      </c>
      <c r="C24" s="238">
        <f t="shared" si="6"/>
        <v>0</v>
      </c>
      <c r="D24" s="238">
        <f t="shared" si="0"/>
        <v>0</v>
      </c>
      <c r="E24" s="54"/>
      <c r="F24" s="54"/>
      <c r="G24" s="71"/>
      <c r="H24" s="54"/>
      <c r="I24" s="69"/>
      <c r="J24" s="69"/>
      <c r="K24" s="69"/>
      <c r="L24" s="69"/>
      <c r="M24" s="311"/>
      <c r="N24" s="54"/>
      <c r="O24" s="54"/>
      <c r="P24" s="71"/>
      <c r="Q24" s="54"/>
      <c r="R24" s="69"/>
      <c r="S24" s="69"/>
      <c r="T24" s="69"/>
      <c r="U24" s="69"/>
      <c r="V24" s="314"/>
      <c r="W24" s="56">
        <f>SUM(E24:F24,H24)</f>
        <v>0</v>
      </c>
      <c r="X24" s="720"/>
      <c r="Y24" s="55">
        <f>SUM(N24:O24,Q24)</f>
        <v>0</v>
      </c>
      <c r="Z24" s="716"/>
      <c r="AA24" s="725"/>
      <c r="AB24" s="699"/>
      <c r="AC24" s="696"/>
      <c r="AD24" s="699"/>
      <c r="AE24" s="649"/>
      <c r="AF24" s="662"/>
      <c r="AG24" s="687"/>
      <c r="AH24" s="658"/>
      <c r="AI24" s="656"/>
      <c r="AJ24" s="548"/>
      <c r="AK24" s="703"/>
      <c r="AL24" s="364"/>
      <c r="AM24" s="713"/>
      <c r="AN24" s="694"/>
      <c r="AO24" s="781"/>
      <c r="AP24" s="684"/>
      <c r="AQ24" s="686"/>
      <c r="AR24" s="548"/>
      <c r="AS24" s="671"/>
      <c r="AT24" s="671"/>
      <c r="AU24" s="627"/>
      <c r="AV24" s="627"/>
      <c r="AW24" s="627"/>
      <c r="AX24" s="630"/>
      <c r="AY24" s="624"/>
      <c r="AZ24" s="804"/>
      <c r="BA24" s="787"/>
      <c r="BB24" s="185"/>
      <c r="BD24" s="555"/>
      <c r="BE24" s="551"/>
      <c r="BF24" s="681" t="e">
        <v>#VALUE!</v>
      </c>
      <c r="BG24" s="564"/>
      <c r="BH24" s="561"/>
      <c r="BI24" s="554" t="e">
        <v>#VALUE!</v>
      </c>
      <c r="BJ24" s="558"/>
      <c r="BK24" s="548"/>
      <c r="BL24" s="548"/>
      <c r="BM24" s="548"/>
      <c r="BO24" s="545"/>
      <c r="BP24" s="567"/>
      <c r="BT24" s="617"/>
      <c r="BU24" s="612"/>
      <c r="BV24" s="861"/>
      <c r="BW24" s="614"/>
      <c r="BY24" s="617"/>
      <c r="BZ24" s="612"/>
      <c r="CA24" s="613"/>
      <c r="CB24" s="614"/>
    </row>
    <row r="25" spans="1:80" ht="27" customHeight="1">
      <c r="A25" s="717" t="s">
        <v>342</v>
      </c>
      <c r="B25" s="70" t="s">
        <v>71</v>
      </c>
      <c r="C25" s="237">
        <f t="shared" si="6"/>
        <v>0</v>
      </c>
      <c r="D25" s="237">
        <f t="shared" si="0"/>
        <v>0</v>
      </c>
      <c r="E25" s="69"/>
      <c r="F25" s="69"/>
      <c r="G25" s="69"/>
      <c r="H25" s="69"/>
      <c r="I25" s="54"/>
      <c r="J25" s="204"/>
      <c r="K25" s="54"/>
      <c r="L25" s="54"/>
      <c r="M25" s="310"/>
      <c r="N25" s="69"/>
      <c r="O25" s="69"/>
      <c r="P25" s="69"/>
      <c r="Q25" s="69"/>
      <c r="R25" s="54"/>
      <c r="S25" s="204"/>
      <c r="T25" s="54"/>
      <c r="U25" s="54"/>
      <c r="V25" s="313"/>
      <c r="W25" s="55">
        <f>SUM(I25:L25)</f>
        <v>0</v>
      </c>
      <c r="X25" s="633">
        <f>SUM(W25:W27)</f>
        <v>0</v>
      </c>
      <c r="Y25" s="55">
        <f>SUM(R25:U25)</f>
        <v>0</v>
      </c>
      <c r="Z25" s="636">
        <f>SUM(Y25:Y27)</f>
        <v>0</v>
      </c>
      <c r="AA25" s="192"/>
      <c r="AB25" s="697">
        <f t="shared" ref="AB25" si="27">AA26</f>
        <v>2</v>
      </c>
      <c r="AC25" s="359"/>
      <c r="AD25" s="697">
        <f>IF('様式１－１（【本園分】標準時間対応）'!BC19&gt;0,1,0)+IF('様式１－２（【分園分】標準時間対応）'!BC19&gt;0,1,0)</f>
        <v>0</v>
      </c>
      <c r="AE25" s="357">
        <f>IF($W25&gt;0,1,0)+IF($Y25&gt;0,1,0)</f>
        <v>0</v>
      </c>
      <c r="AF25" s="659" t="str">
        <f>VLOOKUP($A25,加算等適用状況!$A$14:$O$25,13,FALSE)</f>
        <v/>
      </c>
      <c r="AG25" s="650" t="str">
        <f>VLOOKUP($A25,加算等適用状況!$A$14:$O$25,15,FALSE)</f>
        <v>入力未了</v>
      </c>
      <c r="AH25" s="373">
        <f>参考_歳児別配置基準!Q64</f>
        <v>0</v>
      </c>
      <c r="AI25" s="652" t="str">
        <f>IF(AG25="入力完了",参考_歳児別配置基準!H64,AG25)</f>
        <v>入力未了</v>
      </c>
      <c r="AJ25" s="546" t="e">
        <f t="shared" ref="AJ25" si="28">AB25+AD25+AE25+AE26+AI25-AF25</f>
        <v>#VALUE!</v>
      </c>
      <c r="AK25" s="701" t="str">
        <f>IF(AG25="入力完了",参考_歳児別配置基準!U64+AB25+AD25+AE25+AE26-AF25,AG25)</f>
        <v>入力未了</v>
      </c>
      <c r="AL25" s="363">
        <f>IFERROR(ROUND(((W25+Y25)/(W25+Y25+W26+Y26))*AM25,1),0)</f>
        <v>0</v>
      </c>
      <c r="AM25" s="711">
        <f>IF(VLOOKUP($A25,加算等適用状況!$A$14:$O$25,4,FALSE)="○",VLOOKUP($A25,加算等適用状況!$A$14:$O$25,5,FALSE),0)</f>
        <v>0</v>
      </c>
      <c r="AN25" s="692">
        <f>IF(VLOOKUP($A25,加算等適用状況!$A$14:$O$25,11,FALSE)="○",1,0)</f>
        <v>0</v>
      </c>
      <c r="AO25" s="688" t="str">
        <f>VLOOKUP($A25,加算等適用状況!$A$14:$O$25,12,FALSE)</f>
        <v/>
      </c>
      <c r="AP25" s="682">
        <f>IF(AO25="専任",0,1)</f>
        <v>1</v>
      </c>
      <c r="AQ25" s="231">
        <f>IFERROR(AP25*(ROUND((W25+Y25)/(Z25+X25),1)),0)</f>
        <v>0</v>
      </c>
      <c r="AR25" s="546" t="e">
        <f t="shared" ref="AR25" si="29">AJ25+AM25+AN25+AP25</f>
        <v>#VALUE!</v>
      </c>
      <c r="AS25" s="669"/>
      <c r="AT25" s="669"/>
      <c r="AU25" s="625">
        <f>$AU$7</f>
        <v>0</v>
      </c>
      <c r="AV25" s="625">
        <f>SUM('様式１－１（【本園分】標準時間対応）'!BA19:BA20)</f>
        <v>0</v>
      </c>
      <c r="AW25" s="625">
        <f>SUM('様式１－２（【分園分】標準時間対応）'!BA19:BA20)</f>
        <v>0</v>
      </c>
      <c r="AX25" s="628">
        <f>2-AB25</f>
        <v>0</v>
      </c>
      <c r="AY25" s="622">
        <f>IF(OR(AND('様式１－１（【本園分】標準時間対応）'!J19&gt;0, '様式１－１（【本園分】標準時間対応）'!R19&gt;0), '様式１－１（【本園分】標準時間対応）'!BC19&gt;=ROUND((C26+C27)*0.3,0)),1,0) + IF(OR(AND('様式１－２（【分園分】標準時間対応）'!J19&gt;0, '様式１－２（【分園分】標準時間対応）'!R19&gt;0), '様式１－２（【分園分】標準時間対応）'!BC19&gt;=ROUND((D26+D27)*0.3,0)),1,0)</f>
        <v>2</v>
      </c>
      <c r="AZ25" s="802">
        <f t="shared" ref="AZ25" si="30">(ROUNDDOWN(J26/10,1)-ROUNDDOWN(J26/15,1))+(ROUNDDOWN(S26/10,1)-ROUNDDOWN(S26/15,1))</f>
        <v>0</v>
      </c>
      <c r="BA25" s="785" t="e">
        <f>SUM(AR25:AZ27)</f>
        <v>#VALUE!</v>
      </c>
      <c r="BB25" s="185"/>
      <c r="BD25" s="555"/>
      <c r="BE25" s="549">
        <f>'様式２（専従の常勤）'!M58</f>
        <v>0</v>
      </c>
      <c r="BF25" s="679">
        <f>COUNTIFS('様式３（非専従の常勤＋非常勤）'!$Z$8:$Z$37,"&gt;=1")+'様式２（専従の常勤）'!M70</f>
        <v>0</v>
      </c>
      <c r="BG25" s="562">
        <f>'様式３（非専従の常勤＋非常勤）'!$AA$41</f>
        <v>0</v>
      </c>
      <c r="BH25" s="559"/>
      <c r="BI25" s="552">
        <f>COUNTIFS('様式３（非専従の常勤＋非常勤）'!$Z$50:$Z$54,"&gt;=1")</f>
        <v>0</v>
      </c>
      <c r="BJ25" s="556">
        <f>ROUNDDOWN('様式３（非専従の常勤＋非常勤）'!$Z$57,1)</f>
        <v>0</v>
      </c>
      <c r="BK25" s="546">
        <f>BE25+BG25+IF((BH25+BJ25)&gt;=AM25,AM25,(BH25+BJ25))</f>
        <v>0</v>
      </c>
      <c r="BL25" s="546" t="e">
        <f>BK25-AR25</f>
        <v>#VALUE!</v>
      </c>
      <c r="BM25" s="546" t="e">
        <f>BK25-(AK25+AM25+AN25+AP25)</f>
        <v>#VALUE!</v>
      </c>
      <c r="BO25" s="543"/>
      <c r="BP25" s="568" t="str">
        <f>IF(BO25&gt;=0.2,BK25-AR25-BO25,"")</f>
        <v/>
      </c>
      <c r="BT25" s="615" t="s">
        <v>7</v>
      </c>
      <c r="BU25" s="293" t="s">
        <v>71</v>
      </c>
      <c r="BV25" s="294">
        <f>AA25+AC25+AE25+AH25+AL25+AN25+AQ25</f>
        <v>0</v>
      </c>
      <c r="BW25" s="295" t="e">
        <f>ROUND(BV25/(BV25+BV26),2)</f>
        <v>#VALUE!</v>
      </c>
      <c r="BY25" s="615" t="s">
        <v>7</v>
      </c>
      <c r="BZ25" s="293" t="s">
        <v>71</v>
      </c>
      <c r="CA25" s="296">
        <f>AE25+AH25</f>
        <v>0</v>
      </c>
      <c r="CB25" s="295" t="e">
        <f>ROUND(CA25/(CA25+CA26),2)</f>
        <v>#VALUE!</v>
      </c>
    </row>
    <row r="26" spans="1:80" ht="27" customHeight="1">
      <c r="A26" s="718"/>
      <c r="B26" s="70" t="s">
        <v>72</v>
      </c>
      <c r="C26" s="238">
        <f t="shared" si="6"/>
        <v>0</v>
      </c>
      <c r="D26" s="238">
        <f t="shared" si="0"/>
        <v>0</v>
      </c>
      <c r="E26" s="69"/>
      <c r="F26" s="69"/>
      <c r="G26" s="69"/>
      <c r="H26" s="69"/>
      <c r="I26" s="69"/>
      <c r="J26" s="54"/>
      <c r="K26" s="54"/>
      <c r="L26" s="54"/>
      <c r="M26" s="310"/>
      <c r="N26" s="69"/>
      <c r="O26" s="69"/>
      <c r="P26" s="69"/>
      <c r="Q26" s="69"/>
      <c r="R26" s="69"/>
      <c r="S26" s="54"/>
      <c r="T26" s="54"/>
      <c r="U26" s="54"/>
      <c r="V26" s="313"/>
      <c r="W26" s="55">
        <f>SUM(J26:L26)</f>
        <v>0</v>
      </c>
      <c r="X26" s="634"/>
      <c r="Y26" s="55">
        <f>SUM(S26:U26)</f>
        <v>0</v>
      </c>
      <c r="Z26" s="637"/>
      <c r="AA26" s="724">
        <f>IF(C26+C27&lt;=90,1,0)+IF(D26+D27&lt;=90,1,0)</f>
        <v>2</v>
      </c>
      <c r="AB26" s="698"/>
      <c r="AC26" s="695">
        <f>AD25</f>
        <v>0</v>
      </c>
      <c r="AD26" s="698"/>
      <c r="AE26" s="648">
        <f>IF($W26+$W27&gt;0,1,0)+IF($Y26+$Y27&gt;0,1,0)</f>
        <v>0</v>
      </c>
      <c r="AF26" s="660"/>
      <c r="AG26" s="651"/>
      <c r="AH26" s="657" t="e">
        <f>AI25-AH25</f>
        <v>#VALUE!</v>
      </c>
      <c r="AI26" s="653"/>
      <c r="AJ26" s="547"/>
      <c r="AK26" s="702"/>
      <c r="AL26" s="358">
        <f>AM25-AL25</f>
        <v>0</v>
      </c>
      <c r="AM26" s="712"/>
      <c r="AN26" s="693"/>
      <c r="AO26" s="689"/>
      <c r="AP26" s="683"/>
      <c r="AQ26" s="685">
        <f>IFERROR(AP25*(ROUND((W26+W27+Y26+Y27)/(Z25+X25),1)),0)</f>
        <v>0</v>
      </c>
      <c r="AR26" s="547"/>
      <c r="AS26" s="670"/>
      <c r="AT26" s="670"/>
      <c r="AU26" s="626"/>
      <c r="AV26" s="626"/>
      <c r="AW26" s="626"/>
      <c r="AX26" s="629"/>
      <c r="AY26" s="623"/>
      <c r="AZ26" s="803"/>
      <c r="BA26" s="786"/>
      <c r="BB26" s="185"/>
      <c r="BD26" s="555"/>
      <c r="BE26" s="550"/>
      <c r="BF26" s="680" t="e">
        <v>#VALUE!</v>
      </c>
      <c r="BG26" s="563"/>
      <c r="BH26" s="560"/>
      <c r="BI26" s="553" t="e">
        <v>#VALUE!</v>
      </c>
      <c r="BJ26" s="557"/>
      <c r="BK26" s="547"/>
      <c r="BL26" s="547"/>
      <c r="BM26" s="547"/>
      <c r="BO26" s="544"/>
      <c r="BP26" s="566"/>
      <c r="BT26" s="616"/>
      <c r="BU26" s="612" t="s">
        <v>123</v>
      </c>
      <c r="BV26" s="860" t="e">
        <f>AA26+AC26+AE26+AH26+AL26+AQ26+AU25+AV25+AW25+AY25+AX25+AZ25</f>
        <v>#VALUE!</v>
      </c>
      <c r="BW26" s="614" t="e">
        <f>1-BW25</f>
        <v>#VALUE!</v>
      </c>
      <c r="BY26" s="616"/>
      <c r="BZ26" s="612" t="s">
        <v>123</v>
      </c>
      <c r="CA26" s="613" t="e">
        <f>AA26+AC26+AH26+AE26</f>
        <v>#VALUE!</v>
      </c>
      <c r="CB26" s="614" t="e">
        <f t="shared" ref="CB26" si="31">ROUND(CA26/(CA25+CA26),2)</f>
        <v>#VALUE!</v>
      </c>
    </row>
    <row r="27" spans="1:80" ht="27" customHeight="1">
      <c r="A27" s="719"/>
      <c r="B27" s="70" t="s">
        <v>73</v>
      </c>
      <c r="C27" s="238">
        <f t="shared" si="6"/>
        <v>0</v>
      </c>
      <c r="D27" s="238">
        <f t="shared" si="0"/>
        <v>0</v>
      </c>
      <c r="E27" s="54"/>
      <c r="F27" s="54"/>
      <c r="G27" s="71"/>
      <c r="H27" s="54"/>
      <c r="I27" s="69"/>
      <c r="J27" s="69"/>
      <c r="K27" s="69"/>
      <c r="L27" s="69"/>
      <c r="M27" s="310"/>
      <c r="N27" s="54"/>
      <c r="O27" s="54"/>
      <c r="P27" s="71"/>
      <c r="Q27" s="54"/>
      <c r="R27" s="69"/>
      <c r="S27" s="69"/>
      <c r="T27" s="69"/>
      <c r="U27" s="69"/>
      <c r="V27" s="313"/>
      <c r="W27" s="55">
        <f>SUM(E27:F27,H27)</f>
        <v>0</v>
      </c>
      <c r="X27" s="720"/>
      <c r="Y27" s="55">
        <f>SUM(N27:O27,Q27)</f>
        <v>0</v>
      </c>
      <c r="Z27" s="716"/>
      <c r="AA27" s="725"/>
      <c r="AB27" s="699"/>
      <c r="AC27" s="696"/>
      <c r="AD27" s="699"/>
      <c r="AE27" s="649"/>
      <c r="AF27" s="662"/>
      <c r="AG27" s="687"/>
      <c r="AH27" s="658"/>
      <c r="AI27" s="656"/>
      <c r="AJ27" s="548"/>
      <c r="AK27" s="703"/>
      <c r="AL27" s="364"/>
      <c r="AM27" s="713"/>
      <c r="AN27" s="694"/>
      <c r="AO27" s="781"/>
      <c r="AP27" s="684"/>
      <c r="AQ27" s="686"/>
      <c r="AR27" s="548"/>
      <c r="AS27" s="671"/>
      <c r="AT27" s="671"/>
      <c r="AU27" s="627"/>
      <c r="AV27" s="627"/>
      <c r="AW27" s="627"/>
      <c r="AX27" s="630"/>
      <c r="AY27" s="624"/>
      <c r="AZ27" s="804"/>
      <c r="BA27" s="787"/>
      <c r="BB27" s="185"/>
      <c r="BD27" s="555"/>
      <c r="BE27" s="551"/>
      <c r="BF27" s="681" t="e">
        <v>#VALUE!</v>
      </c>
      <c r="BG27" s="564"/>
      <c r="BH27" s="561"/>
      <c r="BI27" s="554" t="e">
        <v>#VALUE!</v>
      </c>
      <c r="BJ27" s="558"/>
      <c r="BK27" s="548"/>
      <c r="BL27" s="548"/>
      <c r="BM27" s="548"/>
      <c r="BO27" s="545"/>
      <c r="BP27" s="567"/>
      <c r="BT27" s="617"/>
      <c r="BU27" s="612"/>
      <c r="BV27" s="861"/>
      <c r="BW27" s="614"/>
      <c r="BY27" s="617"/>
      <c r="BZ27" s="612"/>
      <c r="CA27" s="613"/>
      <c r="CB27" s="614"/>
    </row>
    <row r="28" spans="1:80" ht="27" customHeight="1">
      <c r="A28" s="717" t="s">
        <v>343</v>
      </c>
      <c r="B28" s="70" t="s">
        <v>71</v>
      </c>
      <c r="C28" s="237">
        <f t="shared" si="6"/>
        <v>0</v>
      </c>
      <c r="D28" s="237">
        <f t="shared" si="0"/>
        <v>0</v>
      </c>
      <c r="E28" s="69"/>
      <c r="F28" s="69"/>
      <c r="G28" s="69"/>
      <c r="H28" s="69"/>
      <c r="I28" s="54"/>
      <c r="J28" s="204"/>
      <c r="K28" s="54"/>
      <c r="L28" s="54"/>
      <c r="M28" s="310"/>
      <c r="N28" s="69"/>
      <c r="O28" s="69"/>
      <c r="P28" s="69"/>
      <c r="Q28" s="69"/>
      <c r="R28" s="54"/>
      <c r="S28" s="204"/>
      <c r="T28" s="54"/>
      <c r="U28" s="54"/>
      <c r="V28" s="313"/>
      <c r="W28" s="55">
        <f>SUM(I28:L28)</f>
        <v>0</v>
      </c>
      <c r="X28" s="633">
        <f>SUM(W28:W30)</f>
        <v>0</v>
      </c>
      <c r="Y28" s="55">
        <f>SUM(R28:U28)</f>
        <v>0</v>
      </c>
      <c r="Z28" s="636">
        <f>SUM(Y28:Y30)</f>
        <v>0</v>
      </c>
      <c r="AA28" s="192"/>
      <c r="AB28" s="697">
        <f t="shared" ref="AB28" si="32">AA29</f>
        <v>2</v>
      </c>
      <c r="AC28" s="359"/>
      <c r="AD28" s="697">
        <f>IF('様式１－１（【本園分】標準時間対応）'!BC21&gt;0,1,0)+IF('様式１－２（【分園分】標準時間対応）'!BC21&gt;0,1,0)</f>
        <v>0</v>
      </c>
      <c r="AE28" s="357">
        <f>IF($W28&gt;0,1,0)+IF($Y28&gt;0,1,0)</f>
        <v>0</v>
      </c>
      <c r="AF28" s="659" t="str">
        <f>VLOOKUP($A28,加算等適用状況!$A$14:$O$25,13,FALSE)</f>
        <v/>
      </c>
      <c r="AG28" s="650" t="str">
        <f>VLOOKUP($A28,加算等適用状況!$A$14:$O$25,15,FALSE)</f>
        <v>入力未了</v>
      </c>
      <c r="AH28" s="373">
        <f>参考_歳児別配置基準!Q74</f>
        <v>0</v>
      </c>
      <c r="AI28" s="652" t="str">
        <f>IF(AG28="入力完了",参考_歳児別配置基準!H74,AG28)</f>
        <v>入力未了</v>
      </c>
      <c r="AJ28" s="546" t="e">
        <f t="shared" ref="AJ28" si="33">AB28+AD28+AE28+AE29+AI28-AF28</f>
        <v>#VALUE!</v>
      </c>
      <c r="AK28" s="701" t="str">
        <f>IF(AG28="入力完了",参考_歳児別配置基準!U74+AB28+AD28+AE28+AE29-AF28,AG28)</f>
        <v>入力未了</v>
      </c>
      <c r="AL28" s="363">
        <f>IFERROR(ROUND(((W28+Y28)/(W28+Y28+W29+Y29))*AM28,1),0)</f>
        <v>0</v>
      </c>
      <c r="AM28" s="711">
        <f>IF(VLOOKUP($A28,加算等適用状況!$A$14:$O$25,4,FALSE)="○",VLOOKUP($A28,加算等適用状況!$A$14:$O$25,5,FALSE),0)</f>
        <v>0</v>
      </c>
      <c r="AN28" s="692">
        <f>IF(VLOOKUP($A28,加算等適用状況!$A$14:$O$25,11,FALSE)="○",1,0)</f>
        <v>0</v>
      </c>
      <c r="AO28" s="688" t="str">
        <f>VLOOKUP($A28,加算等適用状況!$A$14:$O$25,12,FALSE)</f>
        <v/>
      </c>
      <c r="AP28" s="682">
        <f>IF(AO28="専任",0,1)</f>
        <v>1</v>
      </c>
      <c r="AQ28" s="231">
        <f>IFERROR(AP28*(ROUND((W28+Y28)/(Z28+X28),1)),0)</f>
        <v>0</v>
      </c>
      <c r="AR28" s="546" t="e">
        <f t="shared" ref="AR28" si="34">AJ28+AM28+AN28+AP28</f>
        <v>#VALUE!</v>
      </c>
      <c r="AS28" s="669"/>
      <c r="AT28" s="669"/>
      <c r="AU28" s="625">
        <f>$AU$7</f>
        <v>0</v>
      </c>
      <c r="AV28" s="625">
        <f>SUM('様式１－１（【本園分】標準時間対応）'!BA21:BA22)</f>
        <v>0</v>
      </c>
      <c r="AW28" s="625">
        <f>SUM('様式１－２（【分園分】標準時間対応）'!BA21:BA22)</f>
        <v>0</v>
      </c>
      <c r="AX28" s="628">
        <f>2-AB28</f>
        <v>0</v>
      </c>
      <c r="AY28" s="622">
        <f>IF(OR(AND('様式１－１（【本園分】標準時間対応）'!J21&gt;0, '様式１－１（【本園分】標準時間対応）'!R21&gt;0), '様式１－１（【本園分】標準時間対応）'!BC21&gt;=ROUND((C29+C30)*0.3,0)),1,0) + IF(OR(AND('様式１－２（【分園分】標準時間対応）'!J21&gt;0, '様式１－２（【分園分】標準時間対応）'!R21&gt;0), '様式１－２（【分園分】標準時間対応）'!BC21&gt;=ROUND((D29+D30)*0.3,0)),1,0)</f>
        <v>2</v>
      </c>
      <c r="AZ28" s="802">
        <f t="shared" ref="AZ28" si="35">(ROUNDDOWN(J29/10,1)-ROUNDDOWN(J29/15,1))+(ROUNDDOWN(S29/10,1)-ROUNDDOWN(S29/15,1))</f>
        <v>0</v>
      </c>
      <c r="BA28" s="785" t="e">
        <f>SUM(AR28:AZ30)</f>
        <v>#VALUE!</v>
      </c>
      <c r="BB28" s="185"/>
      <c r="BD28" s="555"/>
      <c r="BE28" s="549">
        <f>'様式２（専従の常勤）'!N58</f>
        <v>0</v>
      </c>
      <c r="BF28" s="679">
        <f>COUNTIFS('様式３（非専従の常勤＋非常勤）'!$AB$8:$AB$37,"&gt;=1")+'様式２（専従の常勤）'!N70</f>
        <v>0</v>
      </c>
      <c r="BG28" s="562">
        <f>'様式３（非専従の常勤＋非常勤）'!$AC$41</f>
        <v>0</v>
      </c>
      <c r="BH28" s="559"/>
      <c r="BI28" s="552">
        <f>COUNTIFS('様式３（非専従の常勤＋非常勤）'!$AB$50:$AB$54,"&gt;=1")</f>
        <v>0</v>
      </c>
      <c r="BJ28" s="556">
        <f>ROUNDDOWN('様式３（非専従の常勤＋非常勤）'!$AB$57,1)</f>
        <v>0</v>
      </c>
      <c r="BK28" s="546">
        <f>BE28+BG28+IF((BH28+BJ28)&gt;=AM28,AM28,(BH28+BJ28))</f>
        <v>0</v>
      </c>
      <c r="BL28" s="546" t="e">
        <f>BK28-AR28</f>
        <v>#VALUE!</v>
      </c>
      <c r="BM28" s="546" t="e">
        <f>BK28-(AK28+AM28+AN28+AP28)</f>
        <v>#VALUE!</v>
      </c>
      <c r="BO28" s="543"/>
      <c r="BP28" s="568" t="str">
        <f>IF(BO28&gt;=0.2,BK28-AR28-BO28,"")</f>
        <v/>
      </c>
      <c r="BT28" s="615" t="s">
        <v>8</v>
      </c>
      <c r="BU28" s="293" t="s">
        <v>71</v>
      </c>
      <c r="BV28" s="294">
        <f>AA28+AC28+AE28+AH28+AL28+AN28+AQ28</f>
        <v>0</v>
      </c>
      <c r="BW28" s="295" t="e">
        <f>ROUND(BV28/(BV28+BV29),2)</f>
        <v>#VALUE!</v>
      </c>
      <c r="BY28" s="615" t="s">
        <v>8</v>
      </c>
      <c r="BZ28" s="293" t="s">
        <v>71</v>
      </c>
      <c r="CA28" s="296">
        <f>AE28+AH28</f>
        <v>0</v>
      </c>
      <c r="CB28" s="295" t="e">
        <f>ROUND(CA28/(CA28+CA29),2)</f>
        <v>#VALUE!</v>
      </c>
    </row>
    <row r="29" spans="1:80" ht="27" customHeight="1">
      <c r="A29" s="718"/>
      <c r="B29" s="70" t="s">
        <v>72</v>
      </c>
      <c r="C29" s="238">
        <f t="shared" si="6"/>
        <v>0</v>
      </c>
      <c r="D29" s="238">
        <f t="shared" si="0"/>
        <v>0</v>
      </c>
      <c r="E29" s="69"/>
      <c r="F29" s="69"/>
      <c r="G29" s="69"/>
      <c r="H29" s="69"/>
      <c r="I29" s="69"/>
      <c r="J29" s="54"/>
      <c r="K29" s="54"/>
      <c r="L29" s="54"/>
      <c r="M29" s="310"/>
      <c r="N29" s="69"/>
      <c r="O29" s="69"/>
      <c r="P29" s="69"/>
      <c r="Q29" s="69"/>
      <c r="R29" s="69"/>
      <c r="S29" s="54"/>
      <c r="T29" s="54"/>
      <c r="U29" s="54"/>
      <c r="V29" s="313"/>
      <c r="W29" s="55">
        <f>SUM(J29:L29)</f>
        <v>0</v>
      </c>
      <c r="X29" s="634"/>
      <c r="Y29" s="55">
        <f>SUM(S29:U29)</f>
        <v>0</v>
      </c>
      <c r="Z29" s="637"/>
      <c r="AA29" s="724">
        <f>IF(C29+C30&lt;=90,1,0)+IF(D29+D30&lt;=90,1,0)</f>
        <v>2</v>
      </c>
      <c r="AB29" s="698"/>
      <c r="AC29" s="695">
        <f>AD28</f>
        <v>0</v>
      </c>
      <c r="AD29" s="698"/>
      <c r="AE29" s="648">
        <f>IF($W29+$W30&gt;0,1,0)+IF($Y29+$Y30&gt;0,1,0)</f>
        <v>0</v>
      </c>
      <c r="AF29" s="660"/>
      <c r="AG29" s="651"/>
      <c r="AH29" s="657" t="e">
        <f>AI28-AH28</f>
        <v>#VALUE!</v>
      </c>
      <c r="AI29" s="653"/>
      <c r="AJ29" s="547"/>
      <c r="AK29" s="702"/>
      <c r="AL29" s="358">
        <f>AM28-AL28</f>
        <v>0</v>
      </c>
      <c r="AM29" s="712"/>
      <c r="AN29" s="693"/>
      <c r="AO29" s="689"/>
      <c r="AP29" s="683"/>
      <c r="AQ29" s="685">
        <f>IFERROR(AP28*(ROUND((W29+W30+Y29+Y30)/(Z28+X28),1)),0)</f>
        <v>0</v>
      </c>
      <c r="AR29" s="547"/>
      <c r="AS29" s="670"/>
      <c r="AT29" s="670"/>
      <c r="AU29" s="626"/>
      <c r="AV29" s="626"/>
      <c r="AW29" s="626"/>
      <c r="AX29" s="629"/>
      <c r="AY29" s="623"/>
      <c r="AZ29" s="803"/>
      <c r="BA29" s="786"/>
      <c r="BB29" s="185"/>
      <c r="BD29" s="555"/>
      <c r="BE29" s="550"/>
      <c r="BF29" s="680" t="e">
        <v>#VALUE!</v>
      </c>
      <c r="BG29" s="563"/>
      <c r="BH29" s="560"/>
      <c r="BI29" s="553" t="e">
        <v>#VALUE!</v>
      </c>
      <c r="BJ29" s="557"/>
      <c r="BK29" s="547"/>
      <c r="BL29" s="547"/>
      <c r="BM29" s="547"/>
      <c r="BO29" s="544"/>
      <c r="BP29" s="566"/>
      <c r="BT29" s="616"/>
      <c r="BU29" s="612" t="s">
        <v>123</v>
      </c>
      <c r="BV29" s="860" t="e">
        <f>AA29+AC29+AE29+AH29+AL29+AQ29+AU28+AV28+AW28+AY28+AX28+AZ28</f>
        <v>#VALUE!</v>
      </c>
      <c r="BW29" s="614" t="e">
        <f>1-BW28</f>
        <v>#VALUE!</v>
      </c>
      <c r="BY29" s="616"/>
      <c r="BZ29" s="612" t="s">
        <v>123</v>
      </c>
      <c r="CA29" s="613" t="e">
        <f>AA29+AC29+AH29+AE29</f>
        <v>#VALUE!</v>
      </c>
      <c r="CB29" s="614" t="e">
        <f t="shared" ref="CB29" si="36">ROUND(CA29/(CA28+CA29),2)</f>
        <v>#VALUE!</v>
      </c>
    </row>
    <row r="30" spans="1:80" ht="27" customHeight="1">
      <c r="A30" s="719"/>
      <c r="B30" s="70" t="s">
        <v>73</v>
      </c>
      <c r="C30" s="238">
        <f t="shared" si="6"/>
        <v>0</v>
      </c>
      <c r="D30" s="238">
        <f t="shared" si="0"/>
        <v>0</v>
      </c>
      <c r="E30" s="54"/>
      <c r="F30" s="54"/>
      <c r="G30" s="71"/>
      <c r="H30" s="54"/>
      <c r="I30" s="69"/>
      <c r="J30" s="69"/>
      <c r="K30" s="69"/>
      <c r="L30" s="69"/>
      <c r="M30" s="310"/>
      <c r="N30" s="54"/>
      <c r="O30" s="54"/>
      <c r="P30" s="71"/>
      <c r="Q30" s="54"/>
      <c r="R30" s="69"/>
      <c r="S30" s="69"/>
      <c r="T30" s="69"/>
      <c r="U30" s="69"/>
      <c r="V30" s="313"/>
      <c r="W30" s="55">
        <f>SUM(E30:F30,H30)</f>
        <v>0</v>
      </c>
      <c r="X30" s="720"/>
      <c r="Y30" s="55">
        <f>SUM(N30:O30,Q30)</f>
        <v>0</v>
      </c>
      <c r="Z30" s="716"/>
      <c r="AA30" s="725"/>
      <c r="AB30" s="699"/>
      <c r="AC30" s="696"/>
      <c r="AD30" s="699"/>
      <c r="AE30" s="649"/>
      <c r="AF30" s="662"/>
      <c r="AG30" s="687"/>
      <c r="AH30" s="658"/>
      <c r="AI30" s="656"/>
      <c r="AJ30" s="548"/>
      <c r="AK30" s="703"/>
      <c r="AL30" s="364"/>
      <c r="AM30" s="713"/>
      <c r="AN30" s="694"/>
      <c r="AO30" s="781"/>
      <c r="AP30" s="684"/>
      <c r="AQ30" s="686"/>
      <c r="AR30" s="548"/>
      <c r="AS30" s="671"/>
      <c r="AT30" s="671"/>
      <c r="AU30" s="627"/>
      <c r="AV30" s="627"/>
      <c r="AW30" s="627"/>
      <c r="AX30" s="630"/>
      <c r="AY30" s="624"/>
      <c r="AZ30" s="804"/>
      <c r="BA30" s="787"/>
      <c r="BB30" s="185"/>
      <c r="BD30" s="555"/>
      <c r="BE30" s="551"/>
      <c r="BF30" s="681" t="e">
        <v>#VALUE!</v>
      </c>
      <c r="BG30" s="564"/>
      <c r="BH30" s="561"/>
      <c r="BI30" s="554" t="e">
        <v>#VALUE!</v>
      </c>
      <c r="BJ30" s="558"/>
      <c r="BK30" s="548"/>
      <c r="BL30" s="548"/>
      <c r="BM30" s="548"/>
      <c r="BO30" s="545"/>
      <c r="BP30" s="567"/>
      <c r="BT30" s="617"/>
      <c r="BU30" s="612"/>
      <c r="BV30" s="861"/>
      <c r="BW30" s="614"/>
      <c r="BY30" s="617"/>
      <c r="BZ30" s="612"/>
      <c r="CA30" s="613"/>
      <c r="CB30" s="614"/>
    </row>
    <row r="31" spans="1:80" ht="27" customHeight="1">
      <c r="A31" s="717" t="s">
        <v>344</v>
      </c>
      <c r="B31" s="70" t="s">
        <v>71</v>
      </c>
      <c r="C31" s="237">
        <f t="shared" si="6"/>
        <v>0</v>
      </c>
      <c r="D31" s="237">
        <f t="shared" si="0"/>
        <v>0</v>
      </c>
      <c r="E31" s="69"/>
      <c r="F31" s="69"/>
      <c r="G31" s="69"/>
      <c r="H31" s="69"/>
      <c r="I31" s="54"/>
      <c r="J31" s="204"/>
      <c r="K31" s="54"/>
      <c r="L31" s="54"/>
      <c r="M31" s="310"/>
      <c r="N31" s="69"/>
      <c r="O31" s="69"/>
      <c r="P31" s="69"/>
      <c r="Q31" s="69"/>
      <c r="R31" s="54"/>
      <c r="S31" s="204"/>
      <c r="T31" s="54"/>
      <c r="U31" s="54"/>
      <c r="V31" s="313"/>
      <c r="W31" s="55">
        <f>SUM(I31:L31)</f>
        <v>0</v>
      </c>
      <c r="X31" s="633">
        <f>SUM(W31:W33)</f>
        <v>0</v>
      </c>
      <c r="Y31" s="55">
        <f>SUM(R31:U31)</f>
        <v>0</v>
      </c>
      <c r="Z31" s="636">
        <f>SUM(Y31:Y33)</f>
        <v>0</v>
      </c>
      <c r="AA31" s="192"/>
      <c r="AB31" s="697">
        <f t="shared" ref="AB31" si="37">AA32</f>
        <v>2</v>
      </c>
      <c r="AC31" s="359"/>
      <c r="AD31" s="697">
        <f>IF('様式１－１（【本園分】標準時間対応）'!BC23&gt;0,1,0)+IF('様式１－２（【分園分】標準時間対応）'!BC23&gt;0,1,0)</f>
        <v>0</v>
      </c>
      <c r="AE31" s="357">
        <f>IF($W31&gt;0,1,0)+IF($Y31&gt;0,1,0)</f>
        <v>0</v>
      </c>
      <c r="AF31" s="659" t="str">
        <f>VLOOKUP($A31,加算等適用状況!$A$14:$O$25,13,FALSE)</f>
        <v/>
      </c>
      <c r="AG31" s="650" t="str">
        <f>VLOOKUP($A31,加算等適用状況!$A$14:$O$25,15,FALSE)</f>
        <v>入力未了</v>
      </c>
      <c r="AH31" s="373">
        <f>参考_歳児別配置基準!Q84</f>
        <v>0</v>
      </c>
      <c r="AI31" s="652" t="str">
        <f>IF(AG31="入力完了",参考_歳児別配置基準!H84,AG31)</f>
        <v>入力未了</v>
      </c>
      <c r="AJ31" s="546" t="e">
        <f t="shared" ref="AJ31" si="38">AB31+AD31+AE31+AE32+AI31-AF31</f>
        <v>#VALUE!</v>
      </c>
      <c r="AK31" s="701" t="str">
        <f>IF(AG31="入力完了",参考_歳児別配置基準!U84+AB31+AD31+AE31+AE32-AF31,AG31)</f>
        <v>入力未了</v>
      </c>
      <c r="AL31" s="363">
        <f>IFERROR(ROUND(((W31+Y31)/(W31+Y31+W32+Y32))*AM31,1),0)</f>
        <v>0</v>
      </c>
      <c r="AM31" s="711">
        <f>IF(VLOOKUP($A31,加算等適用状況!$A$14:$O$25,4,FALSE)="○",VLOOKUP($A31,加算等適用状況!$A$14:$O$25,5,FALSE),0)</f>
        <v>0</v>
      </c>
      <c r="AN31" s="692">
        <f>IF(VLOOKUP($A31,加算等適用状況!$A$14:$O$25,11,FALSE)="○",1,0)</f>
        <v>0</v>
      </c>
      <c r="AO31" s="688" t="str">
        <f>VLOOKUP($A31,加算等適用状況!$A$14:$O$25,12,FALSE)</f>
        <v/>
      </c>
      <c r="AP31" s="682">
        <f>IF(AO31="専任",0,1)</f>
        <v>1</v>
      </c>
      <c r="AQ31" s="231">
        <f>IFERROR(AP31*(ROUND((W31+Y31)/(Z31+X31),1)),0)</f>
        <v>0</v>
      </c>
      <c r="AR31" s="546" t="e">
        <f t="shared" ref="AR31" si="39">AJ31+AM31+AN31+AP31</f>
        <v>#VALUE!</v>
      </c>
      <c r="AS31" s="669"/>
      <c r="AT31" s="669"/>
      <c r="AU31" s="625">
        <f>$AU$7</f>
        <v>0</v>
      </c>
      <c r="AV31" s="625">
        <f>SUM('様式１－１（【本園分】標準時間対応）'!BA23:BA24)</f>
        <v>0</v>
      </c>
      <c r="AW31" s="625">
        <f>SUM('様式１－２（【分園分】標準時間対応）'!BA23:BA24)</f>
        <v>0</v>
      </c>
      <c r="AX31" s="628">
        <f>2-AB31</f>
        <v>0</v>
      </c>
      <c r="AY31" s="622">
        <f>IF(OR(AND('様式１－１（【本園分】標準時間対応）'!J23&gt;0, '様式１－１（【本園分】標準時間対応）'!R23&gt;0), '様式１－１（【本園分】標準時間対応）'!BC23&gt;=ROUND((C32+C33)*0.3,0)),1,0) + IF(OR(AND('様式１－２（【分園分】標準時間対応）'!J23&gt;0, '様式１－２（【分園分】標準時間対応）'!R23&gt;0), '様式１－２（【分園分】標準時間対応）'!BC23&gt;=ROUND((D32+D33)*0.3,0)),1,0)</f>
        <v>2</v>
      </c>
      <c r="AZ31" s="802">
        <f t="shared" ref="AZ31" si="40">(ROUNDDOWN(J32/10,1)-ROUNDDOWN(J32/15,1))+(ROUNDDOWN(S32/10,1)-ROUNDDOWN(S32/15,1))</f>
        <v>0</v>
      </c>
      <c r="BA31" s="785" t="e">
        <f>SUM(AR31:AZ33)</f>
        <v>#VALUE!</v>
      </c>
      <c r="BB31" s="185"/>
      <c r="BD31" s="555"/>
      <c r="BE31" s="549">
        <f>'様式２（専従の常勤）'!O58</f>
        <v>0</v>
      </c>
      <c r="BF31" s="679">
        <f>COUNTIFS('様式３（非専従の常勤＋非常勤）'!$AD$8:$AD$37,"&gt;=1")+'様式２（専従の常勤）'!O70</f>
        <v>0</v>
      </c>
      <c r="BG31" s="562">
        <f>'様式３（非専従の常勤＋非常勤）'!$AE$41</f>
        <v>0</v>
      </c>
      <c r="BH31" s="559"/>
      <c r="BI31" s="552">
        <f>COUNTIFS('様式３（非専従の常勤＋非常勤）'!$AD$50:$AD$54,"&gt;=1")</f>
        <v>0</v>
      </c>
      <c r="BJ31" s="556">
        <f>ROUNDDOWN('様式３（非専従の常勤＋非常勤）'!$AD$57,1)</f>
        <v>0</v>
      </c>
      <c r="BK31" s="546">
        <f>BE31+BG31+IF((BH31+BJ31)&gt;=AM31,AM31,(BH31+BJ31))</f>
        <v>0</v>
      </c>
      <c r="BL31" s="546" t="e">
        <f>BK31-AR31</f>
        <v>#VALUE!</v>
      </c>
      <c r="BM31" s="546" t="e">
        <f>BK31-(AK31+AM31+AN31+AP31)</f>
        <v>#VALUE!</v>
      </c>
      <c r="BO31" s="543"/>
      <c r="BP31" s="568" t="str">
        <f>IF(BO31&gt;=0.2,BK31-AR31-BO31,"")</f>
        <v/>
      </c>
      <c r="BT31" s="615" t="s">
        <v>9</v>
      </c>
      <c r="BU31" s="293" t="s">
        <v>71</v>
      </c>
      <c r="BV31" s="294">
        <f>AA31+AC31+AE31+AH31+AL31+AN31+AQ31</f>
        <v>0</v>
      </c>
      <c r="BW31" s="295" t="e">
        <f>ROUND(BV31/(BV31+BV32),2)</f>
        <v>#VALUE!</v>
      </c>
      <c r="BY31" s="615" t="s">
        <v>9</v>
      </c>
      <c r="BZ31" s="293" t="s">
        <v>71</v>
      </c>
      <c r="CA31" s="296">
        <f>AE31+AH31</f>
        <v>0</v>
      </c>
      <c r="CB31" s="295" t="e">
        <f t="shared" ref="CB31" si="41">ROUND(CA31/(CA31+CA32),2)</f>
        <v>#VALUE!</v>
      </c>
    </row>
    <row r="32" spans="1:80" ht="27" customHeight="1">
      <c r="A32" s="718"/>
      <c r="B32" s="70" t="s">
        <v>72</v>
      </c>
      <c r="C32" s="238">
        <f t="shared" si="6"/>
        <v>0</v>
      </c>
      <c r="D32" s="238">
        <f t="shared" si="0"/>
        <v>0</v>
      </c>
      <c r="E32" s="69"/>
      <c r="F32" s="69"/>
      <c r="G32" s="69"/>
      <c r="H32" s="69"/>
      <c r="I32" s="69"/>
      <c r="J32" s="54"/>
      <c r="K32" s="54"/>
      <c r="L32" s="54"/>
      <c r="M32" s="310"/>
      <c r="N32" s="69"/>
      <c r="O32" s="69"/>
      <c r="P32" s="69"/>
      <c r="Q32" s="69"/>
      <c r="R32" s="69"/>
      <c r="S32" s="54"/>
      <c r="T32" s="54"/>
      <c r="U32" s="54"/>
      <c r="V32" s="313"/>
      <c r="W32" s="55">
        <f>SUM(J32:L32)</f>
        <v>0</v>
      </c>
      <c r="X32" s="634"/>
      <c r="Y32" s="55">
        <f>SUM(S32:U32)</f>
        <v>0</v>
      </c>
      <c r="Z32" s="637"/>
      <c r="AA32" s="724">
        <f>IF(C32+C33&lt;=90,1,0)+IF(D32+D33&lt;=90,1,0)</f>
        <v>2</v>
      </c>
      <c r="AB32" s="698"/>
      <c r="AC32" s="695">
        <f>AD31</f>
        <v>0</v>
      </c>
      <c r="AD32" s="698"/>
      <c r="AE32" s="648">
        <f>IF($W32+$W33&gt;0,1,0)+IF($Y32+$Y33&gt;0,1,0)</f>
        <v>0</v>
      </c>
      <c r="AF32" s="660"/>
      <c r="AG32" s="651"/>
      <c r="AH32" s="657" t="e">
        <f>AI31-AH31</f>
        <v>#VALUE!</v>
      </c>
      <c r="AI32" s="653"/>
      <c r="AJ32" s="547"/>
      <c r="AK32" s="702"/>
      <c r="AL32" s="358">
        <f>AM31-AL31</f>
        <v>0</v>
      </c>
      <c r="AM32" s="712"/>
      <c r="AN32" s="693"/>
      <c r="AO32" s="689"/>
      <c r="AP32" s="683"/>
      <c r="AQ32" s="685">
        <f>IFERROR(AP31*(ROUND((W32+W33+Y32+Y33)/(Z31+X31),1)),0)</f>
        <v>0</v>
      </c>
      <c r="AR32" s="547"/>
      <c r="AS32" s="670"/>
      <c r="AT32" s="670"/>
      <c r="AU32" s="626"/>
      <c r="AV32" s="626"/>
      <c r="AW32" s="626"/>
      <c r="AX32" s="629"/>
      <c r="AY32" s="623"/>
      <c r="AZ32" s="803"/>
      <c r="BA32" s="786"/>
      <c r="BB32" s="185"/>
      <c r="BD32" s="555"/>
      <c r="BE32" s="550"/>
      <c r="BF32" s="680" t="e">
        <v>#VALUE!</v>
      </c>
      <c r="BG32" s="563"/>
      <c r="BH32" s="560"/>
      <c r="BI32" s="553" t="e">
        <v>#VALUE!</v>
      </c>
      <c r="BJ32" s="557"/>
      <c r="BK32" s="547"/>
      <c r="BL32" s="547"/>
      <c r="BM32" s="547"/>
      <c r="BO32" s="544"/>
      <c r="BP32" s="566"/>
      <c r="BT32" s="616"/>
      <c r="BU32" s="612" t="s">
        <v>123</v>
      </c>
      <c r="BV32" s="860" t="e">
        <f>AA32+AC32+AE32+AH32+AL32+AQ32+AU31+AV31+AW31+AY31+AX31+AZ31</f>
        <v>#VALUE!</v>
      </c>
      <c r="BW32" s="614" t="e">
        <f>1-BW31</f>
        <v>#VALUE!</v>
      </c>
      <c r="BY32" s="616"/>
      <c r="BZ32" s="612" t="s">
        <v>123</v>
      </c>
      <c r="CA32" s="613" t="e">
        <f>AA32+AC32+AH32+AE32</f>
        <v>#VALUE!</v>
      </c>
      <c r="CB32" s="614" t="e">
        <f t="shared" ref="CB32" si="42">ROUND(CA32/(CA31+CA32),2)</f>
        <v>#VALUE!</v>
      </c>
    </row>
    <row r="33" spans="1:80" ht="27" customHeight="1">
      <c r="A33" s="719"/>
      <c r="B33" s="70" t="s">
        <v>73</v>
      </c>
      <c r="C33" s="238">
        <f t="shared" si="6"/>
        <v>0</v>
      </c>
      <c r="D33" s="238">
        <f t="shared" si="0"/>
        <v>0</v>
      </c>
      <c r="E33" s="54"/>
      <c r="F33" s="54"/>
      <c r="G33" s="71"/>
      <c r="H33" s="54"/>
      <c r="I33" s="69"/>
      <c r="J33" s="69"/>
      <c r="K33" s="69"/>
      <c r="L33" s="69"/>
      <c r="M33" s="310"/>
      <c r="N33" s="54"/>
      <c r="O33" s="54"/>
      <c r="P33" s="71"/>
      <c r="Q33" s="54"/>
      <c r="R33" s="69"/>
      <c r="S33" s="69"/>
      <c r="T33" s="69"/>
      <c r="U33" s="69"/>
      <c r="V33" s="313"/>
      <c r="W33" s="55">
        <f>SUM(E33:F33,H33)</f>
        <v>0</v>
      </c>
      <c r="X33" s="720"/>
      <c r="Y33" s="55">
        <f>SUM(N33:O33,Q33)</f>
        <v>0</v>
      </c>
      <c r="Z33" s="716"/>
      <c r="AA33" s="725"/>
      <c r="AB33" s="699"/>
      <c r="AC33" s="696"/>
      <c r="AD33" s="699"/>
      <c r="AE33" s="649"/>
      <c r="AF33" s="662"/>
      <c r="AG33" s="687"/>
      <c r="AH33" s="658"/>
      <c r="AI33" s="656"/>
      <c r="AJ33" s="548"/>
      <c r="AK33" s="703"/>
      <c r="AL33" s="364"/>
      <c r="AM33" s="713"/>
      <c r="AN33" s="694"/>
      <c r="AO33" s="781"/>
      <c r="AP33" s="684"/>
      <c r="AQ33" s="686"/>
      <c r="AR33" s="548"/>
      <c r="AS33" s="671"/>
      <c r="AT33" s="671"/>
      <c r="AU33" s="627"/>
      <c r="AV33" s="627"/>
      <c r="AW33" s="627"/>
      <c r="AX33" s="630"/>
      <c r="AY33" s="624"/>
      <c r="AZ33" s="804"/>
      <c r="BA33" s="787"/>
      <c r="BB33" s="185"/>
      <c r="BD33" s="555"/>
      <c r="BE33" s="551"/>
      <c r="BF33" s="681" t="e">
        <v>#VALUE!</v>
      </c>
      <c r="BG33" s="564"/>
      <c r="BH33" s="561"/>
      <c r="BI33" s="554" t="e">
        <v>#VALUE!</v>
      </c>
      <c r="BJ33" s="558"/>
      <c r="BK33" s="548"/>
      <c r="BL33" s="548"/>
      <c r="BM33" s="548"/>
      <c r="BO33" s="545"/>
      <c r="BP33" s="567"/>
      <c r="BT33" s="617"/>
      <c r="BU33" s="612"/>
      <c r="BV33" s="861"/>
      <c r="BW33" s="614"/>
      <c r="BY33" s="617"/>
      <c r="BZ33" s="612"/>
      <c r="CA33" s="613"/>
      <c r="CB33" s="614"/>
    </row>
    <row r="34" spans="1:80" ht="27" customHeight="1">
      <c r="A34" s="717" t="s">
        <v>345</v>
      </c>
      <c r="B34" s="70" t="s">
        <v>71</v>
      </c>
      <c r="C34" s="237">
        <f t="shared" si="6"/>
        <v>0</v>
      </c>
      <c r="D34" s="237">
        <f t="shared" si="0"/>
        <v>0</v>
      </c>
      <c r="E34" s="69"/>
      <c r="F34" s="69"/>
      <c r="G34" s="69"/>
      <c r="H34" s="69"/>
      <c r="I34" s="54"/>
      <c r="J34" s="204"/>
      <c r="K34" s="54"/>
      <c r="L34" s="54"/>
      <c r="M34" s="310"/>
      <c r="N34" s="69"/>
      <c r="O34" s="69"/>
      <c r="P34" s="69"/>
      <c r="Q34" s="69"/>
      <c r="R34" s="54"/>
      <c r="S34" s="204"/>
      <c r="T34" s="54"/>
      <c r="U34" s="54"/>
      <c r="V34" s="313"/>
      <c r="W34" s="55">
        <f>SUM(I34:L34)</f>
        <v>0</v>
      </c>
      <c r="X34" s="633">
        <f>SUM(W34:W36)</f>
        <v>0</v>
      </c>
      <c r="Y34" s="55">
        <f>SUM(R34:U34)</f>
        <v>0</v>
      </c>
      <c r="Z34" s="636">
        <f>SUM(Y34:Y36)</f>
        <v>0</v>
      </c>
      <c r="AA34" s="192"/>
      <c r="AB34" s="697">
        <f t="shared" ref="AB34" si="43">AA35</f>
        <v>2</v>
      </c>
      <c r="AC34" s="359"/>
      <c r="AD34" s="697">
        <f>IF('様式１－１（【本園分】標準時間対応）'!BC25&gt;0,1,0)+IF('様式１－２（【分園分】標準時間対応）'!BC25&gt;0,1,0)</f>
        <v>0</v>
      </c>
      <c r="AE34" s="357">
        <f>IF($W34&gt;0,1,0)+IF($Y34&gt;0,1,0)</f>
        <v>0</v>
      </c>
      <c r="AF34" s="659" t="str">
        <f>VLOOKUP($A34,加算等適用状況!$A$14:$O$25,13,FALSE)</f>
        <v/>
      </c>
      <c r="AG34" s="650" t="str">
        <f>VLOOKUP($A34,加算等適用状況!$A$14:$O$25,15,FALSE)</f>
        <v>入力未了</v>
      </c>
      <c r="AH34" s="373">
        <f>参考_歳児別配置基準!Q94</f>
        <v>0</v>
      </c>
      <c r="AI34" s="652" t="str">
        <f>IF(AG34="入力完了",参考_歳児別配置基準!H94,AG34)</f>
        <v>入力未了</v>
      </c>
      <c r="AJ34" s="546" t="e">
        <f t="shared" ref="AJ34" si="44">AB34+AD34+AE34+AE35+AI34-AF34</f>
        <v>#VALUE!</v>
      </c>
      <c r="AK34" s="701" t="str">
        <f>IF(AG34="入力完了",参考_歳児別配置基準!U94+AB34+AD34+AE34+AE35-AF34,AG34)</f>
        <v>入力未了</v>
      </c>
      <c r="AL34" s="363">
        <f>IFERROR(ROUND(((W34+Y34)/(W34+Y34+W35+Y35))*AM34,1),0)</f>
        <v>0</v>
      </c>
      <c r="AM34" s="711">
        <f>IF(VLOOKUP($A34,加算等適用状況!$A$14:$O$25,4,FALSE)="○",VLOOKUP($A34,加算等適用状況!$A$14:$O$25,5,FALSE),0)</f>
        <v>0</v>
      </c>
      <c r="AN34" s="692">
        <f>IF(VLOOKUP($A34,加算等適用状況!$A$14:$O$25,11,FALSE)="○",1,0)</f>
        <v>0</v>
      </c>
      <c r="AO34" s="688" t="str">
        <f>VLOOKUP($A34,加算等適用状況!$A$14:$O$25,12,FALSE)</f>
        <v/>
      </c>
      <c r="AP34" s="682">
        <f>IF(AO34="専任",0,1)</f>
        <v>1</v>
      </c>
      <c r="AQ34" s="231">
        <f>IFERROR(AP34*(ROUND((W34+Y34)/(Z34+X34),1)),0)</f>
        <v>0</v>
      </c>
      <c r="AR34" s="546" t="e">
        <f t="shared" ref="AR34" si="45">AJ34+AM34+AN34+AP34</f>
        <v>#VALUE!</v>
      </c>
      <c r="AS34" s="669"/>
      <c r="AT34" s="669"/>
      <c r="AU34" s="625">
        <f>$AU$7</f>
        <v>0</v>
      </c>
      <c r="AV34" s="625">
        <f>SUM('様式１－１（【本園分】標準時間対応）'!BA25:BA26)</f>
        <v>0</v>
      </c>
      <c r="AW34" s="625">
        <f>SUM('様式１－２（【分園分】標準時間対応）'!BA25:BA26)</f>
        <v>0</v>
      </c>
      <c r="AX34" s="628">
        <f>2-AB34</f>
        <v>0</v>
      </c>
      <c r="AY34" s="622">
        <f>IF(OR(AND('様式１－１（【本園分】標準時間対応）'!J25&gt;0, '様式１－１（【本園分】標準時間対応）'!R25&gt;0), '様式１－１（【本園分】標準時間対応）'!BC25&gt;=ROUND((C35+C36)*0.3,0)),1,0) + IF(OR(AND('様式１－２（【分園分】標準時間対応）'!J25&gt;0, '様式１－２（【分園分】標準時間対応）'!R25&gt;0), '様式１－２（【分園分】標準時間対応）'!BC25&gt;=ROUND((D35+D36)*0.3,0)),1,0)</f>
        <v>2</v>
      </c>
      <c r="AZ34" s="802">
        <f t="shared" ref="AZ34" si="46">(ROUNDDOWN(J35/10,1)-ROUNDDOWN(J35/15,1))+(ROUNDDOWN(S35/10,1)-ROUNDDOWN(S35/15,1))</f>
        <v>0</v>
      </c>
      <c r="BA34" s="785" t="e">
        <f>SUM(AR34:AZ36)</f>
        <v>#VALUE!</v>
      </c>
      <c r="BB34" s="185"/>
      <c r="BD34" s="555"/>
      <c r="BE34" s="549">
        <f>'様式２（専従の常勤）'!P58</f>
        <v>0</v>
      </c>
      <c r="BF34" s="679">
        <f>COUNTIFS('様式３（非専従の常勤＋非常勤）'!$AF$8:$AF$37,"&gt;=1")+'様式２（専従の常勤）'!P70</f>
        <v>0</v>
      </c>
      <c r="BG34" s="562">
        <f>'様式３（非専従の常勤＋非常勤）'!$AG$41</f>
        <v>0</v>
      </c>
      <c r="BH34" s="559"/>
      <c r="BI34" s="552">
        <f>COUNTIFS('様式３（非専従の常勤＋非常勤）'!$AF$50:$AF$54,"&gt;=1")</f>
        <v>0</v>
      </c>
      <c r="BJ34" s="556">
        <f>ROUNDDOWN('様式３（非専従の常勤＋非常勤）'!$AF$57,1)</f>
        <v>0</v>
      </c>
      <c r="BK34" s="546">
        <f>BE34+BG34+IF((BH34+BJ34)&gt;=AM34,AM34,(BH34+BJ34))</f>
        <v>0</v>
      </c>
      <c r="BL34" s="546" t="e">
        <f>BK34-AR34</f>
        <v>#VALUE!</v>
      </c>
      <c r="BM34" s="546" t="e">
        <f>BK34-(AK34+AM34+AN34+AP34)</f>
        <v>#VALUE!</v>
      </c>
      <c r="BO34" s="543"/>
      <c r="BP34" s="568" t="str">
        <f>IF(BO34&gt;=0.2,BK34-AR34-BO34,"")</f>
        <v/>
      </c>
      <c r="BT34" s="615" t="s">
        <v>12</v>
      </c>
      <c r="BU34" s="293" t="s">
        <v>71</v>
      </c>
      <c r="BV34" s="294">
        <f>AA34+AC34+AE34+AH34+AL34+AN34+AQ34</f>
        <v>0</v>
      </c>
      <c r="BW34" s="295" t="e">
        <f>ROUND(BV34/(BV34+BV35),2)</f>
        <v>#VALUE!</v>
      </c>
      <c r="BY34" s="615" t="s">
        <v>12</v>
      </c>
      <c r="BZ34" s="293" t="s">
        <v>71</v>
      </c>
      <c r="CA34" s="296">
        <f>AE34+AH34</f>
        <v>0</v>
      </c>
      <c r="CB34" s="295" t="e">
        <f t="shared" ref="CB34" si="47">ROUND(CA34/(CA34+CA35),2)</f>
        <v>#VALUE!</v>
      </c>
    </row>
    <row r="35" spans="1:80" ht="27" customHeight="1">
      <c r="A35" s="718"/>
      <c r="B35" s="70" t="s">
        <v>72</v>
      </c>
      <c r="C35" s="238">
        <f t="shared" si="6"/>
        <v>0</v>
      </c>
      <c r="D35" s="238">
        <f t="shared" si="0"/>
        <v>0</v>
      </c>
      <c r="E35" s="69"/>
      <c r="F35" s="69"/>
      <c r="G35" s="69"/>
      <c r="H35" s="69"/>
      <c r="I35" s="69"/>
      <c r="J35" s="54"/>
      <c r="K35" s="54"/>
      <c r="L35" s="54"/>
      <c r="M35" s="310"/>
      <c r="N35" s="69"/>
      <c r="O35" s="69"/>
      <c r="P35" s="69"/>
      <c r="Q35" s="69"/>
      <c r="R35" s="69"/>
      <c r="S35" s="54"/>
      <c r="T35" s="54"/>
      <c r="U35" s="54"/>
      <c r="V35" s="313"/>
      <c r="W35" s="55">
        <f>SUM(J35:L35)</f>
        <v>0</v>
      </c>
      <c r="X35" s="634"/>
      <c r="Y35" s="55">
        <f>SUM(S35:U35)</f>
        <v>0</v>
      </c>
      <c r="Z35" s="637"/>
      <c r="AA35" s="724">
        <f>IF(C35+C36&lt;=90,1,0)+IF(D35+D36&lt;=90,1,0)</f>
        <v>2</v>
      </c>
      <c r="AB35" s="698"/>
      <c r="AC35" s="695">
        <f>AD34</f>
        <v>0</v>
      </c>
      <c r="AD35" s="698"/>
      <c r="AE35" s="648">
        <f>IF($W35+$W36&gt;0,1,0)+IF($Y35+$Y36&gt;0,1,0)</f>
        <v>0</v>
      </c>
      <c r="AF35" s="660"/>
      <c r="AG35" s="651"/>
      <c r="AH35" s="657" t="e">
        <f>AI34-AH34</f>
        <v>#VALUE!</v>
      </c>
      <c r="AI35" s="653"/>
      <c r="AJ35" s="547"/>
      <c r="AK35" s="702"/>
      <c r="AL35" s="358">
        <f>AM34-AL34</f>
        <v>0</v>
      </c>
      <c r="AM35" s="712"/>
      <c r="AN35" s="693"/>
      <c r="AO35" s="689"/>
      <c r="AP35" s="683"/>
      <c r="AQ35" s="685">
        <f>IFERROR(AP34*(ROUND((W35+W36+Y35+Y36)/(Z34+X34),1)),0)</f>
        <v>0</v>
      </c>
      <c r="AR35" s="547"/>
      <c r="AS35" s="670"/>
      <c r="AT35" s="670"/>
      <c r="AU35" s="626"/>
      <c r="AV35" s="626"/>
      <c r="AW35" s="626"/>
      <c r="AX35" s="629"/>
      <c r="AY35" s="623"/>
      <c r="AZ35" s="803"/>
      <c r="BA35" s="786"/>
      <c r="BB35" s="185"/>
      <c r="BD35" s="555"/>
      <c r="BE35" s="550"/>
      <c r="BF35" s="680" t="e">
        <v>#VALUE!</v>
      </c>
      <c r="BG35" s="563"/>
      <c r="BH35" s="560"/>
      <c r="BI35" s="553" t="e">
        <v>#VALUE!</v>
      </c>
      <c r="BJ35" s="557"/>
      <c r="BK35" s="547"/>
      <c r="BL35" s="547"/>
      <c r="BM35" s="547"/>
      <c r="BO35" s="544"/>
      <c r="BP35" s="566"/>
      <c r="BT35" s="616"/>
      <c r="BU35" s="612" t="s">
        <v>123</v>
      </c>
      <c r="BV35" s="860" t="e">
        <f>AA35+AC35+AE35+AH35+AL35+AQ35+AU34+AV34+AW34+AY34+AX34+AZ34</f>
        <v>#VALUE!</v>
      </c>
      <c r="BW35" s="614" t="e">
        <f>1-BW34</f>
        <v>#VALUE!</v>
      </c>
      <c r="BY35" s="616"/>
      <c r="BZ35" s="612" t="s">
        <v>123</v>
      </c>
      <c r="CA35" s="613" t="e">
        <f>AA35+AC35+AH35+AE35</f>
        <v>#VALUE!</v>
      </c>
      <c r="CB35" s="614" t="e">
        <f t="shared" ref="CB35" si="48">ROUND(CA35/(CA34+CA35),2)</f>
        <v>#VALUE!</v>
      </c>
    </row>
    <row r="36" spans="1:80" ht="27" customHeight="1">
      <c r="A36" s="719"/>
      <c r="B36" s="70" t="s">
        <v>73</v>
      </c>
      <c r="C36" s="238">
        <f t="shared" si="6"/>
        <v>0</v>
      </c>
      <c r="D36" s="238">
        <f t="shared" si="0"/>
        <v>0</v>
      </c>
      <c r="E36" s="54"/>
      <c r="F36" s="54"/>
      <c r="G36" s="71"/>
      <c r="H36" s="54"/>
      <c r="I36" s="69"/>
      <c r="J36" s="69"/>
      <c r="K36" s="69"/>
      <c r="L36" s="69"/>
      <c r="M36" s="310"/>
      <c r="N36" s="54"/>
      <c r="O36" s="54"/>
      <c r="P36" s="71"/>
      <c r="Q36" s="54"/>
      <c r="R36" s="69"/>
      <c r="S36" s="69"/>
      <c r="T36" s="69"/>
      <c r="U36" s="69"/>
      <c r="V36" s="313"/>
      <c r="W36" s="55">
        <f>SUM(E36:F36,H36)</f>
        <v>0</v>
      </c>
      <c r="X36" s="720"/>
      <c r="Y36" s="55">
        <f>SUM(N36:O36,Q36)</f>
        <v>0</v>
      </c>
      <c r="Z36" s="716"/>
      <c r="AA36" s="725"/>
      <c r="AB36" s="699"/>
      <c r="AC36" s="696"/>
      <c r="AD36" s="699"/>
      <c r="AE36" s="649"/>
      <c r="AF36" s="662"/>
      <c r="AG36" s="687"/>
      <c r="AH36" s="658"/>
      <c r="AI36" s="656"/>
      <c r="AJ36" s="548"/>
      <c r="AK36" s="703"/>
      <c r="AL36" s="364"/>
      <c r="AM36" s="713"/>
      <c r="AN36" s="694"/>
      <c r="AO36" s="781"/>
      <c r="AP36" s="684"/>
      <c r="AQ36" s="686"/>
      <c r="AR36" s="548"/>
      <c r="AS36" s="671"/>
      <c r="AT36" s="671"/>
      <c r="AU36" s="627"/>
      <c r="AV36" s="627"/>
      <c r="AW36" s="627"/>
      <c r="AX36" s="630"/>
      <c r="AY36" s="624"/>
      <c r="AZ36" s="804"/>
      <c r="BA36" s="787"/>
      <c r="BB36" s="185"/>
      <c r="BD36" s="555"/>
      <c r="BE36" s="551"/>
      <c r="BF36" s="681" t="e">
        <v>#VALUE!</v>
      </c>
      <c r="BG36" s="564"/>
      <c r="BH36" s="561"/>
      <c r="BI36" s="554" t="e">
        <v>#VALUE!</v>
      </c>
      <c r="BJ36" s="558"/>
      <c r="BK36" s="548"/>
      <c r="BL36" s="548"/>
      <c r="BM36" s="548"/>
      <c r="BO36" s="545"/>
      <c r="BP36" s="567"/>
      <c r="BT36" s="617"/>
      <c r="BU36" s="612"/>
      <c r="BV36" s="861"/>
      <c r="BW36" s="614"/>
      <c r="BY36" s="617"/>
      <c r="BZ36" s="612"/>
      <c r="CA36" s="613"/>
      <c r="CB36" s="614"/>
    </row>
    <row r="37" spans="1:80" ht="27" customHeight="1">
      <c r="A37" s="717" t="s">
        <v>346</v>
      </c>
      <c r="B37" s="70" t="s">
        <v>71</v>
      </c>
      <c r="C37" s="237">
        <f t="shared" si="6"/>
        <v>0</v>
      </c>
      <c r="D37" s="237">
        <f t="shared" si="0"/>
        <v>0</v>
      </c>
      <c r="E37" s="69"/>
      <c r="F37" s="69"/>
      <c r="G37" s="69"/>
      <c r="H37" s="69"/>
      <c r="I37" s="54"/>
      <c r="J37" s="204"/>
      <c r="K37" s="54"/>
      <c r="L37" s="54"/>
      <c r="M37" s="310"/>
      <c r="N37" s="69"/>
      <c r="O37" s="69"/>
      <c r="P37" s="69"/>
      <c r="Q37" s="69"/>
      <c r="R37" s="54"/>
      <c r="S37" s="204"/>
      <c r="T37" s="54"/>
      <c r="U37" s="54"/>
      <c r="V37" s="313"/>
      <c r="W37" s="55">
        <f>SUM(I37:L37)</f>
        <v>0</v>
      </c>
      <c r="X37" s="633">
        <f>SUM(W37:W39)</f>
        <v>0</v>
      </c>
      <c r="Y37" s="55">
        <f>SUM(R37:U37)</f>
        <v>0</v>
      </c>
      <c r="Z37" s="636">
        <f>SUM(Y37:Y39)</f>
        <v>0</v>
      </c>
      <c r="AA37" s="192"/>
      <c r="AB37" s="697">
        <f t="shared" ref="AB37" si="49">AA38</f>
        <v>2</v>
      </c>
      <c r="AC37" s="359"/>
      <c r="AD37" s="697">
        <f>IF('様式１－１（【本園分】標準時間対応）'!BC27&gt;0,1,0)+IF('様式１－２（【分園分】標準時間対応）'!BC27&gt;0,1,0)</f>
        <v>0</v>
      </c>
      <c r="AE37" s="357">
        <f>IF($W37&gt;0,1,0)+IF($Y37&gt;0,1,0)</f>
        <v>0</v>
      </c>
      <c r="AF37" s="659" t="str">
        <f>VLOOKUP($A37,加算等適用状況!$A$14:$O$25,13,FALSE)</f>
        <v/>
      </c>
      <c r="AG37" s="650" t="str">
        <f>VLOOKUP($A37,加算等適用状況!$A$14:$O$25,15,FALSE)</f>
        <v>入力未了</v>
      </c>
      <c r="AH37" s="373">
        <f>参考_歳児別配置基準!Q104</f>
        <v>0</v>
      </c>
      <c r="AI37" s="652" t="str">
        <f>IF(AG37="入力完了",参考_歳児別配置基準!H104,AG37)</f>
        <v>入力未了</v>
      </c>
      <c r="AJ37" s="546" t="e">
        <f t="shared" ref="AJ37" si="50">AB37+AD37+AE37+AE38+AI37-AF37</f>
        <v>#VALUE!</v>
      </c>
      <c r="AK37" s="701" t="str">
        <f>IF(AG37="入力完了",参考_歳児別配置基準!U104+AB37+AD37+AE37+AE38-AF37,AG37)</f>
        <v>入力未了</v>
      </c>
      <c r="AL37" s="363">
        <f>IFERROR(ROUND(((W37+Y37)/(W37+Y37+W38+Y38))*AM37,1),0)</f>
        <v>0</v>
      </c>
      <c r="AM37" s="711">
        <f>IF(VLOOKUP($A37,加算等適用状況!$A$14:$O$25,4,FALSE)="○",VLOOKUP($A37,加算等適用状況!$A$14:$O$25,5,FALSE),0)</f>
        <v>0</v>
      </c>
      <c r="AN37" s="692">
        <f>IF(VLOOKUP($A37,加算等適用状況!$A$14:$O$25,11,FALSE)="○",1,0)</f>
        <v>0</v>
      </c>
      <c r="AO37" s="688" t="str">
        <f>VLOOKUP($A37,加算等適用状況!$A$14:$O$25,12,FALSE)</f>
        <v/>
      </c>
      <c r="AP37" s="682">
        <f>IF(AO37="専任",0,1)</f>
        <v>1</v>
      </c>
      <c r="AQ37" s="231">
        <f>IFERROR(AP37*(ROUND((W37+Y37)/(Z37+X37),1)),0)</f>
        <v>0</v>
      </c>
      <c r="AR37" s="546" t="e">
        <f t="shared" ref="AR37" si="51">AJ37+AM37+AN37+AP37</f>
        <v>#VALUE!</v>
      </c>
      <c r="AS37" s="669"/>
      <c r="AT37" s="669"/>
      <c r="AU37" s="625">
        <f>$AU$7</f>
        <v>0</v>
      </c>
      <c r="AV37" s="625">
        <f>SUM('様式１－１（【本園分】標準時間対応）'!BA27:BA28)</f>
        <v>0</v>
      </c>
      <c r="AW37" s="625">
        <f>SUM('様式１－２（【分園分】標準時間対応）'!BA27:BA28)</f>
        <v>0</v>
      </c>
      <c r="AX37" s="628">
        <f>2-AB37</f>
        <v>0</v>
      </c>
      <c r="AY37" s="622">
        <f>IF(OR(AND('様式１－１（【本園分】標準時間対応）'!J27&gt;0, '様式１－１（【本園分】標準時間対応）'!R27&gt;0), '様式１－１（【本園分】標準時間対応）'!BC27&gt;=ROUND((C38+C39)*0.3,0)),1,0) + IF(OR(AND('様式１－２（【分園分】標準時間対応）'!J27&gt;0, '様式１－２（【分園分】標準時間対応）'!R27&gt;0), '様式１－２（【分園分】標準時間対応）'!BC27&gt;=ROUND((D38+D39)*0.3,0)),1,0)</f>
        <v>2</v>
      </c>
      <c r="AZ37" s="802">
        <f t="shared" ref="AZ37" si="52">(ROUNDDOWN(J38/10,1)-ROUNDDOWN(J38/15,1))+(ROUNDDOWN(S38/10,1)-ROUNDDOWN(S38/15,1))</f>
        <v>0</v>
      </c>
      <c r="BA37" s="785" t="e">
        <f>SUM(AR37:AZ39)</f>
        <v>#VALUE!</v>
      </c>
      <c r="BB37" s="185"/>
      <c r="BD37" s="555"/>
      <c r="BE37" s="549">
        <f>'様式２（専従の常勤）'!Q58</f>
        <v>0</v>
      </c>
      <c r="BF37" s="679">
        <f>COUNTIFS('様式３（非専従の常勤＋非常勤）'!$AH$8:$AH$37,"&gt;=1")+'様式２（専従の常勤）'!Q70</f>
        <v>0</v>
      </c>
      <c r="BG37" s="562">
        <f>'様式３（非専従の常勤＋非常勤）'!$AI$41</f>
        <v>0</v>
      </c>
      <c r="BH37" s="559"/>
      <c r="BI37" s="552">
        <f>COUNTIFS('様式３（非専従の常勤＋非常勤）'!$AH$50:$AH$54,"&gt;=1")</f>
        <v>0</v>
      </c>
      <c r="BJ37" s="556">
        <f>ROUNDDOWN('様式３（非専従の常勤＋非常勤）'!$AH$57,1)</f>
        <v>0</v>
      </c>
      <c r="BK37" s="546">
        <f>BE37+BG37+IF((BH37+BJ37)&gt;=AM37,AM37,(BH37+BJ37))</f>
        <v>0</v>
      </c>
      <c r="BL37" s="546" t="e">
        <f>BK37-AR37</f>
        <v>#VALUE!</v>
      </c>
      <c r="BM37" s="546" t="e">
        <f>BK37-(AK37+AM37+AN37+AP37)</f>
        <v>#VALUE!</v>
      </c>
      <c r="BO37" s="543"/>
      <c r="BP37" s="568" t="str">
        <f>IF(BO37&gt;=0.2,BK37-AR37-BO37,"")</f>
        <v/>
      </c>
      <c r="BT37" s="615" t="s">
        <v>15</v>
      </c>
      <c r="BU37" s="293" t="s">
        <v>71</v>
      </c>
      <c r="BV37" s="294">
        <f>AA37+AC37+AE37+AH37+AL37+AN37+AQ37</f>
        <v>0</v>
      </c>
      <c r="BW37" s="295" t="e">
        <f>ROUND(BV37/(BV37+BV38),2)</f>
        <v>#VALUE!</v>
      </c>
      <c r="BY37" s="615" t="s">
        <v>15</v>
      </c>
      <c r="BZ37" s="293" t="s">
        <v>71</v>
      </c>
      <c r="CA37" s="296">
        <f>AE37+AH37</f>
        <v>0</v>
      </c>
      <c r="CB37" s="295" t="e">
        <f t="shared" ref="CB37" si="53">ROUND(CA37/(CA37+CA38),2)</f>
        <v>#VALUE!</v>
      </c>
    </row>
    <row r="38" spans="1:80" ht="27" customHeight="1">
      <c r="A38" s="718"/>
      <c r="B38" s="70" t="s">
        <v>72</v>
      </c>
      <c r="C38" s="238">
        <f t="shared" si="6"/>
        <v>0</v>
      </c>
      <c r="D38" s="238">
        <f t="shared" si="0"/>
        <v>0</v>
      </c>
      <c r="E38" s="69"/>
      <c r="F38" s="69"/>
      <c r="G38" s="69"/>
      <c r="H38" s="69"/>
      <c r="I38" s="69"/>
      <c r="J38" s="54"/>
      <c r="K38" s="54"/>
      <c r="L38" s="54"/>
      <c r="M38" s="310"/>
      <c r="N38" s="69"/>
      <c r="O38" s="69"/>
      <c r="P38" s="69"/>
      <c r="Q38" s="69"/>
      <c r="R38" s="69"/>
      <c r="S38" s="54"/>
      <c r="T38" s="54"/>
      <c r="U38" s="54"/>
      <c r="V38" s="313"/>
      <c r="W38" s="55">
        <f>SUM(J38:L38)</f>
        <v>0</v>
      </c>
      <c r="X38" s="634"/>
      <c r="Y38" s="55">
        <f>SUM(S38:U38)</f>
        <v>0</v>
      </c>
      <c r="Z38" s="637"/>
      <c r="AA38" s="724">
        <f>IF(C38+C39&lt;=90,1,0)+IF(D38+D39&lt;=90,1,0)</f>
        <v>2</v>
      </c>
      <c r="AB38" s="698"/>
      <c r="AC38" s="695">
        <f>AD37</f>
        <v>0</v>
      </c>
      <c r="AD38" s="698"/>
      <c r="AE38" s="648">
        <f>IF($W38+$W39&gt;0,1,0)+IF($Y38+$Y39&gt;0,1,0)</f>
        <v>0</v>
      </c>
      <c r="AF38" s="660"/>
      <c r="AG38" s="651"/>
      <c r="AH38" s="657" t="e">
        <f>AI37-AH37</f>
        <v>#VALUE!</v>
      </c>
      <c r="AI38" s="653"/>
      <c r="AJ38" s="547"/>
      <c r="AK38" s="702"/>
      <c r="AL38" s="358">
        <f>AM37-AL37</f>
        <v>0</v>
      </c>
      <c r="AM38" s="712"/>
      <c r="AN38" s="693"/>
      <c r="AO38" s="689"/>
      <c r="AP38" s="683"/>
      <c r="AQ38" s="685">
        <f>IFERROR(AP37*(ROUND((W38+W39+Y38+Y39)/(Z37+X37),1)),0)</f>
        <v>0</v>
      </c>
      <c r="AR38" s="547"/>
      <c r="AS38" s="670"/>
      <c r="AT38" s="670"/>
      <c r="AU38" s="626"/>
      <c r="AV38" s="626"/>
      <c r="AW38" s="626"/>
      <c r="AX38" s="629"/>
      <c r="AY38" s="623"/>
      <c r="AZ38" s="803"/>
      <c r="BA38" s="786"/>
      <c r="BB38" s="185"/>
      <c r="BD38" s="555"/>
      <c r="BE38" s="550"/>
      <c r="BF38" s="680" t="e">
        <v>#VALUE!</v>
      </c>
      <c r="BG38" s="563"/>
      <c r="BH38" s="560"/>
      <c r="BI38" s="553" t="e">
        <v>#VALUE!</v>
      </c>
      <c r="BJ38" s="557"/>
      <c r="BK38" s="547"/>
      <c r="BL38" s="547"/>
      <c r="BM38" s="547"/>
      <c r="BO38" s="544"/>
      <c r="BP38" s="566"/>
      <c r="BT38" s="616"/>
      <c r="BU38" s="612" t="s">
        <v>123</v>
      </c>
      <c r="BV38" s="860" t="e">
        <f>AA38+AC38+AE38+AH38+AL38+AQ38+AU37+AV37+AW37+AY37+AX37+AZ37</f>
        <v>#VALUE!</v>
      </c>
      <c r="BW38" s="614" t="e">
        <f>1-BW37</f>
        <v>#VALUE!</v>
      </c>
      <c r="BY38" s="616"/>
      <c r="BZ38" s="612" t="s">
        <v>123</v>
      </c>
      <c r="CA38" s="613" t="e">
        <f>AA38+AC38+AH38+AE38</f>
        <v>#VALUE!</v>
      </c>
      <c r="CB38" s="614" t="e">
        <f t="shared" ref="CB38" si="54">ROUND(CA38/(CA37+CA38),2)</f>
        <v>#VALUE!</v>
      </c>
    </row>
    <row r="39" spans="1:80" ht="27" customHeight="1">
      <c r="A39" s="719"/>
      <c r="B39" s="70" t="s">
        <v>73</v>
      </c>
      <c r="C39" s="238">
        <f t="shared" si="6"/>
        <v>0</v>
      </c>
      <c r="D39" s="238">
        <f t="shared" si="0"/>
        <v>0</v>
      </c>
      <c r="E39" s="54"/>
      <c r="F39" s="54"/>
      <c r="G39" s="71"/>
      <c r="H39" s="54"/>
      <c r="I39" s="69"/>
      <c r="J39" s="69"/>
      <c r="K39" s="69"/>
      <c r="L39" s="69"/>
      <c r="M39" s="310"/>
      <c r="N39" s="54"/>
      <c r="O39" s="54"/>
      <c r="P39" s="71"/>
      <c r="Q39" s="54"/>
      <c r="R39" s="69"/>
      <c r="S39" s="69"/>
      <c r="T39" s="69"/>
      <c r="U39" s="69"/>
      <c r="V39" s="313"/>
      <c r="W39" s="55">
        <f>SUM(E39:F39,H39)</f>
        <v>0</v>
      </c>
      <c r="X39" s="720"/>
      <c r="Y39" s="55">
        <f>SUM(N39:O39,Q39)</f>
        <v>0</v>
      </c>
      <c r="Z39" s="716"/>
      <c r="AA39" s="725"/>
      <c r="AB39" s="699"/>
      <c r="AC39" s="696"/>
      <c r="AD39" s="699"/>
      <c r="AE39" s="649"/>
      <c r="AF39" s="662"/>
      <c r="AG39" s="687"/>
      <c r="AH39" s="658"/>
      <c r="AI39" s="656"/>
      <c r="AJ39" s="548"/>
      <c r="AK39" s="703"/>
      <c r="AL39" s="364"/>
      <c r="AM39" s="713"/>
      <c r="AN39" s="694"/>
      <c r="AO39" s="781"/>
      <c r="AP39" s="684"/>
      <c r="AQ39" s="686"/>
      <c r="AR39" s="548"/>
      <c r="AS39" s="671"/>
      <c r="AT39" s="671"/>
      <c r="AU39" s="627"/>
      <c r="AV39" s="627"/>
      <c r="AW39" s="627"/>
      <c r="AX39" s="630"/>
      <c r="AY39" s="624"/>
      <c r="AZ39" s="804"/>
      <c r="BA39" s="787"/>
      <c r="BB39" s="185"/>
      <c r="BD39" s="555"/>
      <c r="BE39" s="551"/>
      <c r="BF39" s="681" t="e">
        <v>#VALUE!</v>
      </c>
      <c r="BG39" s="564"/>
      <c r="BH39" s="561"/>
      <c r="BI39" s="554" t="e">
        <v>#VALUE!</v>
      </c>
      <c r="BJ39" s="558"/>
      <c r="BK39" s="548"/>
      <c r="BL39" s="548"/>
      <c r="BM39" s="548"/>
      <c r="BO39" s="545"/>
      <c r="BP39" s="567"/>
      <c r="BT39" s="617"/>
      <c r="BU39" s="612"/>
      <c r="BV39" s="861"/>
      <c r="BW39" s="614"/>
      <c r="BY39" s="617"/>
      <c r="BZ39" s="612"/>
      <c r="CA39" s="613"/>
      <c r="CB39" s="614"/>
    </row>
    <row r="40" spans="1:80" ht="27" customHeight="1">
      <c r="A40" s="631" t="s">
        <v>347</v>
      </c>
      <c r="B40" s="70" t="s">
        <v>71</v>
      </c>
      <c r="C40" s="238">
        <f t="shared" si="6"/>
        <v>0</v>
      </c>
      <c r="D40" s="238">
        <f t="shared" si="0"/>
        <v>0</v>
      </c>
      <c r="E40" s="69"/>
      <c r="F40" s="69"/>
      <c r="G40" s="69"/>
      <c r="H40" s="69"/>
      <c r="I40" s="54"/>
      <c r="J40" s="204"/>
      <c r="K40" s="54"/>
      <c r="L40" s="54"/>
      <c r="M40" s="310"/>
      <c r="N40" s="69"/>
      <c r="O40" s="69"/>
      <c r="P40" s="69"/>
      <c r="Q40" s="69"/>
      <c r="R40" s="54"/>
      <c r="S40" s="204"/>
      <c r="T40" s="54"/>
      <c r="U40" s="54"/>
      <c r="V40" s="313"/>
      <c r="W40" s="56">
        <f>SUM(I40:L40)</f>
        <v>0</v>
      </c>
      <c r="X40" s="633">
        <f>SUM(W40:W42)</f>
        <v>0</v>
      </c>
      <c r="Y40" s="55">
        <f>SUM(R40:U40)</f>
        <v>0</v>
      </c>
      <c r="Z40" s="636">
        <f>SUM(Y40:Y42)</f>
        <v>0</v>
      </c>
      <c r="AA40" s="192"/>
      <c r="AB40" s="639">
        <f>AA41</f>
        <v>2</v>
      </c>
      <c r="AC40" s="359"/>
      <c r="AD40" s="639">
        <f>IF('様式１－１（【本園分】標準時間対応）'!BC29&gt;0,1,0)+IF('様式１－２（【分園分】標準時間対応）'!BC29&gt;0,1,0)</f>
        <v>0</v>
      </c>
      <c r="AE40" s="357">
        <f>IF($W40&gt;0,1,0)+IF($Y40&gt;0,1,0)</f>
        <v>0</v>
      </c>
      <c r="AF40" s="659" t="str">
        <f>VLOOKUP($A40,加算等適用状況!$A$14:$O$25,13,FALSE)</f>
        <v/>
      </c>
      <c r="AG40" s="650" t="str">
        <f>VLOOKUP($A40,加算等適用状況!$A$14:$O$25,15,FALSE)</f>
        <v>入力未了</v>
      </c>
      <c r="AH40" s="373">
        <f>参考_歳児別配置基準!Q114</f>
        <v>0</v>
      </c>
      <c r="AI40" s="652" t="str">
        <f>IF(AG40="入力完了",参考_歳児別配置基準!H114,AG40)</f>
        <v>入力未了</v>
      </c>
      <c r="AJ40" s="546" t="e">
        <f>AB40+AD40+AE40+AE41+AI40-AF40</f>
        <v>#VALUE!</v>
      </c>
      <c r="AK40" s="701" t="str">
        <f>IF(AG40="入力完了",参考_歳児別配置基準!U114+AB40+AD40+AE40+AE41-AF40,AG40)</f>
        <v>入力未了</v>
      </c>
      <c r="AL40" s="363">
        <f>IFERROR(ROUND(((W40+Y40)/(W40+Y40+W41+Y41))*AM40,1),0)</f>
        <v>0</v>
      </c>
      <c r="AM40" s="711">
        <f>IF(VLOOKUP($A40,加算等適用状況!$A$14:$O$25,4,FALSE)="○",VLOOKUP($A40,加算等適用状況!$A$14:$O$25,5,FALSE),0)</f>
        <v>0</v>
      </c>
      <c r="AN40" s="692">
        <f>IF(VLOOKUP($A40,加算等適用状況!$A$14:$O$25,11,FALSE)="○",1,0)</f>
        <v>0</v>
      </c>
      <c r="AO40" s="688" t="str">
        <f>VLOOKUP($A40,加算等適用状況!$A$14:$O$25,12,FALSE)</f>
        <v/>
      </c>
      <c r="AP40" s="682">
        <f>IF(AO40="専任",0,1)</f>
        <v>1</v>
      </c>
      <c r="AQ40" s="231">
        <f>IFERROR(AP40*(ROUND((W40+Y40)/(Z40+X40),1)),0)</f>
        <v>0</v>
      </c>
      <c r="AR40" s="546" t="e">
        <f t="shared" ref="AR40:AR43" si="55">AJ40+AM40+AN40+AP40</f>
        <v>#VALUE!</v>
      </c>
      <c r="AS40" s="669"/>
      <c r="AT40" s="669"/>
      <c r="AU40" s="625">
        <f>$AU$7</f>
        <v>0</v>
      </c>
      <c r="AV40" s="625">
        <f>SUM('様式１－１（【本園分】標準時間対応）'!BA29:BA30)</f>
        <v>0</v>
      </c>
      <c r="AW40" s="625">
        <f>SUM('様式１－２（【分園分】標準時間対応）'!BA29:BA30)</f>
        <v>0</v>
      </c>
      <c r="AX40" s="628">
        <f>2-AB40</f>
        <v>0</v>
      </c>
      <c r="AY40" s="622">
        <f>IF(OR(AND('様式１－１（【本園分】標準時間対応）'!J29&gt;0, '様式１－１（【本園分】標準時間対応）'!R29&gt;0), '様式１－１（【本園分】標準時間対応）'!BC29&gt;=ROUND((C41+C42)*0.3,0)),1,0) + IF(OR(AND('様式１－２（【分園分】標準時間対応）'!J29&gt;0, '様式１－２（【分園分】標準時間対応）'!R29&gt;0), '様式１－２（【分園分】標準時間対応）'!BC29&gt;=ROUND((D41+D42)*0.3,0)),1,0)</f>
        <v>2</v>
      </c>
      <c r="AZ40" s="802">
        <f>(ROUNDDOWN(J41/10,1)-ROUNDDOWN(J41/15,1))+(ROUNDDOWN(S41/10,1)-ROUNDDOWN(S41/15,1))</f>
        <v>0</v>
      </c>
      <c r="BA40" s="785" t="e">
        <f>SUM(AR40:AZ42)</f>
        <v>#VALUE!</v>
      </c>
      <c r="BB40" s="185"/>
      <c r="BD40" s="555"/>
      <c r="BE40" s="549">
        <f>'様式２（専従の常勤）'!R58</f>
        <v>0</v>
      </c>
      <c r="BF40" s="679">
        <f>COUNTIFS('様式３（非専従の常勤＋非常勤）'!$AJ$8:$AJ$37,"&gt;=1")+'様式２（専従の常勤）'!R70</f>
        <v>0</v>
      </c>
      <c r="BG40" s="562">
        <f>'様式３（非専従の常勤＋非常勤）'!$AK$41</f>
        <v>0</v>
      </c>
      <c r="BH40" s="559"/>
      <c r="BI40" s="552">
        <f>COUNTIFS('様式３（非専従の常勤＋非常勤）'!$AJ$50:$AJ$54,"&gt;=1")</f>
        <v>0</v>
      </c>
      <c r="BJ40" s="556">
        <f>ROUNDDOWN('様式３（非専従の常勤＋非常勤）'!$AJ$57,1)</f>
        <v>0</v>
      </c>
      <c r="BK40" s="546">
        <f>BE40+BG40+IF((BH40+BJ40)&gt;=AM40,AM40,(BH40+BJ40))</f>
        <v>0</v>
      </c>
      <c r="BL40" s="546" t="e">
        <f>BK40-AR40</f>
        <v>#VALUE!</v>
      </c>
      <c r="BM40" s="546" t="e">
        <f>BK40-(AK40+AM40+AN40+AP40)</f>
        <v>#VALUE!</v>
      </c>
      <c r="BO40" s="543"/>
      <c r="BP40" s="568" t="str">
        <f>IF(BO40&gt;=0.2,BK40-AR40-BO40,"")</f>
        <v/>
      </c>
      <c r="BT40" s="862" t="s">
        <v>10</v>
      </c>
      <c r="BU40" s="293" t="s">
        <v>71</v>
      </c>
      <c r="BV40" s="294">
        <f>AA40+AC40+AE40+AH40+AL40+AN40+AQ40</f>
        <v>0</v>
      </c>
      <c r="BW40" s="295" t="e">
        <f>ROUND(BV40/(BV40+BV41),2)</f>
        <v>#VALUE!</v>
      </c>
      <c r="BY40" s="615" t="s">
        <v>10</v>
      </c>
      <c r="BZ40" s="293" t="s">
        <v>71</v>
      </c>
      <c r="CA40" s="296">
        <f>AE40+AH40</f>
        <v>0</v>
      </c>
      <c r="CB40" s="295" t="e">
        <f t="shared" ref="CB40" si="56">ROUND(CA40/(CA40+CA41),2)</f>
        <v>#VALUE!</v>
      </c>
    </row>
    <row r="41" spans="1:80" ht="27" customHeight="1">
      <c r="A41" s="631"/>
      <c r="B41" s="70" t="s">
        <v>72</v>
      </c>
      <c r="C41" s="238">
        <f t="shared" si="6"/>
        <v>0</v>
      </c>
      <c r="D41" s="238">
        <f t="shared" si="0"/>
        <v>0</v>
      </c>
      <c r="E41" s="69"/>
      <c r="F41" s="69"/>
      <c r="G41" s="69"/>
      <c r="H41" s="69"/>
      <c r="I41" s="69"/>
      <c r="J41" s="54"/>
      <c r="K41" s="54"/>
      <c r="L41" s="54"/>
      <c r="M41" s="310"/>
      <c r="N41" s="68"/>
      <c r="O41" s="69"/>
      <c r="P41" s="69"/>
      <c r="Q41" s="69"/>
      <c r="R41" s="69"/>
      <c r="S41" s="54"/>
      <c r="T41" s="54"/>
      <c r="U41" s="54"/>
      <c r="V41" s="313"/>
      <c r="W41" s="56">
        <f>SUM(J41:L41)</f>
        <v>0</v>
      </c>
      <c r="X41" s="634"/>
      <c r="Y41" s="55">
        <f>SUM(S41:U41)</f>
        <v>0</v>
      </c>
      <c r="Z41" s="637"/>
      <c r="AA41" s="724">
        <f>IF(C41+C42&lt;=90,1,0)+IF(D41+D42&lt;=90,1,0)</f>
        <v>2</v>
      </c>
      <c r="AB41" s="640"/>
      <c r="AC41" s="695">
        <f>AD40</f>
        <v>0</v>
      </c>
      <c r="AD41" s="640"/>
      <c r="AE41" s="648">
        <f>IF($W41+$W42&gt;0,1,0)+IF($Y41+$Y42&gt;0,1,0)</f>
        <v>0</v>
      </c>
      <c r="AF41" s="660"/>
      <c r="AG41" s="651"/>
      <c r="AH41" s="705" t="e">
        <f>AI40-AH40</f>
        <v>#VALUE!</v>
      </c>
      <c r="AI41" s="653"/>
      <c r="AJ41" s="547"/>
      <c r="AK41" s="702"/>
      <c r="AL41" s="358">
        <f>AM40-AL40</f>
        <v>0</v>
      </c>
      <c r="AM41" s="712"/>
      <c r="AN41" s="693"/>
      <c r="AO41" s="689"/>
      <c r="AP41" s="683"/>
      <c r="AQ41" s="824">
        <f>IFERROR(AP40*(ROUND((W41+W42+Y41+Y42)/(Z40+X40),1)),0)</f>
        <v>0</v>
      </c>
      <c r="AR41" s="547"/>
      <c r="AS41" s="670"/>
      <c r="AT41" s="670"/>
      <c r="AU41" s="626"/>
      <c r="AV41" s="626"/>
      <c r="AW41" s="626"/>
      <c r="AX41" s="629"/>
      <c r="AY41" s="623"/>
      <c r="AZ41" s="803"/>
      <c r="BA41" s="786"/>
      <c r="BB41" s="185"/>
      <c r="BD41" s="555"/>
      <c r="BE41" s="550"/>
      <c r="BF41" s="680" t="e">
        <v>#VALUE!</v>
      </c>
      <c r="BG41" s="563"/>
      <c r="BH41" s="560"/>
      <c r="BI41" s="553" t="e">
        <v>#VALUE!</v>
      </c>
      <c r="BJ41" s="557"/>
      <c r="BK41" s="547"/>
      <c r="BL41" s="547"/>
      <c r="BM41" s="547"/>
      <c r="BO41" s="544"/>
      <c r="BP41" s="566"/>
      <c r="BT41" s="862"/>
      <c r="BU41" s="612" t="s">
        <v>123</v>
      </c>
      <c r="BV41" s="860" t="e">
        <f>AA41+AC41+AE41+AH41+AL41+AQ41+AU40+AV40+AW40+AY40+AX40+AZ40</f>
        <v>#VALUE!</v>
      </c>
      <c r="BW41" s="614" t="e">
        <f>1-BW40</f>
        <v>#VALUE!</v>
      </c>
      <c r="BY41" s="616"/>
      <c r="BZ41" s="612" t="s">
        <v>123</v>
      </c>
      <c r="CA41" s="613" t="e">
        <f>AA41+AC41+AH41+AE41</f>
        <v>#VALUE!</v>
      </c>
      <c r="CB41" s="614" t="e">
        <f t="shared" ref="CB41" si="57">ROUND(CA41/(CA40+CA41),2)</f>
        <v>#VALUE!</v>
      </c>
    </row>
    <row r="42" spans="1:80" ht="27" customHeight="1" thickBot="1">
      <c r="A42" s="632"/>
      <c r="B42" s="209" t="s">
        <v>73</v>
      </c>
      <c r="C42" s="239">
        <f t="shared" si="6"/>
        <v>0</v>
      </c>
      <c r="D42" s="239">
        <f t="shared" si="0"/>
        <v>0</v>
      </c>
      <c r="E42" s="210"/>
      <c r="F42" s="210"/>
      <c r="G42" s="211"/>
      <c r="H42" s="210"/>
      <c r="I42" s="212"/>
      <c r="J42" s="212"/>
      <c r="K42" s="212"/>
      <c r="L42" s="212"/>
      <c r="M42" s="312"/>
      <c r="N42" s="222"/>
      <c r="O42" s="210"/>
      <c r="P42" s="211"/>
      <c r="Q42" s="210"/>
      <c r="R42" s="212"/>
      <c r="S42" s="212"/>
      <c r="T42" s="212"/>
      <c r="U42" s="212"/>
      <c r="V42" s="315"/>
      <c r="W42" s="213">
        <f>SUM(E42:F42,H42)</f>
        <v>0</v>
      </c>
      <c r="X42" s="635"/>
      <c r="Y42" s="213">
        <f>SUM(N42:O42,Q42)</f>
        <v>0</v>
      </c>
      <c r="Z42" s="638"/>
      <c r="AA42" s="836"/>
      <c r="AB42" s="641"/>
      <c r="AC42" s="837"/>
      <c r="AD42" s="641"/>
      <c r="AE42" s="655"/>
      <c r="AF42" s="661"/>
      <c r="AG42" s="651"/>
      <c r="AH42" s="706"/>
      <c r="AI42" s="654"/>
      <c r="AJ42" s="547"/>
      <c r="AK42" s="823"/>
      <c r="AL42" s="365"/>
      <c r="AM42" s="827"/>
      <c r="AN42" s="828"/>
      <c r="AO42" s="690"/>
      <c r="AP42" s="691"/>
      <c r="AQ42" s="826"/>
      <c r="AR42" s="812"/>
      <c r="AS42" s="820"/>
      <c r="AT42" s="820"/>
      <c r="AU42" s="810"/>
      <c r="AV42" s="810"/>
      <c r="AW42" s="810"/>
      <c r="AX42" s="805"/>
      <c r="AY42" s="811"/>
      <c r="AZ42" s="809"/>
      <c r="BA42" s="816"/>
      <c r="BB42" s="228"/>
      <c r="BD42" s="555"/>
      <c r="BE42" s="817"/>
      <c r="BF42" s="818" t="e">
        <v>#VALUE!</v>
      </c>
      <c r="BG42" s="813"/>
      <c r="BH42" s="814"/>
      <c r="BI42" s="815" t="e">
        <v>#VALUE!</v>
      </c>
      <c r="BJ42" s="821"/>
      <c r="BK42" s="812"/>
      <c r="BL42" s="547"/>
      <c r="BM42" s="812"/>
      <c r="BO42" s="822"/>
      <c r="BP42" s="566"/>
      <c r="BT42" s="862"/>
      <c r="BU42" s="612"/>
      <c r="BV42" s="861"/>
      <c r="BW42" s="614"/>
      <c r="BY42" s="617"/>
      <c r="BZ42" s="612"/>
      <c r="CA42" s="613"/>
      <c r="CB42" s="614"/>
    </row>
    <row r="43" spans="1:80" ht="27" customHeight="1" thickTop="1">
      <c r="A43" s="714" t="s">
        <v>179</v>
      </c>
      <c r="B43" s="205" t="s">
        <v>71</v>
      </c>
      <c r="C43" s="240">
        <f t="shared" ref="C43:D45" si="58">ROUND(SUM(C7,C10,C13,C16,C19,C22,C25,C28,C31,C34,C37,C40)/12,0)</f>
        <v>0</v>
      </c>
      <c r="D43" s="240">
        <f t="shared" si="58"/>
        <v>0</v>
      </c>
      <c r="E43" s="214"/>
      <c r="F43" s="214"/>
      <c r="G43" s="214"/>
      <c r="H43" s="214"/>
      <c r="I43" s="215">
        <f>ROUND(SUM(I7,I10,I13,I16,I19,I22,I25,I28,I31,I34,I37,I40)/12,0)</f>
        <v>0</v>
      </c>
      <c r="J43" s="215">
        <f>ROUND(SUM(J7,J10,J13,J16,J19,J22,J25,J28,J31,J34,J37,J40)/12,0)</f>
        <v>0</v>
      </c>
      <c r="K43" s="215">
        <f>ROUND(SUM(K7,K10,K13,K16,K19,K22,K25,K28,K31,K34,K37,K40)/12,0)</f>
        <v>0</v>
      </c>
      <c r="L43" s="215">
        <f>ROUND(SUM(L7,L10,L13,L16,L19,L22,L25,L28,L31,L34,L37,L40)/12,0)</f>
        <v>0</v>
      </c>
      <c r="M43" s="232"/>
      <c r="N43" s="223"/>
      <c r="O43" s="214"/>
      <c r="P43" s="214"/>
      <c r="Q43" s="214"/>
      <c r="R43" s="215">
        <f>ROUND(SUM(R7,R10,R13,R16,R19,R22,R25,R28,R31,R34,R37,R40)/12,0)</f>
        <v>0</v>
      </c>
      <c r="S43" s="215">
        <f>ROUND(SUM(S7,S10,S13,S16,S19,S22,S25,S28,S31,S34,S37,S40)/12,0)</f>
        <v>0</v>
      </c>
      <c r="T43" s="215">
        <f>ROUND(SUM(T7,T10,T13,T16,T19,T22,T25,T28,T31,T34,T37,T40)/12,0)</f>
        <v>0</v>
      </c>
      <c r="U43" s="215">
        <f>ROUND(SUM(U7,U10,U13,U16,U19,U22,U25,U28,U31,U34,U37,U40)/12,0)</f>
        <v>0</v>
      </c>
      <c r="V43" s="216"/>
      <c r="W43" s="206">
        <f>SUM(I43:L43)</f>
        <v>0</v>
      </c>
      <c r="X43" s="634">
        <f>SUM(W43:W45)</f>
        <v>0</v>
      </c>
      <c r="Y43" s="207">
        <f>SUM(R43:U43)</f>
        <v>0</v>
      </c>
      <c r="Z43" s="637">
        <f>SUM(Y43:Y45)</f>
        <v>0</v>
      </c>
      <c r="AA43" s="208"/>
      <c r="AB43" s="698">
        <f>AA44</f>
        <v>2</v>
      </c>
      <c r="AC43" s="360"/>
      <c r="AD43" s="698">
        <f>IF('様式１－１（【本園分】標準時間対応）'!BC31&gt;0,1,0)+IF('様式１－２（【分園分】標準時間対応）'!BC31&gt;0,1,0)</f>
        <v>0</v>
      </c>
      <c r="AE43" s="370">
        <f>IF($W43&gt;0,1,0)+IF($Y43&gt;0,1,0)</f>
        <v>0</v>
      </c>
      <c r="AF43" s="704" t="str">
        <f>AF40</f>
        <v/>
      </c>
      <c r="AG43" s="700"/>
      <c r="AH43" s="373">
        <f>ROUND(SUM(AH7,AH10,AH13,AH16,AH19,AH22,AH25,AH28,AH31,AH34,AH37,AH40)/12,1)</f>
        <v>0</v>
      </c>
      <c r="AI43" s="709">
        <f>ROUND(SUM(AI7:AI42)/12,0)</f>
        <v>0</v>
      </c>
      <c r="AJ43" s="707" t="e">
        <f>ROUND(SUM(AJ7:AJ42)/12,0)</f>
        <v>#VALUE!</v>
      </c>
      <c r="AK43" s="829">
        <f>ROUND(SUM(AK7:AK42)/12,0)</f>
        <v>0</v>
      </c>
      <c r="AL43" s="361">
        <f>IFERROR(ROUND(((W43+Y43)/(W43+Y43+W44+Y44))*AM43,1),0)</f>
        <v>0</v>
      </c>
      <c r="AM43" s="712">
        <f>ROUND(SUM(AM7:AM42)/12,1)</f>
        <v>0</v>
      </c>
      <c r="AN43" s="693">
        <f>ROUND(SUM(AN7:AN42)/12,0)</f>
        <v>0</v>
      </c>
      <c r="AO43" s="692"/>
      <c r="AP43" s="683">
        <f>ROUND(SUM(AP7:AP42)/12,1)</f>
        <v>1</v>
      </c>
      <c r="AQ43" s="292">
        <f>IFERROR(AP43*(ROUND((W43+Y43)/(Z43+X43),1)),0)</f>
        <v>0</v>
      </c>
      <c r="AR43" s="707" t="e">
        <f t="shared" si="55"/>
        <v>#VALUE!</v>
      </c>
      <c r="AS43" s="806">
        <f>ROUNDDOWN(SUM(AS7:AS42)/12,1)</f>
        <v>0</v>
      </c>
      <c r="AT43" s="806">
        <f>ROUNDDOWN(SUM(AT7:AT42)/12,1)</f>
        <v>0</v>
      </c>
      <c r="AU43" s="626">
        <f>$AU$7</f>
        <v>0</v>
      </c>
      <c r="AV43" s="626">
        <f>SUM('様式１－１（【本園分】標準時間対応）'!BA31:BA32)</f>
        <v>0</v>
      </c>
      <c r="AW43" s="626">
        <f>SUM('様式１－２（【分園分】標準時間対応）'!BA31:BA32)</f>
        <v>0</v>
      </c>
      <c r="AX43" s="629">
        <f>2-AB43</f>
        <v>0</v>
      </c>
      <c r="AY43" s="623">
        <f>IF(OR(AND('様式１－１（【本園分】標準時間対応）'!J31&gt;0, '様式１－１（【本園分】標準時間対応）'!R31&gt;0), '様式１－１（【本園分】標準時間対応）'!BC31&gt;=ROUND((C44+C45)*0.3,0)),1,0) + IF(OR(AND('様式１－２（【分園分】標準時間対応）'!J31&gt;0, '様式１－２（【分園分】標準時間対応）'!R31&gt;0), '様式１－２（【分園分】標準時間対応）'!BC31&gt;=ROUND((D44+D45)*0.3,0)),1,0)</f>
        <v>2</v>
      </c>
      <c r="AZ43" s="803">
        <f>(ROUNDDOWN(J44/10,1)-ROUNDDOWN(J44/15,1))+(ROUNDDOWN(S44/10,1)-ROUNDDOWN(S44/15,1))</f>
        <v>0</v>
      </c>
      <c r="BA43" s="786" t="e">
        <f>SUM(AR43:AZ45)</f>
        <v>#VALUE!</v>
      </c>
      <c r="BB43" s="185"/>
      <c r="BD43" s="555"/>
      <c r="BE43" s="863">
        <f>ROUND(SUM(BE7:BE42)/12,1)</f>
        <v>0</v>
      </c>
      <c r="BF43" s="576"/>
      <c r="BG43" s="806">
        <f>ROUND(SUM(BG7:BG42)/12,1)</f>
        <v>0</v>
      </c>
      <c r="BH43" s="574">
        <f>ROUND(SUM(BH7:BH42)/12,1)</f>
        <v>0</v>
      </c>
      <c r="BI43" s="576"/>
      <c r="BJ43" s="569">
        <f>ROUND(SUM(BJ7:BJ42)/12,1)</f>
        <v>0</v>
      </c>
      <c r="BK43" s="547">
        <f>BE43+BG43+IF((BH43+BJ43)&gt;=AM43,AM43,(BH43+BJ43))</f>
        <v>0</v>
      </c>
      <c r="BL43" s="707" t="e">
        <f>BK43-AR43</f>
        <v>#VALUE!</v>
      </c>
      <c r="BM43" s="707">
        <f>BK43-(AK43+AM43+AN43+AP43)</f>
        <v>-1</v>
      </c>
      <c r="BO43" s="571">
        <f>ROUND(SUM(BO7:BO40)/12,1)</f>
        <v>0</v>
      </c>
      <c r="BP43" s="565" t="str">
        <f>IF(BO43&gt;=0.2,BK43-AR43-BO43,"")</f>
        <v/>
      </c>
      <c r="BT43" s="609" t="s">
        <v>179</v>
      </c>
      <c r="BU43" s="293" t="s">
        <v>71</v>
      </c>
      <c r="BV43" s="294">
        <f>AA43+AC43+AE43+AH43+AL43+AN43+AQ43</f>
        <v>0</v>
      </c>
      <c r="BW43" s="295">
        <f>ROUND(BV43/(BV43+BV44),2)</f>
        <v>0</v>
      </c>
      <c r="BY43" s="609" t="s">
        <v>179</v>
      </c>
      <c r="BZ43" s="293" t="s">
        <v>71</v>
      </c>
      <c r="CA43" s="296">
        <f>AE43+AH43</f>
        <v>0</v>
      </c>
      <c r="CB43" s="295">
        <f>ROUND(CA43/(CA43+CA44),2)</f>
        <v>0</v>
      </c>
    </row>
    <row r="44" spans="1:80" ht="27" customHeight="1">
      <c r="A44" s="715"/>
      <c r="B44" s="70" t="s">
        <v>72</v>
      </c>
      <c r="C44" s="240">
        <f t="shared" si="58"/>
        <v>0</v>
      </c>
      <c r="D44" s="240">
        <f t="shared" si="58"/>
        <v>0</v>
      </c>
      <c r="E44" s="217"/>
      <c r="F44" s="217"/>
      <c r="G44" s="217"/>
      <c r="H44" s="217"/>
      <c r="I44" s="217"/>
      <c r="J44" s="218">
        <f>ROUND(SUM(J8,J11,J14,J17,J20,J23,J26,J29,J32,J35,J38,J41)/12,0)</f>
        <v>0</v>
      </c>
      <c r="K44" s="218">
        <f>ROUND(SUM(K8,K11,K14,K17,K20,K23,K26,K29,K32,K35,K38,K41)/12,0)</f>
        <v>0</v>
      </c>
      <c r="L44" s="218">
        <f>ROUND(SUM(L8,L11,L14,L17,L20,L23,L26,L29,L32,L35,L38,L41)/12,0)</f>
        <v>0</v>
      </c>
      <c r="M44" s="233"/>
      <c r="N44" s="224"/>
      <c r="O44" s="217"/>
      <c r="P44" s="217"/>
      <c r="Q44" s="217"/>
      <c r="R44" s="217"/>
      <c r="S44" s="218">
        <f>ROUND(SUM(S8,S11,S14,S17,S20,S23,S26,S29,S32,S35,S38,S41)/12,0)</f>
        <v>0</v>
      </c>
      <c r="T44" s="218">
        <f>ROUND(SUM(T8,T11,T14,T17,T20,T23,T26,T29,T32,T35,T38,T41)/12,0)</f>
        <v>0</v>
      </c>
      <c r="U44" s="218">
        <f>ROUND(SUM(U8,U11,U14,U17,U20,U23,U26,U29,U32,U35,U38,U41)/12,0)</f>
        <v>0</v>
      </c>
      <c r="V44" s="219"/>
      <c r="W44" s="56">
        <f>SUM(J44:L44)</f>
        <v>0</v>
      </c>
      <c r="X44" s="634"/>
      <c r="Y44" s="55">
        <f>SUM(S44:U44)</f>
        <v>0</v>
      </c>
      <c r="Z44" s="637"/>
      <c r="AA44" s="724">
        <f>IF(C44+C45&lt;=90,1,0)+IF(D44+D45&lt;=90,1,0)</f>
        <v>2</v>
      </c>
      <c r="AB44" s="698"/>
      <c r="AC44" s="695">
        <f>AD43</f>
        <v>0</v>
      </c>
      <c r="AD44" s="698"/>
      <c r="AE44" s="648">
        <f>IF($W44+$W45&gt;0,1,0)+IF($Y44+$Y45&gt;0,1,0)</f>
        <v>0</v>
      </c>
      <c r="AF44" s="660"/>
      <c r="AG44" s="651"/>
      <c r="AH44" s="657">
        <f>AI43-AH43</f>
        <v>0</v>
      </c>
      <c r="AI44" s="709"/>
      <c r="AJ44" s="547"/>
      <c r="AK44" s="702"/>
      <c r="AL44" s="358">
        <f>AM43-AL43</f>
        <v>0</v>
      </c>
      <c r="AM44" s="712"/>
      <c r="AN44" s="693"/>
      <c r="AO44" s="693"/>
      <c r="AP44" s="683"/>
      <c r="AQ44" s="824">
        <f>IFERROR(AP43*(ROUND((W44+W45+Y44+Y45)/(Z43+X43),1)),0)</f>
        <v>0</v>
      </c>
      <c r="AR44" s="547"/>
      <c r="AS44" s="807"/>
      <c r="AT44" s="807"/>
      <c r="AU44" s="626"/>
      <c r="AV44" s="626"/>
      <c r="AW44" s="626"/>
      <c r="AX44" s="629"/>
      <c r="AY44" s="623"/>
      <c r="AZ44" s="803"/>
      <c r="BA44" s="786"/>
      <c r="BB44" s="185"/>
      <c r="BD44" s="555"/>
      <c r="BE44" s="863"/>
      <c r="BF44" s="577"/>
      <c r="BG44" s="807"/>
      <c r="BH44" s="574"/>
      <c r="BI44" s="577"/>
      <c r="BJ44" s="569"/>
      <c r="BK44" s="547"/>
      <c r="BL44" s="547"/>
      <c r="BM44" s="547"/>
      <c r="BO44" s="572"/>
      <c r="BP44" s="566"/>
      <c r="BT44" s="610"/>
      <c r="BU44" s="612" t="s">
        <v>123</v>
      </c>
      <c r="BV44" s="861">
        <f>AA44+AC44+AE44+AH44+AL44+AQ44+AU43+AV43+AW43+AY43+AX43+AZ43</f>
        <v>4</v>
      </c>
      <c r="BW44" s="614">
        <f>1-BW43</f>
        <v>1</v>
      </c>
      <c r="BY44" s="610"/>
      <c r="BZ44" s="612" t="s">
        <v>123</v>
      </c>
      <c r="CA44" s="613">
        <f>AA44+AC44+AH44+AE44</f>
        <v>2</v>
      </c>
      <c r="CB44" s="614">
        <f t="shared" ref="CB44" si="59">ROUND(CA44/(CA43+CA44),2)</f>
        <v>1</v>
      </c>
    </row>
    <row r="45" spans="1:80" ht="27" customHeight="1" thickBot="1">
      <c r="A45" s="715"/>
      <c r="B45" s="70" t="s">
        <v>73</v>
      </c>
      <c r="C45" s="240">
        <f t="shared" si="58"/>
        <v>0</v>
      </c>
      <c r="D45" s="240">
        <f t="shared" si="58"/>
        <v>0</v>
      </c>
      <c r="E45" s="218">
        <f>ROUND(SUM(E9,E12,E15,E18,E21,E24,E27,E30,E33,E36,E39,E42)/12,0)</f>
        <v>0</v>
      </c>
      <c r="F45" s="218">
        <f>ROUND(SUM(F9,F12,F15,F18,F21,F24,F27,F30,F33,F36,F39,F42)/12,0)</f>
        <v>0</v>
      </c>
      <c r="G45" s="220"/>
      <c r="H45" s="218">
        <f>ROUND(SUM(H9,H12,H15,H18,H21,H24,H27,H30,H33,H36,H39,H42)/12,0)</f>
        <v>0</v>
      </c>
      <c r="I45" s="217"/>
      <c r="J45" s="217"/>
      <c r="K45" s="217"/>
      <c r="L45" s="217"/>
      <c r="M45" s="233"/>
      <c r="N45" s="225">
        <f>ROUND(SUM(N9,N12,N15,N18,N21,N24,N27,N30,N33,N36,N39,N42)/12,0)</f>
        <v>0</v>
      </c>
      <c r="O45" s="218">
        <f>ROUND(SUM(O9,O12,O15,O18,O21,O24,O27,O30,O33,O36,O39,O42)/12,0)</f>
        <v>0</v>
      </c>
      <c r="P45" s="220"/>
      <c r="Q45" s="218">
        <f>ROUND(SUM(Q9,Q12,Q15,Q18,Q21,Q24,Q27,Q30,Q33,Q36,Q39,Q42)/12,0)</f>
        <v>0</v>
      </c>
      <c r="R45" s="217"/>
      <c r="S45" s="217"/>
      <c r="T45" s="217"/>
      <c r="U45" s="217"/>
      <c r="V45" s="221"/>
      <c r="W45" s="56">
        <f>SUM(E45:F45,H45)</f>
        <v>0</v>
      </c>
      <c r="X45" s="720"/>
      <c r="Y45" s="342">
        <f>SUM(N45:O45,Q45)</f>
        <v>0</v>
      </c>
      <c r="Z45" s="716"/>
      <c r="AA45" s="725"/>
      <c r="AB45" s="699"/>
      <c r="AC45" s="696"/>
      <c r="AD45" s="699"/>
      <c r="AE45" s="649"/>
      <c r="AF45" s="662"/>
      <c r="AG45" s="687"/>
      <c r="AH45" s="658"/>
      <c r="AI45" s="710"/>
      <c r="AJ45" s="708"/>
      <c r="AK45" s="830"/>
      <c r="AL45" s="362"/>
      <c r="AM45" s="713"/>
      <c r="AN45" s="694"/>
      <c r="AO45" s="694"/>
      <c r="AP45" s="684"/>
      <c r="AQ45" s="825"/>
      <c r="AR45" s="708"/>
      <c r="AS45" s="808"/>
      <c r="AT45" s="808"/>
      <c r="AU45" s="627"/>
      <c r="AV45" s="627"/>
      <c r="AW45" s="627"/>
      <c r="AX45" s="630"/>
      <c r="AY45" s="624"/>
      <c r="AZ45" s="804"/>
      <c r="BA45" s="819"/>
      <c r="BB45" s="185"/>
      <c r="BD45" s="555"/>
      <c r="BE45" s="864"/>
      <c r="BF45" s="578"/>
      <c r="BG45" s="808"/>
      <c r="BH45" s="575"/>
      <c r="BI45" s="578"/>
      <c r="BJ45" s="570"/>
      <c r="BK45" s="708"/>
      <c r="BL45" s="708"/>
      <c r="BM45" s="708"/>
      <c r="BO45" s="573"/>
      <c r="BP45" s="567"/>
      <c r="BT45" s="611"/>
      <c r="BU45" s="612"/>
      <c r="BV45" s="861"/>
      <c r="BW45" s="614"/>
      <c r="BY45" s="611"/>
      <c r="BZ45" s="612"/>
      <c r="CA45" s="613"/>
      <c r="CB45" s="614"/>
    </row>
    <row r="46" spans="1:80" ht="27" customHeight="1" thickTop="1" thickBot="1">
      <c r="BG46" s="1"/>
      <c r="BH46" s="1"/>
      <c r="BI46" s="1"/>
      <c r="BJ46" s="1"/>
      <c r="BT46" s="318"/>
      <c r="BU46" s="183"/>
      <c r="BV46" s="319"/>
      <c r="BW46" s="320"/>
      <c r="BY46" s="318"/>
      <c r="BZ46" s="183"/>
      <c r="CA46" s="321"/>
      <c r="CB46" s="320"/>
    </row>
    <row r="47" spans="1:80" customFormat="1" ht="24.75" customHeight="1" thickTop="1">
      <c r="M47" s="586" t="s">
        <v>240</v>
      </c>
      <c r="N47" s="587"/>
      <c r="O47" s="587"/>
      <c r="P47" s="587"/>
      <c r="Q47" s="587"/>
      <c r="R47" s="588"/>
      <c r="S47" s="589" t="s">
        <v>241</v>
      </c>
      <c r="T47" s="590"/>
      <c r="U47" s="590"/>
      <c r="V47" s="591"/>
      <c r="W47" s="169" t="s">
        <v>242</v>
      </c>
      <c r="AD47" s="322"/>
    </row>
    <row r="48" spans="1:80" customFormat="1" ht="24.75" customHeight="1">
      <c r="M48" s="595" t="s">
        <v>243</v>
      </c>
      <c r="N48" s="596"/>
      <c r="O48" s="597" t="s">
        <v>244</v>
      </c>
      <c r="P48" s="596"/>
      <c r="Q48" s="598" t="s">
        <v>245</v>
      </c>
      <c r="R48" s="599"/>
      <c r="S48" s="592"/>
      <c r="T48" s="593"/>
      <c r="U48" s="593"/>
      <c r="V48" s="594"/>
      <c r="W48" s="169" t="s">
        <v>246</v>
      </c>
      <c r="X48" s="169"/>
      <c r="Y48" s="169"/>
      <c r="Z48" s="169"/>
      <c r="AA48" s="169"/>
      <c r="AB48" s="169"/>
      <c r="AC48" s="169"/>
      <c r="AD48" s="169"/>
      <c r="AE48" s="169"/>
      <c r="AF48" s="169"/>
      <c r="AG48" s="169"/>
      <c r="AH48" s="169"/>
      <c r="AI48" s="169"/>
    </row>
    <row r="49" spans="1:64" customFormat="1" ht="55.5" customHeight="1" thickBot="1">
      <c r="M49" s="600">
        <f>【補助金算定に係る確認表】!AE21</f>
        <v>2</v>
      </c>
      <c r="N49" s="601"/>
      <c r="O49" s="602">
        <f>【補助金算定に係る確認表】!AF21</f>
        <v>0</v>
      </c>
      <c r="P49" s="603"/>
      <c r="Q49" s="604">
        <f>【補助金算定に係る確認表】!AG21</f>
        <v>0</v>
      </c>
      <c r="R49" s="605"/>
      <c r="S49" s="606" t="s">
        <v>395</v>
      </c>
      <c r="T49" s="607"/>
      <c r="U49" s="608"/>
      <c r="V49" s="323">
        <f>【補助金算定に係る確認表】!$D$21-【補助金算定に係る確認表】!H21</f>
        <v>-4</v>
      </c>
      <c r="W49" s="676" t="s">
        <v>247</v>
      </c>
      <c r="X49" s="677"/>
      <c r="Y49" s="677"/>
      <c r="Z49" s="677"/>
      <c r="AA49" s="677"/>
      <c r="AB49" s="677"/>
      <c r="AC49" s="677"/>
      <c r="AD49" s="677"/>
      <c r="AE49" s="677"/>
      <c r="AF49" s="677"/>
      <c r="AG49" s="677"/>
      <c r="AH49" s="678"/>
      <c r="AI49" s="324"/>
    </row>
    <row r="50" spans="1:64" customFormat="1" ht="58.5" customHeight="1" thickTop="1">
      <c r="M50" s="642" t="s">
        <v>248</v>
      </c>
      <c r="N50" s="643"/>
      <c r="O50" s="643"/>
      <c r="P50" s="643"/>
      <c r="Q50" s="643"/>
      <c r="R50" s="644"/>
      <c r="S50" s="325" t="s">
        <v>249</v>
      </c>
      <c r="T50" s="326" t="s">
        <v>250</v>
      </c>
      <c r="U50" s="326" t="s">
        <v>251</v>
      </c>
      <c r="V50" s="326" t="s">
        <v>252</v>
      </c>
      <c r="W50" s="433" t="s">
        <v>253</v>
      </c>
      <c r="X50" s="327" t="s">
        <v>384</v>
      </c>
      <c r="Y50" s="148"/>
      <c r="Z50" s="148"/>
      <c r="AA50" s="148"/>
      <c r="AB50" s="148"/>
      <c r="AC50" s="148"/>
      <c r="AD50" s="328"/>
      <c r="AE50" s="148"/>
      <c r="AF50" s="148"/>
      <c r="AG50" s="148"/>
      <c r="AH50" s="148"/>
    </row>
    <row r="51" spans="1:64" customFormat="1" ht="36" customHeight="1">
      <c r="M51" s="645" t="s">
        <v>254</v>
      </c>
      <c r="N51" s="646"/>
      <c r="O51" s="646"/>
      <c r="P51" s="646"/>
      <c r="Q51" s="646"/>
      <c r="R51" s="647"/>
      <c r="S51" s="329" t="str">
        <f>IF(SUM(AS43:AT45)=0,"非該当",IF(【補助金算定に係る確認表】!$D$21&gt;【補助金算定に係る確認表】!K21,"○","-"))</f>
        <v>非該当</v>
      </c>
      <c r="T51" s="330" t="str">
        <f>IF(【補助金算定に係る確認表】!$D$21&gt;(【補助金算定に係る確認表】!K21+【補助金算定に係る確認表】!L21+【補助金算定に係る確認表】!N21),"○","-")</f>
        <v>-</v>
      </c>
      <c r="U51" s="330" t="str">
        <f>IF(【補助金算定に係る確認表】!$D$21&gt;(【補助金算定に係る確認表】!K21+【補助金算定に係る確認表】!L21+【補助金算定に係る確認表】!N21+【補助金算定に係る確認表】!Q21),"○","-")</f>
        <v>-</v>
      </c>
      <c r="V51" s="330" t="str">
        <f>IF(【補助金算定に係る確認表】!$D$21&gt;(【補助金算定に係る確認表】!K21+【補助金算定に係る確認表】!L21+【補助金算定に係る確認表】!N21+【補助金算定に係る確認表】!Q21+【補助金算定に係る確認表】!T21),"○","-")</f>
        <v>-</v>
      </c>
      <c r="W51" s="434" t="str">
        <f>IF(【補助金算定に係る確認表】!$D$21&gt;(【補助金算定に係る確認表】!K21+【補助金算定に係る確認表】!L21+【補助金算定に係る確認表】!N21+【補助金算定に係る確認表】!Q21+【補助金算定に係る確認表】!T21+【補助金算定に係る確認表】!W21),"○","-")</f>
        <v>-</v>
      </c>
      <c r="X51" s="331" t="str">
        <f>IF(【補助金算定に係る確認表】!$D$21&gt;(【補助金算定に係る確認表】!K21+【補助金算定に係る確認表】!L21+【補助金算定に係る確認表】!N21+【補助金算定に係る確認表】!Q21+【補助金算定に係る確認表】!T21+【補助金算定に係る確認表】!W21+【補助金算定に係る確認表】!Z21),"○","-")</f>
        <v>-</v>
      </c>
    </row>
    <row r="52" spans="1:64" customFormat="1" ht="36" customHeight="1">
      <c r="M52" s="581" t="s">
        <v>255</v>
      </c>
      <c r="N52" s="582"/>
      <c r="O52" s="582"/>
      <c r="P52" s="582"/>
      <c r="Q52" s="582"/>
      <c r="R52" s="583"/>
      <c r="S52" s="332"/>
      <c r="T52" s="333">
        <f>IF(T51="○","適用済",((【補助金算定に係る確認表】!K21+【補助金算定に係る確認表】!L21+【補助金算定に係る確認表】!N21)+0.1-(【補助金算定に係る確認表】!$D$21)))</f>
        <v>2.1</v>
      </c>
      <c r="U52" s="333">
        <f>IF(U51="○","適用済",((【補助金算定に係る確認表】!K21+【補助金算定に係る確認表】!L21+【補助金算定に係る確認表】!N21+【補助金算定に係る確認表】!Q21)+0.1-(【補助金算定に係る確認表】!$D$21)))</f>
        <v>2.1</v>
      </c>
      <c r="V52" s="333">
        <f>IF(V51="○","適用済",((【補助金算定に係る確認表】!K21+【補助金算定に係る確認表】!L21+【補助金算定に係る確認表】!N21+【補助金算定に係る確認表】!Q21+【補助金算定に係る確認表】!T21)+0.1-(【補助金算定に係る確認表】!$D$21)))</f>
        <v>2.1</v>
      </c>
      <c r="W52" s="435">
        <f>IF(W51="○","適用済",((【補助金算定に係る確認表】!K21+【補助金算定に係る確認表】!L21+【補助金算定に係る確認表】!N21+【補助金算定に係る確認表】!Q21+【補助金算定に係る確認表】!T21+【補助金算定に係る確認表】!W21)+0.1-(【補助金算定に係る確認表】!$D$21)))</f>
        <v>2.1</v>
      </c>
      <c r="X52" s="334">
        <f>IF(X51="○","適用済",((【補助金算定に係る確認表】!K21+【補助金算定に係る確認表】!L21+【補助金算定に係る確認表】!N21+【補助金算定に係る確認表】!Q21+【補助金算定に係る確認表】!T21+【補助金算定に係る確認表】!W21+【補助金算定に係る確認表】!Z21)+0.1-(【補助金算定に係る確認表】!$D$21)))</f>
        <v>4.0999999999999996</v>
      </c>
    </row>
    <row r="53" spans="1:64" customFormat="1" ht="63" customHeight="1" thickBot="1">
      <c r="M53" s="584" t="s">
        <v>256</v>
      </c>
      <c r="N53" s="585"/>
      <c r="O53" s="585"/>
      <c r="P53" s="585"/>
      <c r="Q53" s="335" t="s">
        <v>257</v>
      </c>
      <c r="R53" s="336"/>
      <c r="S53" s="337"/>
      <c r="T53" s="338">
        <f>IF(T$52="適用済","適用済",IF($R$53="",T$52,IF($R$53&lt;=3,ROUND(T$52*12/(4-$R$53),1),ROUND(T$52*12/(16-$R$53),1))))</f>
        <v>2.1</v>
      </c>
      <c r="U53" s="338">
        <f>IF(U$52="適用済","適用済",IF($R$53="",U$52,IF($R$53&lt;=3,ROUND(U$52*12/(4-$R$53),1),ROUND(U$52*12/(16-$R$53),1))))</f>
        <v>2.1</v>
      </c>
      <c r="V53" s="338">
        <f>IF(V$52="適用済","適用済",IF($R$53="",V$52,IF($R$53&lt;=3,ROUND(V$52*12/(4-$R$53),1),ROUND(V$52*12/(16-$R$53),1))))</f>
        <v>2.1</v>
      </c>
      <c r="W53" s="436">
        <f>IF(W$52="適用済","適用済",IF($R$53="",W$52,IF($R$53&lt;=3,ROUND(W$52*12/(4-$R$53),1),ROUND(W$52*12/(16-$R$53),1))))</f>
        <v>2.1</v>
      </c>
      <c r="X53" s="339">
        <f>IF(X$52="適用済","適用済",IF($R$53="",X$52,IF($R$53&lt;=3,ROUND(X$52*12/(4-$R$53),1),ROUND(X$52*12/(16-$R$53),1))))</f>
        <v>4.0999999999999996</v>
      </c>
    </row>
    <row r="54" spans="1:64" customFormat="1" ht="108.75" customHeight="1" thickTop="1">
      <c r="O54" s="340"/>
      <c r="S54" s="340"/>
      <c r="T54" s="340"/>
      <c r="U54" s="340"/>
      <c r="V54" s="340"/>
      <c r="W54" s="340"/>
      <c r="Z54" s="341"/>
      <c r="AD54" s="322"/>
    </row>
    <row r="55" spans="1:64" s="72" customFormat="1">
      <c r="A55" s="618" t="s">
        <v>175</v>
      </c>
      <c r="B55" s="619"/>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row>
    <row r="56" spans="1:64">
      <c r="A56" s="620" t="s">
        <v>402</v>
      </c>
      <c r="B56" s="621"/>
    </row>
    <row r="57" spans="1:64">
      <c r="AF57" s="7"/>
      <c r="AG57" s="76"/>
      <c r="AH57" s="76"/>
      <c r="AI57" s="76"/>
      <c r="AJ57" s="77"/>
      <c r="AK57" s="77"/>
      <c r="AL57" s="77"/>
    </row>
    <row r="58" spans="1:64">
      <c r="AF58" s="7"/>
      <c r="AG58" s="7"/>
      <c r="AH58" s="7"/>
      <c r="AI58" s="7"/>
      <c r="AJ58" s="77"/>
      <c r="AK58" s="77"/>
      <c r="AL58" s="77"/>
    </row>
    <row r="59" spans="1:64">
      <c r="L59" s="426" t="s">
        <v>50</v>
      </c>
      <c r="AF59" s="7"/>
      <c r="AG59" s="7"/>
      <c r="AH59" s="7"/>
      <c r="AI59" s="7"/>
      <c r="AJ59" s="77"/>
      <c r="AK59" s="77"/>
      <c r="AL59" s="77"/>
    </row>
    <row r="60" spans="1:64">
      <c r="AF60" s="7"/>
      <c r="AG60" s="7"/>
      <c r="AH60" s="7"/>
      <c r="AI60" s="7"/>
      <c r="AJ60" s="77"/>
      <c r="AK60" s="77"/>
      <c r="AL60" s="77"/>
    </row>
    <row r="61" spans="1:64">
      <c r="AF61" s="7"/>
      <c r="AG61" s="7"/>
      <c r="AH61" s="7"/>
      <c r="AI61" s="7"/>
      <c r="AJ61" s="77"/>
      <c r="AK61" s="77"/>
      <c r="AL61" s="77"/>
    </row>
    <row r="62" spans="1:64">
      <c r="AF62" s="7"/>
      <c r="AG62" s="7"/>
      <c r="AH62" s="7"/>
      <c r="AI62" s="7"/>
      <c r="AJ62" s="77"/>
      <c r="AK62" s="77"/>
      <c r="AL62" s="77"/>
    </row>
    <row r="63" spans="1:64">
      <c r="AF63" s="7"/>
      <c r="AG63" s="7"/>
      <c r="AH63" s="7"/>
      <c r="AI63" s="7"/>
      <c r="AJ63" s="77"/>
      <c r="AK63" s="77"/>
      <c r="AL63" s="77"/>
    </row>
    <row r="64" spans="1:64">
      <c r="AF64" s="7"/>
      <c r="AG64" s="7"/>
      <c r="AH64" s="7"/>
      <c r="AI64" s="7"/>
      <c r="AJ64" s="77"/>
      <c r="AK64" s="77"/>
      <c r="AL64" s="77"/>
    </row>
    <row r="65" spans="32:38">
      <c r="AF65" s="7"/>
      <c r="AG65" s="7"/>
      <c r="AH65" s="7"/>
      <c r="AI65" s="7"/>
      <c r="AJ65" s="77"/>
      <c r="AK65" s="77"/>
      <c r="AL65" s="77"/>
    </row>
    <row r="66" spans="32:38">
      <c r="AF66" s="7"/>
      <c r="AG66" s="7"/>
      <c r="AH66" s="7"/>
      <c r="AI66" s="7"/>
      <c r="AJ66" s="77"/>
      <c r="AK66" s="77"/>
      <c r="AL66" s="77"/>
    </row>
    <row r="67" spans="32:38">
      <c r="AF67" s="7"/>
      <c r="AG67" s="7"/>
      <c r="AH67" s="7"/>
      <c r="AI67" s="7"/>
      <c r="AJ67" s="77"/>
      <c r="AK67" s="77"/>
      <c r="AL67" s="77"/>
    </row>
    <row r="68" spans="32:38">
      <c r="AF68" s="7"/>
      <c r="AG68" s="7"/>
      <c r="AH68" s="7"/>
      <c r="AI68" s="7"/>
      <c r="AJ68" s="77"/>
      <c r="AK68" s="77"/>
      <c r="AL68" s="77"/>
    </row>
    <row r="69" spans="32:38">
      <c r="AG69" s="75"/>
      <c r="AH69" s="75"/>
      <c r="AI69" s="75"/>
    </row>
    <row r="70" spans="32:38">
      <c r="AG70" s="75"/>
      <c r="AH70" s="75"/>
      <c r="AI70" s="75"/>
    </row>
    <row r="71" spans="32:38">
      <c r="AG71" s="75"/>
      <c r="AH71" s="75"/>
      <c r="AI71" s="75"/>
    </row>
  </sheetData>
  <sheetProtection algorithmName="SHA-512" hashValue="IVLAINl+gE2mpMuLBZGIXaJQg1sGVPOzaGz/UPlOgq6ws5isMqJWEVeI2tv9QVh8vufVgg5dqLmCqo41VDQn6w==" saltValue="uo7K2CYJuYCIr/PXHL/dbw==" spinCount="100000" sheet="1" objects="1" scenarios="1"/>
  <mergeCells count="710">
    <mergeCell ref="BM34:BM36"/>
    <mergeCell ref="BM37:BM39"/>
    <mergeCell ref="BM40:BM42"/>
    <mergeCell ref="BM43:BM45"/>
    <mergeCell ref="AK3:AK6"/>
    <mergeCell ref="AK7:AK9"/>
    <mergeCell ref="AK10:AK12"/>
    <mergeCell ref="AK16:AK18"/>
    <mergeCell ref="AK19:AK21"/>
    <mergeCell ref="BK43:BK45"/>
    <mergeCell ref="BE43:BE45"/>
    <mergeCell ref="BL5:BL6"/>
    <mergeCell ref="BL3:BM3"/>
    <mergeCell ref="BM4:BM6"/>
    <mergeCell ref="BM7:BM9"/>
    <mergeCell ref="BM10:BM12"/>
    <mergeCell ref="BM13:BM15"/>
    <mergeCell ref="BM16:BM18"/>
    <mergeCell ref="BM19:BM21"/>
    <mergeCell ref="BM22:BM24"/>
    <mergeCell ref="BL19:BL21"/>
    <mergeCell ref="AM22:AM24"/>
    <mergeCell ref="BG19:BG21"/>
    <mergeCell ref="AR19:AR21"/>
    <mergeCell ref="BO31:BO33"/>
    <mergeCell ref="BD31:BD33"/>
    <mergeCell ref="AW31:AW33"/>
    <mergeCell ref="AW28:AW30"/>
    <mergeCell ref="AV31:AV33"/>
    <mergeCell ref="AV28:AV30"/>
    <mergeCell ref="AV25:AV27"/>
    <mergeCell ref="BF22:BF24"/>
    <mergeCell ref="AV22:AV24"/>
    <mergeCell ref="BK31:BK33"/>
    <mergeCell ref="BE31:BE33"/>
    <mergeCell ref="BF31:BF33"/>
    <mergeCell ref="BG31:BG33"/>
    <mergeCell ref="BL31:BL33"/>
    <mergeCell ref="BH31:BH33"/>
    <mergeCell ref="BJ31:BJ33"/>
    <mergeCell ref="BI31:BI33"/>
    <mergeCell ref="BA31:BA33"/>
    <mergeCell ref="BL22:BL24"/>
    <mergeCell ref="BO22:BO24"/>
    <mergeCell ref="BK22:BK24"/>
    <mergeCell ref="BM25:BM27"/>
    <mergeCell ref="BM28:BM30"/>
    <mergeCell ref="BM31:BM33"/>
    <mergeCell ref="BV29:BV30"/>
    <mergeCell ref="BT28:BT30"/>
    <mergeCell ref="BU29:BU30"/>
    <mergeCell ref="BL28:BL30"/>
    <mergeCell ref="BL25:BL27"/>
    <mergeCell ref="AT28:AT30"/>
    <mergeCell ref="AU28:AU30"/>
    <mergeCell ref="BO28:BO30"/>
    <mergeCell ref="BE28:BE30"/>
    <mergeCell ref="BF28:BF30"/>
    <mergeCell ref="BI28:BI30"/>
    <mergeCell ref="BH28:BH30"/>
    <mergeCell ref="AT25:AT27"/>
    <mergeCell ref="BH25:BH27"/>
    <mergeCell ref="BO25:BO27"/>
    <mergeCell ref="BE25:BE27"/>
    <mergeCell ref="BA25:BA27"/>
    <mergeCell ref="BV26:BV27"/>
    <mergeCell ref="BT25:BT27"/>
    <mergeCell ref="BU26:BU27"/>
    <mergeCell ref="BG25:BG27"/>
    <mergeCell ref="BD28:BD30"/>
    <mergeCell ref="BW35:BW36"/>
    <mergeCell ref="BW38:BW39"/>
    <mergeCell ref="BW44:BW45"/>
    <mergeCell ref="BW8:BW9"/>
    <mergeCell ref="BW11:BW12"/>
    <mergeCell ref="BW14:BW15"/>
    <mergeCell ref="BW17:BW18"/>
    <mergeCell ref="BW20:BW21"/>
    <mergeCell ref="BW23:BW24"/>
    <mergeCell ref="BW41:BW42"/>
    <mergeCell ref="BW26:BW27"/>
    <mergeCell ref="BW29:BW30"/>
    <mergeCell ref="BW32:BW33"/>
    <mergeCell ref="BV38:BV39"/>
    <mergeCell ref="BV44:BV45"/>
    <mergeCell ref="BT31:BT33"/>
    <mergeCell ref="BU32:BU33"/>
    <mergeCell ref="BT34:BT36"/>
    <mergeCell ref="BU35:BU36"/>
    <mergeCell ref="BT37:BT39"/>
    <mergeCell ref="BU38:BU39"/>
    <mergeCell ref="BT43:BT45"/>
    <mergeCell ref="BU44:BU45"/>
    <mergeCell ref="BT40:BT42"/>
    <mergeCell ref="BU41:BU42"/>
    <mergeCell ref="BV41:BV42"/>
    <mergeCell ref="BV32:BV33"/>
    <mergeCell ref="BV35:BV36"/>
    <mergeCell ref="BV8:BV9"/>
    <mergeCell ref="BV11:BV12"/>
    <mergeCell ref="BV14:BV15"/>
    <mergeCell ref="BV17:BV18"/>
    <mergeCell ref="BV20:BV21"/>
    <mergeCell ref="BV23:BV24"/>
    <mergeCell ref="BT7:BT9"/>
    <mergeCell ref="BU8:BU9"/>
    <mergeCell ref="BT10:BT12"/>
    <mergeCell ref="BU11:BU12"/>
    <mergeCell ref="BT13:BT15"/>
    <mergeCell ref="BU14:BU15"/>
    <mergeCell ref="BT22:BT24"/>
    <mergeCell ref="BU23:BU24"/>
    <mergeCell ref="BT19:BT21"/>
    <mergeCell ref="BU20:BU21"/>
    <mergeCell ref="BT16:BT18"/>
    <mergeCell ref="BU17:BU18"/>
    <mergeCell ref="BL16:BL18"/>
    <mergeCell ref="AG19:AG21"/>
    <mergeCell ref="AM19:AM21"/>
    <mergeCell ref="AT19:AT21"/>
    <mergeCell ref="AG22:AG24"/>
    <mergeCell ref="AB34:AB36"/>
    <mergeCell ref="AD34:AD36"/>
    <mergeCell ref="AC29:AC30"/>
    <mergeCell ref="AC32:AC33"/>
    <mergeCell ref="AS34:AS36"/>
    <mergeCell ref="BK28:BK30"/>
    <mergeCell ref="BJ28:BJ30"/>
    <mergeCell ref="AN25:AN27"/>
    <mergeCell ref="BJ25:BJ27"/>
    <mergeCell ref="BI25:BI27"/>
    <mergeCell ref="AR25:AR27"/>
    <mergeCell ref="AS25:AS27"/>
    <mergeCell ref="AP25:AP27"/>
    <mergeCell ref="AQ26:AQ27"/>
    <mergeCell ref="AR22:AR24"/>
    <mergeCell ref="BE22:BE24"/>
    <mergeCell ref="AS19:AS21"/>
    <mergeCell ref="AT31:AT33"/>
    <mergeCell ref="AK31:AK33"/>
    <mergeCell ref="A1:B1"/>
    <mergeCell ref="AJ19:AJ21"/>
    <mergeCell ref="AJ22:AJ24"/>
    <mergeCell ref="BK19:BK21"/>
    <mergeCell ref="AQ20:AQ21"/>
    <mergeCell ref="BE19:BE21"/>
    <mergeCell ref="AF7:AF9"/>
    <mergeCell ref="AB22:AB24"/>
    <mergeCell ref="AD22:AD24"/>
    <mergeCell ref="T4:T5"/>
    <mergeCell ref="U4:U5"/>
    <mergeCell ref="V4:V6"/>
    <mergeCell ref="N6:U6"/>
    <mergeCell ref="AA14:AA15"/>
    <mergeCell ref="AA17:AA18"/>
    <mergeCell ref="AB7:AB9"/>
    <mergeCell ref="AA20:AA21"/>
    <mergeCell ref="AE3:AF5"/>
    <mergeCell ref="AA3:AB6"/>
    <mergeCell ref="AA8:AA9"/>
    <mergeCell ref="B3:Z3"/>
    <mergeCell ref="Y4:Z6"/>
    <mergeCell ref="D4:D6"/>
    <mergeCell ref="N4:N5"/>
    <mergeCell ref="Z37:Z39"/>
    <mergeCell ref="Z43:Z45"/>
    <mergeCell ref="Z10:Z12"/>
    <mergeCell ref="Z13:Z15"/>
    <mergeCell ref="Z16:Z18"/>
    <mergeCell ref="Z19:Z21"/>
    <mergeCell ref="Z22:Z24"/>
    <mergeCell ref="Z25:Z27"/>
    <mergeCell ref="AD31:AD33"/>
    <mergeCell ref="AD19:AD21"/>
    <mergeCell ref="AA35:AA36"/>
    <mergeCell ref="AA38:AA39"/>
    <mergeCell ref="AA44:AA45"/>
    <mergeCell ref="Z28:Z30"/>
    <mergeCell ref="Z31:Z33"/>
    <mergeCell ref="Z34:Z36"/>
    <mergeCell ref="AB37:AB39"/>
    <mergeCell ref="AD37:AD39"/>
    <mergeCell ref="AD13:AD15"/>
    <mergeCell ref="AC35:AC36"/>
    <mergeCell ref="AA41:AA42"/>
    <mergeCell ref="AC41:AC42"/>
    <mergeCell ref="AC26:AC27"/>
    <mergeCell ref="AB40:AB42"/>
    <mergeCell ref="O4:O5"/>
    <mergeCell ref="Q4:Q5"/>
    <mergeCell ref="R4:R5"/>
    <mergeCell ref="L4:L5"/>
    <mergeCell ref="J4:J5"/>
    <mergeCell ref="K4:K5"/>
    <mergeCell ref="M4:M6"/>
    <mergeCell ref="AB43:AB45"/>
    <mergeCell ref="AD43:AD45"/>
    <mergeCell ref="AC38:AC39"/>
    <mergeCell ref="AC44:AC45"/>
    <mergeCell ref="AC3:AD6"/>
    <mergeCell ref="AC8:AC9"/>
    <mergeCell ref="AC11:AC12"/>
    <mergeCell ref="AC14:AC15"/>
    <mergeCell ref="AC17:AC18"/>
    <mergeCell ref="AC20:AC21"/>
    <mergeCell ref="AD10:AD12"/>
    <mergeCell ref="AD7:AD9"/>
    <mergeCell ref="AB31:AB33"/>
    <mergeCell ref="AA29:AA30"/>
    <mergeCell ref="AA11:AA12"/>
    <mergeCell ref="AD25:AD27"/>
    <mergeCell ref="AD16:AD18"/>
    <mergeCell ref="AP37:AP39"/>
    <mergeCell ref="AQ38:AQ39"/>
    <mergeCell ref="AV43:AV45"/>
    <mergeCell ref="AV37:AV39"/>
    <mergeCell ref="AW43:AW45"/>
    <mergeCell ref="AW37:AW39"/>
    <mergeCell ref="AN43:AN45"/>
    <mergeCell ref="AK37:AK39"/>
    <mergeCell ref="AK40:AK42"/>
    <mergeCell ref="AQ44:AQ45"/>
    <mergeCell ref="AQ41:AQ42"/>
    <mergeCell ref="AR43:AR45"/>
    <mergeCell ref="AR37:AR39"/>
    <mergeCell ref="AM40:AM42"/>
    <mergeCell ref="AN40:AN42"/>
    <mergeCell ref="AO43:AO45"/>
    <mergeCell ref="AO37:AO39"/>
    <mergeCell ref="AR40:AR42"/>
    <mergeCell ref="AK43:AK45"/>
    <mergeCell ref="BO34:BO36"/>
    <mergeCell ref="AR34:AR36"/>
    <mergeCell ref="BL43:BL45"/>
    <mergeCell ref="AT43:AT45"/>
    <mergeCell ref="AU43:AU45"/>
    <mergeCell ref="BL34:BL36"/>
    <mergeCell ref="BE34:BE36"/>
    <mergeCell ref="BF34:BF36"/>
    <mergeCell ref="BH34:BH36"/>
    <mergeCell ref="BJ34:BJ36"/>
    <mergeCell ref="BI34:BI36"/>
    <mergeCell ref="AV34:AV36"/>
    <mergeCell ref="BG34:BG36"/>
    <mergeCell ref="BK34:BK36"/>
    <mergeCell ref="BD34:BD36"/>
    <mergeCell ref="AW34:AW36"/>
    <mergeCell ref="BJ40:BJ42"/>
    <mergeCell ref="AT40:AT42"/>
    <mergeCell ref="AU40:AU42"/>
    <mergeCell ref="BO37:BO39"/>
    <mergeCell ref="AY43:AY45"/>
    <mergeCell ref="BO40:BO42"/>
    <mergeCell ref="BL40:BL42"/>
    <mergeCell ref="BF43:BF45"/>
    <mergeCell ref="BJ37:BJ39"/>
    <mergeCell ref="BK40:BK42"/>
    <mergeCell ref="AS37:AS39"/>
    <mergeCell ref="AX37:AX39"/>
    <mergeCell ref="BG40:BG42"/>
    <mergeCell ref="BH40:BH42"/>
    <mergeCell ref="BI40:BI42"/>
    <mergeCell ref="AS43:AS45"/>
    <mergeCell ref="BA40:BA42"/>
    <mergeCell ref="BI37:BI39"/>
    <mergeCell ref="BD40:BD42"/>
    <mergeCell ref="BE40:BE42"/>
    <mergeCell ref="BF40:BF42"/>
    <mergeCell ref="BA37:BA39"/>
    <mergeCell ref="BA43:BA45"/>
    <mergeCell ref="BE37:BE39"/>
    <mergeCell ref="BF37:BF39"/>
    <mergeCell ref="BG37:BG39"/>
    <mergeCell ref="AT37:AT39"/>
    <mergeCell ref="AU37:AU39"/>
    <mergeCell ref="AS40:AS42"/>
    <mergeCell ref="AO13:AO15"/>
    <mergeCell ref="AV13:AV15"/>
    <mergeCell ref="AW13:AW15"/>
    <mergeCell ref="AP13:AP15"/>
    <mergeCell ref="AQ14:AQ15"/>
    <mergeCell ref="AS13:AS15"/>
    <mergeCell ref="AR13:AR15"/>
    <mergeCell ref="AX40:AX42"/>
    <mergeCell ref="BG43:BG45"/>
    <mergeCell ref="BD37:BD39"/>
    <mergeCell ref="BD43:BD45"/>
    <mergeCell ref="BA16:BA18"/>
    <mergeCell ref="BE13:BE15"/>
    <mergeCell ref="BF13:BF15"/>
    <mergeCell ref="BG13:BG15"/>
    <mergeCell ref="AZ43:AZ45"/>
    <mergeCell ref="AZ40:AZ42"/>
    <mergeCell ref="AZ37:AZ39"/>
    <mergeCell ref="BG28:BG30"/>
    <mergeCell ref="AV40:AV42"/>
    <mergeCell ref="AW40:AW42"/>
    <mergeCell ref="AY40:AY42"/>
    <mergeCell ref="BA34:BA36"/>
    <mergeCell ref="AX43:AX45"/>
    <mergeCell ref="AP31:AP33"/>
    <mergeCell ref="AQ32:AQ33"/>
    <mergeCell ref="AO31:AO33"/>
    <mergeCell ref="BA28:BA30"/>
    <mergeCell ref="AR16:AR18"/>
    <mergeCell ref="AS28:AS30"/>
    <mergeCell ref="AT34:AT36"/>
    <mergeCell ref="AO16:AO18"/>
    <mergeCell ref="AV16:AV18"/>
    <mergeCell ref="AW16:AW18"/>
    <mergeCell ref="AP16:AP18"/>
    <mergeCell ref="AZ34:AZ36"/>
    <mergeCell ref="AZ31:AZ33"/>
    <mergeCell ref="AZ28:AZ30"/>
    <mergeCell ref="AZ25:AZ27"/>
    <mergeCell ref="AU31:AU33"/>
    <mergeCell ref="AO25:AO27"/>
    <mergeCell ref="AO34:AO36"/>
    <mergeCell ref="AO28:AO30"/>
    <mergeCell ref="BG16:BG18"/>
    <mergeCell ref="BK16:BK18"/>
    <mergeCell ref="AS22:AS24"/>
    <mergeCell ref="AP22:AP24"/>
    <mergeCell ref="AQ23:AQ24"/>
    <mergeCell ref="AO22:AO24"/>
    <mergeCell ref="AO19:AO21"/>
    <mergeCell ref="AS16:AS18"/>
    <mergeCell ref="BA22:BA24"/>
    <mergeCell ref="BJ16:BJ18"/>
    <mergeCell ref="AQ17:AQ18"/>
    <mergeCell ref="AZ22:AZ24"/>
    <mergeCell ref="BE10:BE12"/>
    <mergeCell ref="BF10:BF12"/>
    <mergeCell ref="AY16:AY18"/>
    <mergeCell ref="AZ19:AZ21"/>
    <mergeCell ref="AZ16:AZ18"/>
    <mergeCell ref="AZ13:AZ15"/>
    <mergeCell ref="AZ10:AZ12"/>
    <mergeCell ref="BF16:BF18"/>
    <mergeCell ref="AY19:AY21"/>
    <mergeCell ref="BA10:BA12"/>
    <mergeCell ref="BA19:BA21"/>
    <mergeCell ref="BA13:BA15"/>
    <mergeCell ref="AY13:AY15"/>
    <mergeCell ref="BE16:BE18"/>
    <mergeCell ref="BF19:BF21"/>
    <mergeCell ref="AL3:AQ3"/>
    <mergeCell ref="AL4:AM6"/>
    <mergeCell ref="AJ3:AJ6"/>
    <mergeCell ref="AM7:AM9"/>
    <mergeCell ref="AR3:AR6"/>
    <mergeCell ref="AP7:AP9"/>
    <mergeCell ref="AO10:AO12"/>
    <mergeCell ref="AN10:AN12"/>
    <mergeCell ref="BA3:BA6"/>
    <mergeCell ref="BA7:BA9"/>
    <mergeCell ref="AJ10:AJ12"/>
    <mergeCell ref="AP10:AP12"/>
    <mergeCell ref="AQ11:AQ12"/>
    <mergeCell ref="AU10:AU12"/>
    <mergeCell ref="AS7:AS9"/>
    <mergeCell ref="AS10:AS12"/>
    <mergeCell ref="AR10:AR12"/>
    <mergeCell ref="AT10:AT12"/>
    <mergeCell ref="AO4:AQ6"/>
    <mergeCell ref="AS3:AZ3"/>
    <mergeCell ref="AZ4:AZ6"/>
    <mergeCell ref="AZ7:AZ9"/>
    <mergeCell ref="AY4:AY6"/>
    <mergeCell ref="AY10:AY12"/>
    <mergeCell ref="BO4:BO6"/>
    <mergeCell ref="AO7:AO9"/>
    <mergeCell ref="AG7:AG9"/>
    <mergeCell ref="AJ7:AJ9"/>
    <mergeCell ref="AN4:AN6"/>
    <mergeCell ref="BK7:BK9"/>
    <mergeCell ref="AT7:AT9"/>
    <mergeCell ref="AU7:AU9"/>
    <mergeCell ref="BO7:BO9"/>
    <mergeCell ref="AR7:AR9"/>
    <mergeCell ref="BJ7:BJ9"/>
    <mergeCell ref="BE4:BG5"/>
    <mergeCell ref="BH4:BJ5"/>
    <mergeCell ref="BK4:BK6"/>
    <mergeCell ref="AG3:AI6"/>
    <mergeCell ref="BF7:BF9"/>
    <mergeCell ref="BE3:BK3"/>
    <mergeCell ref="BG7:BG9"/>
    <mergeCell ref="AY7:AY9"/>
    <mergeCell ref="AN7:AN9"/>
    <mergeCell ref="AI7:AI9"/>
    <mergeCell ref="AW4:AW6"/>
    <mergeCell ref="AU4:AU6"/>
    <mergeCell ref="AQ8:AQ9"/>
    <mergeCell ref="A2:B2"/>
    <mergeCell ref="E6:L6"/>
    <mergeCell ref="X31:X33"/>
    <mergeCell ref="AB10:AB12"/>
    <mergeCell ref="X28:X30"/>
    <mergeCell ref="AB13:AB15"/>
    <mergeCell ref="AB19:AB21"/>
    <mergeCell ref="AB25:AB27"/>
    <mergeCell ref="A7:A9"/>
    <mergeCell ref="AB28:AB30"/>
    <mergeCell ref="C2:K2"/>
    <mergeCell ref="A3:A6"/>
    <mergeCell ref="C4:C6"/>
    <mergeCell ref="B4:B6"/>
    <mergeCell ref="E4:E5"/>
    <mergeCell ref="Z7:Z9"/>
    <mergeCell ref="A16:A18"/>
    <mergeCell ref="A19:A21"/>
    <mergeCell ref="A25:A27"/>
    <mergeCell ref="AA23:AA24"/>
    <mergeCell ref="AA26:AA27"/>
    <mergeCell ref="S4:S5"/>
    <mergeCell ref="AB16:AB18"/>
    <mergeCell ref="W4:X6"/>
    <mergeCell ref="F4:F5"/>
    <mergeCell ref="H4:H5"/>
    <mergeCell ref="I4:I5"/>
    <mergeCell ref="AA32:AA33"/>
    <mergeCell ref="AU25:AU27"/>
    <mergeCell ref="AU34:AU36"/>
    <mergeCell ref="AV7:AV9"/>
    <mergeCell ref="AW10:AW12"/>
    <mergeCell ref="AJ31:AJ33"/>
    <mergeCell ref="AI34:AI36"/>
    <mergeCell ref="AH35:AH36"/>
    <mergeCell ref="AG31:AG33"/>
    <mergeCell ref="AS31:AS33"/>
    <mergeCell ref="AN31:AN33"/>
    <mergeCell ref="AQ29:AQ30"/>
    <mergeCell ref="AU16:AU18"/>
    <mergeCell ref="AG13:AG15"/>
    <mergeCell ref="AK13:AK15"/>
    <mergeCell ref="AT22:AT24"/>
    <mergeCell ref="AU22:AU24"/>
    <mergeCell ref="AP19:AP21"/>
    <mergeCell ref="AG10:AG12"/>
    <mergeCell ref="AM10:AM12"/>
    <mergeCell ref="AJ25:AJ27"/>
    <mergeCell ref="A43:A45"/>
    <mergeCell ref="X7:X9"/>
    <mergeCell ref="A31:A33"/>
    <mergeCell ref="X34:X36"/>
    <mergeCell ref="X37:X39"/>
    <mergeCell ref="A34:A36"/>
    <mergeCell ref="A37:A39"/>
    <mergeCell ref="A28:A30"/>
    <mergeCell ref="A10:A12"/>
    <mergeCell ref="A13:A15"/>
    <mergeCell ref="X43:X45"/>
    <mergeCell ref="X13:X15"/>
    <mergeCell ref="X16:X18"/>
    <mergeCell ref="X19:X21"/>
    <mergeCell ref="X22:X24"/>
    <mergeCell ref="X25:X27"/>
    <mergeCell ref="A22:A24"/>
    <mergeCell ref="X10:X12"/>
    <mergeCell ref="AN13:AN15"/>
    <mergeCell ref="AM25:AM27"/>
    <mergeCell ref="AM31:AM33"/>
    <mergeCell ref="AM13:AM15"/>
    <mergeCell ref="AN19:AN21"/>
    <mergeCell ref="AI22:AI24"/>
    <mergeCell ref="AG25:AG27"/>
    <mergeCell ref="AH14:AH15"/>
    <mergeCell ref="AI31:AI33"/>
    <mergeCell ref="AG16:AG18"/>
    <mergeCell ref="AM16:AM18"/>
    <mergeCell ref="AN16:AN18"/>
    <mergeCell ref="AK22:AK24"/>
    <mergeCell ref="AK25:AK27"/>
    <mergeCell ref="AJ13:AJ15"/>
    <mergeCell ref="AJ16:AJ18"/>
    <mergeCell ref="AH32:AH33"/>
    <mergeCell ref="AJ28:AJ30"/>
    <mergeCell ref="AN22:AN24"/>
    <mergeCell ref="AK34:AK36"/>
    <mergeCell ref="AF43:AF45"/>
    <mergeCell ref="AF37:AF39"/>
    <mergeCell ref="AH41:AH42"/>
    <mergeCell ref="AG37:AG39"/>
    <mergeCell ref="AK28:AK30"/>
    <mergeCell ref="AN34:AN36"/>
    <mergeCell ref="AJ34:AJ36"/>
    <mergeCell ref="AI28:AI30"/>
    <mergeCell ref="AJ43:AJ45"/>
    <mergeCell ref="AI43:AI45"/>
    <mergeCell ref="AH44:AH45"/>
    <mergeCell ref="AJ37:AJ39"/>
    <mergeCell ref="AM37:AM39"/>
    <mergeCell ref="AM43:AM45"/>
    <mergeCell ref="AM34:AM36"/>
    <mergeCell ref="AM28:AM30"/>
    <mergeCell ref="AN28:AN30"/>
    <mergeCell ref="W49:AH49"/>
    <mergeCell ref="AV19:AV21"/>
    <mergeCell ref="BF25:BF27"/>
    <mergeCell ref="AI37:AI39"/>
    <mergeCell ref="AP34:AP36"/>
    <mergeCell ref="AQ35:AQ36"/>
    <mergeCell ref="AF19:AF21"/>
    <mergeCell ref="AF22:AF24"/>
    <mergeCell ref="AG34:AG36"/>
    <mergeCell ref="AI25:AI27"/>
    <mergeCell ref="AH26:AH27"/>
    <mergeCell ref="AU19:AU21"/>
    <mergeCell ref="AP43:AP45"/>
    <mergeCell ref="AO40:AO42"/>
    <mergeCell ref="AP40:AP42"/>
    <mergeCell ref="AR28:AR30"/>
    <mergeCell ref="AP28:AP30"/>
    <mergeCell ref="AR31:AR33"/>
    <mergeCell ref="AN37:AN39"/>
    <mergeCell ref="AJ40:AJ42"/>
    <mergeCell ref="AC23:AC24"/>
    <mergeCell ref="AD28:AD30"/>
    <mergeCell ref="AH29:AH30"/>
    <mergeCell ref="AE38:AE39"/>
    <mergeCell ref="AX4:AX6"/>
    <mergeCell ref="AV4:AV6"/>
    <mergeCell ref="AX7:AX9"/>
    <mergeCell ref="AX10:AX12"/>
    <mergeCell ref="AX13:AX15"/>
    <mergeCell ref="AT16:AT18"/>
    <mergeCell ref="AS4:AT5"/>
    <mergeCell ref="AW7:AW9"/>
    <mergeCell ref="AV10:AV12"/>
    <mergeCell ref="AT13:AT15"/>
    <mergeCell ref="AU13:AU15"/>
    <mergeCell ref="AH8:AH9"/>
    <mergeCell ref="AF10:AF12"/>
    <mergeCell ref="AF13:AF15"/>
    <mergeCell ref="AF16:AF18"/>
    <mergeCell ref="AE8:AE9"/>
    <mergeCell ref="AE11:AE12"/>
    <mergeCell ref="AE14:AE15"/>
    <mergeCell ref="AF28:AF30"/>
    <mergeCell ref="AF34:AF36"/>
    <mergeCell ref="AF31:AF33"/>
    <mergeCell ref="AH23:AH24"/>
    <mergeCell ref="AE20:AE21"/>
    <mergeCell ref="AE23:AE24"/>
    <mergeCell ref="AE17:AE18"/>
    <mergeCell ref="AF25:AF27"/>
    <mergeCell ref="AG28:AG30"/>
    <mergeCell ref="AH17:AH18"/>
    <mergeCell ref="AH20:AH21"/>
    <mergeCell ref="AE44:AE45"/>
    <mergeCell ref="AG40:AG42"/>
    <mergeCell ref="AI40:AI42"/>
    <mergeCell ref="AE26:AE27"/>
    <mergeCell ref="AE35:AE36"/>
    <mergeCell ref="AE41:AE42"/>
    <mergeCell ref="AE29:AE30"/>
    <mergeCell ref="AE32:AE33"/>
    <mergeCell ref="AI10:AI12"/>
    <mergeCell ref="AH11:AH12"/>
    <mergeCell ref="AI13:AI15"/>
    <mergeCell ref="AI16:AI18"/>
    <mergeCell ref="AF40:AF42"/>
    <mergeCell ref="AG43:AG45"/>
    <mergeCell ref="AH38:AH39"/>
    <mergeCell ref="AI19:AI21"/>
    <mergeCell ref="A55:B55"/>
    <mergeCell ref="A56:B56"/>
    <mergeCell ref="AY37:AY39"/>
    <mergeCell ref="AY28:AY30"/>
    <mergeCell ref="AY31:AY33"/>
    <mergeCell ref="AW22:AW24"/>
    <mergeCell ref="AW19:AW21"/>
    <mergeCell ref="AX16:AX18"/>
    <mergeCell ref="AY22:AY24"/>
    <mergeCell ref="AY25:AY27"/>
    <mergeCell ref="AX19:AX21"/>
    <mergeCell ref="AX22:AX24"/>
    <mergeCell ref="AX25:AX27"/>
    <mergeCell ref="AX28:AX30"/>
    <mergeCell ref="AX31:AX33"/>
    <mergeCell ref="AW25:AW27"/>
    <mergeCell ref="AY34:AY36"/>
    <mergeCell ref="AX34:AX36"/>
    <mergeCell ref="A40:A42"/>
    <mergeCell ref="X40:X42"/>
    <mergeCell ref="Z40:Z42"/>
    <mergeCell ref="AD40:AD42"/>
    <mergeCell ref="M50:R50"/>
    <mergeCell ref="M51:R51"/>
    <mergeCell ref="BY7:BY9"/>
    <mergeCell ref="BZ8:BZ9"/>
    <mergeCell ref="CA8:CA9"/>
    <mergeCell ref="CB8:CB9"/>
    <mergeCell ref="BY10:BY12"/>
    <mergeCell ref="BZ11:BZ12"/>
    <mergeCell ref="CA11:CA12"/>
    <mergeCell ref="CB11:CB12"/>
    <mergeCell ref="BY13:BY15"/>
    <mergeCell ref="BZ14:BZ15"/>
    <mergeCell ref="CA14:CA15"/>
    <mergeCell ref="CB14:CB15"/>
    <mergeCell ref="BY16:BY18"/>
    <mergeCell ref="BZ17:BZ18"/>
    <mergeCell ref="CA17:CA18"/>
    <mergeCell ref="CB17:CB18"/>
    <mergeCell ref="BY19:BY21"/>
    <mergeCell ref="BZ20:BZ21"/>
    <mergeCell ref="CA20:CA21"/>
    <mergeCell ref="CB20:CB21"/>
    <mergeCell ref="BY22:BY24"/>
    <mergeCell ref="BZ23:BZ24"/>
    <mergeCell ref="CA23:CA24"/>
    <mergeCell ref="CB23:CB24"/>
    <mergeCell ref="BY25:BY27"/>
    <mergeCell ref="BZ26:BZ27"/>
    <mergeCell ref="CA26:CA27"/>
    <mergeCell ref="CB26:CB27"/>
    <mergeCell ref="BY28:BY30"/>
    <mergeCell ref="BZ29:BZ30"/>
    <mergeCell ref="CA29:CA30"/>
    <mergeCell ref="CB29:CB30"/>
    <mergeCell ref="BY31:BY33"/>
    <mergeCell ref="BZ32:BZ33"/>
    <mergeCell ref="CA32:CA33"/>
    <mergeCell ref="CB32:CB33"/>
    <mergeCell ref="BY43:BY45"/>
    <mergeCell ref="BZ44:BZ45"/>
    <mergeCell ref="CA44:CA45"/>
    <mergeCell ref="CB44:CB45"/>
    <mergeCell ref="BY34:BY36"/>
    <mergeCell ref="BZ35:BZ36"/>
    <mergeCell ref="CA35:CA36"/>
    <mergeCell ref="CB35:CB36"/>
    <mergeCell ref="BY37:BY39"/>
    <mergeCell ref="BZ38:BZ39"/>
    <mergeCell ref="CA38:CA39"/>
    <mergeCell ref="CB38:CB39"/>
    <mergeCell ref="BY40:BY42"/>
    <mergeCell ref="BZ41:BZ42"/>
    <mergeCell ref="CA41:CA42"/>
    <mergeCell ref="CB41:CB42"/>
    <mergeCell ref="M52:R52"/>
    <mergeCell ref="M53:P53"/>
    <mergeCell ref="M47:R47"/>
    <mergeCell ref="S47:V48"/>
    <mergeCell ref="M48:N48"/>
    <mergeCell ref="O48:P48"/>
    <mergeCell ref="Q48:R48"/>
    <mergeCell ref="M49:N49"/>
    <mergeCell ref="O49:P49"/>
    <mergeCell ref="Q49:R49"/>
    <mergeCell ref="S49:U49"/>
    <mergeCell ref="BP5:BP6"/>
    <mergeCell ref="BP7:BP9"/>
    <mergeCell ref="BP10:BP12"/>
    <mergeCell ref="BP13:BP15"/>
    <mergeCell ref="BP16:BP18"/>
    <mergeCell ref="BP19:BP21"/>
    <mergeCell ref="BP22:BP24"/>
    <mergeCell ref="BP25:BP27"/>
    <mergeCell ref="BP28:BP30"/>
    <mergeCell ref="BK10:BK12"/>
    <mergeCell ref="BH10:BH12"/>
    <mergeCell ref="BJ10:BJ12"/>
    <mergeCell ref="BI10:BI12"/>
    <mergeCell ref="BJ19:BJ21"/>
    <mergeCell ref="BL7:BL9"/>
    <mergeCell ref="BI13:BI15"/>
    <mergeCell ref="BL10:BL12"/>
    <mergeCell ref="BP43:BP45"/>
    <mergeCell ref="BP31:BP33"/>
    <mergeCell ref="BP34:BP36"/>
    <mergeCell ref="BP37:BP39"/>
    <mergeCell ref="BP40:BP42"/>
    <mergeCell ref="BK13:BK15"/>
    <mergeCell ref="BH13:BH15"/>
    <mergeCell ref="BH16:BH18"/>
    <mergeCell ref="BJ43:BJ45"/>
    <mergeCell ref="BJ13:BJ15"/>
    <mergeCell ref="BO43:BO45"/>
    <mergeCell ref="BH43:BH45"/>
    <mergeCell ref="BH37:BH39"/>
    <mergeCell ref="BI43:BI45"/>
    <mergeCell ref="BL37:BL39"/>
    <mergeCell ref="BK37:BK39"/>
    <mergeCell ref="BO10:BO12"/>
    <mergeCell ref="BL13:BL15"/>
    <mergeCell ref="BE7:BE9"/>
    <mergeCell ref="BI7:BI9"/>
    <mergeCell ref="BK25:BK27"/>
    <mergeCell ref="BI16:BI18"/>
    <mergeCell ref="BD7:BD9"/>
    <mergeCell ref="BD10:BD12"/>
    <mergeCell ref="BD13:BD15"/>
    <mergeCell ref="BD16:BD18"/>
    <mergeCell ref="BD19:BD21"/>
    <mergeCell ref="BD22:BD24"/>
    <mergeCell ref="BD25:BD27"/>
    <mergeCell ref="BJ22:BJ24"/>
    <mergeCell ref="BH19:BH21"/>
    <mergeCell ref="BH22:BH24"/>
    <mergeCell ref="BG22:BG24"/>
    <mergeCell ref="BO16:BO18"/>
    <mergeCell ref="BI19:BI21"/>
    <mergeCell ref="BO19:BO21"/>
    <mergeCell ref="BI22:BI24"/>
    <mergeCell ref="BO13:BO15"/>
    <mergeCell ref="BH7:BH9"/>
    <mergeCell ref="BG10:BG12"/>
  </mergeCells>
  <phoneticPr fontId="2"/>
  <conditionalFormatting sqref="BL7:BM7 BL10:BM10 BL13:BM13 BL16:BM16 BL19:BM19 BL22:BM22 BL25:BM25 BL28:BM28 BL31:BM31 BL34:BM34 BL37:BM37 BL40:BM40 BL43:BM43">
    <cfRule type="cellIs" dxfId="10" priority="12" stopIfTrue="1" operator="lessThan">
      <formula>0</formula>
    </cfRule>
  </conditionalFormatting>
  <conditionalFormatting sqref="V49">
    <cfRule type="cellIs" dxfId="9" priority="5" stopIfTrue="1" operator="lessThan">
      <formula>0</formula>
    </cfRule>
  </conditionalFormatting>
  <conditionalFormatting sqref="S51:X51">
    <cfRule type="cellIs" dxfId="8" priority="3" operator="equal">
      <formula>"○"</formula>
    </cfRule>
    <cfRule type="cellIs" dxfId="7" priority="4" operator="equal">
      <formula>"-"</formula>
    </cfRule>
  </conditionalFormatting>
  <conditionalFormatting sqref="T52:X53">
    <cfRule type="cellIs" dxfId="6" priority="1" operator="equal">
      <formula>"適用済"</formula>
    </cfRule>
    <cfRule type="cellIs" dxfId="5" priority="2" operator="notEqual">
      <formula>"適用済"</formula>
    </cfRule>
  </conditionalFormatting>
  <dataValidations count="2">
    <dataValidation type="list" allowBlank="1" showInputMessage="1" showErrorMessage="1" sqref="R53" xr:uid="{C9309C45-71B4-445C-A3A2-841F7FBAB63E}">
      <formula1>"4,5,6,7,8,9,10,11,12,1,2,3"</formula1>
    </dataValidation>
    <dataValidation type="list" allowBlank="1" showInputMessage="1" showErrorMessage="1" sqref="M7:M42 V7:V42" xr:uid="{00000000-0002-0000-0000-000000000000}">
      <formula1>$L$58:$L$59</formula1>
    </dataValidation>
  </dataValidations>
  <pageMargins left="0.43307086614173229" right="0.31496062992125984" top="0.82677165354330717" bottom="0.23622047244094491" header="0.55118110236220474" footer="0.27559055118110237"/>
  <pageSetup paperSize="9" scale="27" pageOrder="overThenDown" orientation="landscape" cellComments="asDisplayed" r:id="rId1"/>
  <headerFooter alignWithMargins="0">
    <oddHeader>&amp;L&amp;"ＭＳ Ｐゴシック,太字"&amp;16 令和６年度　保育施設職員配置状況確認書（様式１（幼保連携型認定こども園））&amp;"ＭＳ Ｐゴシック,標準"&amp;11
&amp;R&amp;"ＭＳ Ｐゴシック,太字"※水色の部分は計算式が入っているため，入力できません。</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12632-5524-470F-A172-74B5BEE9C27F}">
  <sheetPr>
    <tabColor rgb="FFFFC000"/>
    <pageSetUpPr fitToPage="1"/>
  </sheetPr>
  <dimension ref="A1:U34"/>
  <sheetViews>
    <sheetView view="pageBreakPreview" zoomScale="60" zoomScaleNormal="85" workbookViewId="0">
      <selection activeCell="D14" sqref="D14"/>
    </sheetView>
  </sheetViews>
  <sheetFormatPr defaultRowHeight="16.5"/>
  <cols>
    <col min="1" max="1" width="5.75" style="347" customWidth="1"/>
    <col min="2" max="2" width="9.375" style="347" customWidth="1"/>
    <col min="3" max="3" width="5.75" style="347" customWidth="1"/>
    <col min="4" max="4" width="10.375" style="347" customWidth="1"/>
    <col min="5" max="5" width="10.25" style="347" customWidth="1"/>
    <col min="6" max="6" width="6.625" style="347" bestFit="1" customWidth="1"/>
    <col min="7" max="13" width="10.375" style="347" customWidth="1"/>
    <col min="14" max="14" width="55.375" style="347" bestFit="1" customWidth="1"/>
    <col min="15" max="15" width="10" style="347" bestFit="1" customWidth="1"/>
    <col min="16" max="16" width="2.5" style="347" customWidth="1"/>
    <col min="17" max="16384" width="9" style="347"/>
  </cols>
  <sheetData>
    <row r="1" spans="1:21">
      <c r="A1" s="347" t="s">
        <v>260</v>
      </c>
    </row>
    <row r="2" spans="1:21">
      <c r="A2" s="347" t="s">
        <v>331</v>
      </c>
    </row>
    <row r="3" spans="1:21">
      <c r="A3" s="347" t="s">
        <v>332</v>
      </c>
      <c r="Q3" s="347" t="s">
        <v>50</v>
      </c>
      <c r="R3" s="347" t="s">
        <v>302</v>
      </c>
      <c r="S3" s="347" t="str">
        <f>""</f>
        <v/>
      </c>
    </row>
    <row r="4" spans="1:21">
      <c r="A4" s="347" t="s">
        <v>333</v>
      </c>
      <c r="Q4" s="347" t="s">
        <v>310</v>
      </c>
      <c r="R4" s="347" t="s">
        <v>311</v>
      </c>
      <c r="S4" s="347" t="str">
        <f>""</f>
        <v/>
      </c>
    </row>
    <row r="5" spans="1:21">
      <c r="A5" s="347" t="s">
        <v>397</v>
      </c>
      <c r="Q5" s="347">
        <v>0</v>
      </c>
      <c r="R5" s="347">
        <v>1</v>
      </c>
      <c r="S5" s="347">
        <v>2</v>
      </c>
      <c r="T5" s="347" t="str">
        <f>""</f>
        <v/>
      </c>
    </row>
    <row r="6" spans="1:21">
      <c r="A6" s="347" t="s">
        <v>334</v>
      </c>
    </row>
    <row r="7" spans="1:21">
      <c r="A7" s="347" t="s">
        <v>398</v>
      </c>
    </row>
    <row r="8" spans="1:21">
      <c r="A8" s="347" t="s">
        <v>335</v>
      </c>
    </row>
    <row r="9" spans="1:21">
      <c r="A9" s="347" t="s">
        <v>399</v>
      </c>
    </row>
    <row r="11" spans="1:21">
      <c r="A11" s="347" t="s">
        <v>303</v>
      </c>
      <c r="D11" s="348"/>
      <c r="E11" s="348"/>
      <c r="F11" s="348"/>
      <c r="G11" s="348"/>
      <c r="H11" s="348"/>
      <c r="I11" s="348"/>
      <c r="J11" s="348"/>
      <c r="K11" s="348"/>
      <c r="L11" s="348"/>
      <c r="M11" s="348"/>
    </row>
    <row r="12" spans="1:21" s="351" customFormat="1" ht="33" customHeight="1">
      <c r="A12" s="877" t="s">
        <v>261</v>
      </c>
      <c r="B12" s="870" t="s">
        <v>309</v>
      </c>
      <c r="C12" s="875" t="s">
        <v>295</v>
      </c>
      <c r="D12" s="872" t="s">
        <v>297</v>
      </c>
      <c r="E12" s="873"/>
      <c r="F12" s="874"/>
      <c r="G12" s="870" t="s">
        <v>298</v>
      </c>
      <c r="H12" s="870" t="s">
        <v>299</v>
      </c>
      <c r="I12" s="870" t="s">
        <v>396</v>
      </c>
      <c r="J12" s="870" t="s">
        <v>300</v>
      </c>
      <c r="K12" s="870" t="s">
        <v>114</v>
      </c>
      <c r="L12" s="870" t="s">
        <v>301</v>
      </c>
      <c r="M12" s="870" t="s">
        <v>304</v>
      </c>
      <c r="N12" s="349" t="s">
        <v>262</v>
      </c>
      <c r="O12" s="350" t="s">
        <v>330</v>
      </c>
    </row>
    <row r="13" spans="1:21" s="351" customFormat="1">
      <c r="A13" s="878"/>
      <c r="B13" s="871"/>
      <c r="C13" s="876"/>
      <c r="D13" s="374" t="s">
        <v>296</v>
      </c>
      <c r="E13" s="374" t="s">
        <v>263</v>
      </c>
      <c r="F13" s="352" t="s">
        <v>264</v>
      </c>
      <c r="G13" s="871"/>
      <c r="H13" s="871"/>
      <c r="I13" s="871"/>
      <c r="J13" s="871"/>
      <c r="K13" s="871"/>
      <c r="L13" s="871"/>
      <c r="M13" s="871"/>
      <c r="N13" s="349"/>
      <c r="Q13" s="376" t="s">
        <v>305</v>
      </c>
      <c r="R13" s="376" t="s">
        <v>306</v>
      </c>
      <c r="S13" s="376" t="s">
        <v>307</v>
      </c>
      <c r="T13" s="376" t="s">
        <v>308</v>
      </c>
    </row>
    <row r="14" spans="1:21" ht="19.5">
      <c r="A14" s="353" t="s">
        <v>78</v>
      </c>
      <c r="B14" s="378"/>
      <c r="C14" s="354">
        <f>SUM(様式１!C7:D8)</f>
        <v>0</v>
      </c>
      <c r="D14" s="355"/>
      <c r="E14" s="397"/>
      <c r="F14" s="375">
        <f t="shared" ref="F14:F25" si="0">IF(C14&lt;=45,$F$27,IF(AND(C14&gt;=46,C14&lt;=150),$F$28,IF(AND(C14&gt;=151,C14&lt;=240),$F$29,IF(AND(C14&gt;=241,C14&lt;=270),$F$30,IF(AND(C14&gt;=271,C14&lt;=300),$F$31,IF(AND(C14&gt;=301,C14&lt;=450),$F$32,IF(C14&gt;=451,$F$33)))))))</f>
        <v>1</v>
      </c>
      <c r="G14" s="355"/>
      <c r="H14" s="355"/>
      <c r="I14" s="355"/>
      <c r="J14" s="355"/>
      <c r="K14" s="355"/>
      <c r="L14" s="355"/>
      <c r="M14" s="355"/>
      <c r="N14" s="371" t="str">
        <f>IF(OR(D14="",G14="",H14="",I14="",J14="",K14="",L14="",M14=""),"入力されていないセルがあります",
IF(AND(D14=$Q$3,G14=$Q$3),"チーム保育加配加算と4歳以上児配置改善加算の併給はできません",
IF(AND(D14=$Q$3,E14=""),"チーム保育加配加算の加配職員数を入力してください",
IF(AND(D14=$Q$3,E14&gt;F14),"チーム保育加配加算職員数が上限を超えています",
IF(AND(K14=$Q$3,OR(C14&lt;36,C14&gt;300)),"学級編制調整加配加算のメモを確認してください",
IF(M14&gt;T14,"代替保育教諭～のメモを確認してください",""))))))</f>
        <v>入力されていないセルがあります</v>
      </c>
      <c r="O14" s="372" t="str">
        <f>IF(N14="","入力完了","入力未了")</f>
        <v>入力未了</v>
      </c>
      <c r="Q14" s="377"/>
      <c r="R14" s="376" t="str">
        <f>IF(AND(様式１!$W$7&gt;0,SUM(様式１!$W$8:$W$9)&gt;0),"OK","NG")</f>
        <v>NG</v>
      </c>
      <c r="S14" s="376" t="str">
        <f>IF(AND(様式１!$Y$7&gt;0,SUM(様式１!$Y$8:$Y$9)&gt;0),"OK","NG")</f>
        <v>NG</v>
      </c>
      <c r="T14" s="376">
        <f t="shared" ref="T14:T25" si="1">COUNTIF(R14:S14,"OK")</f>
        <v>0</v>
      </c>
      <c r="U14" s="351"/>
    </row>
    <row r="15" spans="1:21" ht="19.5">
      <c r="A15" s="353" t="s">
        <v>265</v>
      </c>
      <c r="B15" s="379"/>
      <c r="C15" s="354">
        <f>SUM(様式１!C10:D11)</f>
        <v>0</v>
      </c>
      <c r="D15" s="355" t="str">
        <f t="shared" ref="D15:D25" si="2">IF($B15="変更なし",D14,"")</f>
        <v/>
      </c>
      <c r="E15" s="397" t="str">
        <f t="shared" ref="E15:E25" si="3">IF($B15="変更なし",E14,"")</f>
        <v/>
      </c>
      <c r="F15" s="375">
        <f t="shared" si="0"/>
        <v>1</v>
      </c>
      <c r="G15" s="355" t="str">
        <f t="shared" ref="G15:G25" si="4">IF($B15="変更なし",G14,"")</f>
        <v/>
      </c>
      <c r="H15" s="355" t="str">
        <f t="shared" ref="H15:I25" si="5">IF($B15="変更なし",H14,"")</f>
        <v/>
      </c>
      <c r="I15" s="355" t="str">
        <f t="shared" si="5"/>
        <v/>
      </c>
      <c r="J15" s="355" t="str">
        <f t="shared" ref="J15:J25" si="6">IF($B15="変更なし",J14,"")</f>
        <v/>
      </c>
      <c r="K15" s="355" t="str">
        <f t="shared" ref="K15:K25" si="7">IF($B15="変更なし",K14,"")</f>
        <v/>
      </c>
      <c r="L15" s="355" t="str">
        <f t="shared" ref="L15:L25" si="8">IF($B15="変更なし",L14,"")</f>
        <v/>
      </c>
      <c r="M15" s="355" t="str">
        <f t="shared" ref="M15:M25" si="9">IF($B15="変更なし",M14,"")</f>
        <v/>
      </c>
      <c r="N15" s="371" t="str">
        <f>IF(B15="","前月からの変更の有無を選択してください",
IF(OR(D15="",G15="",H15="",I15="",J15="",K15="",L15="",M15=""),"入力されていないセルがあります",
IF(AND(D15=$Q$3,G15=$Q$3),"チーム保育加配加算と4歳以上児配置改善加算の併給はできません",
IF(AND(D15=$Q$3,E15=""),"チーム保育加配加算の加配職員数を入力してください",
IF(AND(D15=$Q$3,E15&gt;F15),"チーム保育加配加算職員数が上限を超えています",
IF(AND(K15=$Q$3,OR(C15&lt;36,C15&gt;300)),"学級編制調整加配加算のメモを確認してください",
IF(M15&gt;T15,"代替保育教諭～のメモを確認してください","")))))))</f>
        <v>前月からの変更の有無を選択してください</v>
      </c>
      <c r="O15" s="372" t="str">
        <f t="shared" ref="O15:O25" si="10">IF(N15="","入力完了","入力未了")</f>
        <v>入力未了</v>
      </c>
      <c r="Q15" s="377"/>
      <c r="R15" s="376" t="str">
        <f>IF(AND(様式１!$W$10&gt;0,SUM(様式１!$W$11:$W$12)&gt;0),"OK","NG")</f>
        <v>NG</v>
      </c>
      <c r="S15" s="376" t="str">
        <f>IF(AND(様式１!$Y$10&gt;0,SUM(様式１!$Y$11:$Y$12)&gt;0),"OK","NG")</f>
        <v>NG</v>
      </c>
      <c r="T15" s="376">
        <f t="shared" si="1"/>
        <v>0</v>
      </c>
      <c r="U15" s="351"/>
    </row>
    <row r="16" spans="1:21" ht="19.5">
      <c r="A16" s="353" t="s">
        <v>266</v>
      </c>
      <c r="B16" s="379"/>
      <c r="C16" s="354">
        <f>SUM(様式１!C13:D14)</f>
        <v>0</v>
      </c>
      <c r="D16" s="355" t="str">
        <f t="shared" si="2"/>
        <v/>
      </c>
      <c r="E16" s="397" t="str">
        <f t="shared" si="3"/>
        <v/>
      </c>
      <c r="F16" s="375">
        <f t="shared" si="0"/>
        <v>1</v>
      </c>
      <c r="G16" s="355" t="str">
        <f t="shared" si="4"/>
        <v/>
      </c>
      <c r="H16" s="355" t="str">
        <f t="shared" si="5"/>
        <v/>
      </c>
      <c r="I16" s="355" t="str">
        <f t="shared" si="5"/>
        <v/>
      </c>
      <c r="J16" s="355" t="str">
        <f t="shared" si="6"/>
        <v/>
      </c>
      <c r="K16" s="355" t="str">
        <f t="shared" si="7"/>
        <v/>
      </c>
      <c r="L16" s="355" t="str">
        <f t="shared" si="8"/>
        <v/>
      </c>
      <c r="M16" s="355" t="str">
        <f t="shared" si="9"/>
        <v/>
      </c>
      <c r="N16" s="371" t="str">
        <f t="shared" ref="N16:N25" si="11">IF(B16="","前月からの変更の有無を選択してください",
IF(OR(D16="",G16="",H16="",I16="",J16="",K16="",L16="",M16=""),"入力されていないセルがあります",
IF(AND(D16=$Q$3,G16=$Q$3),"チーム保育加配加算と4歳以上児配置改善加算の併給はできません",
IF(AND(D16=$Q$3,E16=""),"チーム保育加配加算の加配職員数を入力してください",
IF(AND(D16=$Q$3,E16&gt;F16),"チーム保育加配加算職員数が上限を超えています",
IF(AND(K16=$Q$3,OR(C16&lt;36,C16&gt;300)),"学級編制調整加配加算のメモを確認してください",
IF(M16&gt;T16,"代替保育教諭～のメモを確認してください","")))))))</f>
        <v>前月からの変更の有無を選択してください</v>
      </c>
      <c r="O16" s="372" t="str">
        <f t="shared" si="10"/>
        <v>入力未了</v>
      </c>
      <c r="Q16" s="377"/>
      <c r="R16" s="376" t="str">
        <f>IF(AND(様式１!$W$13&gt;0,SUM(様式１!$W$14:$W$15)&gt;0),"OK","NG")</f>
        <v>NG</v>
      </c>
      <c r="S16" s="376" t="str">
        <f>IF(AND(様式１!$Y$13&gt;0,SUM(様式１!$Y$14:$Y$15)&gt;0),"OK","NG")</f>
        <v>NG</v>
      </c>
      <c r="T16" s="376">
        <f t="shared" si="1"/>
        <v>0</v>
      </c>
      <c r="U16" s="351"/>
    </row>
    <row r="17" spans="1:21" ht="19.5">
      <c r="A17" s="353" t="s">
        <v>267</v>
      </c>
      <c r="B17" s="379"/>
      <c r="C17" s="354">
        <f>SUM(様式１!C16:D17)</f>
        <v>0</v>
      </c>
      <c r="D17" s="355" t="str">
        <f t="shared" si="2"/>
        <v/>
      </c>
      <c r="E17" s="397" t="str">
        <f t="shared" si="3"/>
        <v/>
      </c>
      <c r="F17" s="375">
        <f t="shared" si="0"/>
        <v>1</v>
      </c>
      <c r="G17" s="355" t="str">
        <f t="shared" si="4"/>
        <v/>
      </c>
      <c r="H17" s="355" t="str">
        <f t="shared" si="5"/>
        <v/>
      </c>
      <c r="I17" s="355" t="str">
        <f t="shared" si="5"/>
        <v/>
      </c>
      <c r="J17" s="355" t="str">
        <f t="shared" si="6"/>
        <v/>
      </c>
      <c r="K17" s="355" t="str">
        <f t="shared" si="7"/>
        <v/>
      </c>
      <c r="L17" s="355" t="str">
        <f t="shared" si="8"/>
        <v/>
      </c>
      <c r="M17" s="355" t="str">
        <f t="shared" si="9"/>
        <v/>
      </c>
      <c r="N17" s="371" t="str">
        <f t="shared" si="11"/>
        <v>前月からの変更の有無を選択してください</v>
      </c>
      <c r="O17" s="372" t="str">
        <f t="shared" si="10"/>
        <v>入力未了</v>
      </c>
      <c r="Q17" s="377"/>
      <c r="R17" s="376" t="str">
        <f>IF(AND(様式１!$W$16&gt;0,SUM(様式１!$W$17:$W$18)&gt;0),"OK","NG")</f>
        <v>NG</v>
      </c>
      <c r="S17" s="376" t="str">
        <f>IF(AND(様式１!$Y$16&gt;0,SUM(様式１!$Y$17:$Y$18)&gt;0),"OK","NG")</f>
        <v>NG</v>
      </c>
      <c r="T17" s="376">
        <f t="shared" si="1"/>
        <v>0</v>
      </c>
      <c r="U17" s="351"/>
    </row>
    <row r="18" spans="1:21" ht="19.5">
      <c r="A18" s="353" t="s">
        <v>268</v>
      </c>
      <c r="B18" s="379"/>
      <c r="C18" s="354">
        <f>SUM(様式１!C19:D20)</f>
        <v>0</v>
      </c>
      <c r="D18" s="355" t="str">
        <f t="shared" si="2"/>
        <v/>
      </c>
      <c r="E18" s="397" t="str">
        <f t="shared" si="3"/>
        <v/>
      </c>
      <c r="F18" s="375">
        <f t="shared" si="0"/>
        <v>1</v>
      </c>
      <c r="G18" s="355" t="str">
        <f t="shared" si="4"/>
        <v/>
      </c>
      <c r="H18" s="355" t="str">
        <f t="shared" si="5"/>
        <v/>
      </c>
      <c r="I18" s="355" t="str">
        <f t="shared" si="5"/>
        <v/>
      </c>
      <c r="J18" s="355" t="str">
        <f t="shared" si="6"/>
        <v/>
      </c>
      <c r="K18" s="355" t="str">
        <f t="shared" si="7"/>
        <v/>
      </c>
      <c r="L18" s="355" t="str">
        <f t="shared" si="8"/>
        <v/>
      </c>
      <c r="M18" s="355" t="str">
        <f t="shared" si="9"/>
        <v/>
      </c>
      <c r="N18" s="371" t="str">
        <f t="shared" si="11"/>
        <v>前月からの変更の有無を選択してください</v>
      </c>
      <c r="O18" s="372" t="str">
        <f t="shared" si="10"/>
        <v>入力未了</v>
      </c>
      <c r="Q18" s="377"/>
      <c r="R18" s="376" t="str">
        <f>IF(AND(様式１!$W$19&gt;0,SUM(様式１!$W$20:$W$21)&gt;0),"OK","NG")</f>
        <v>NG</v>
      </c>
      <c r="S18" s="376" t="str">
        <f>IF(AND(様式１!$Y$19&gt;0,SUM(様式１!$Y$20:$Y$21)&gt;0),"OK","NG")</f>
        <v>NG</v>
      </c>
      <c r="T18" s="376">
        <f t="shared" si="1"/>
        <v>0</v>
      </c>
      <c r="U18" s="351"/>
    </row>
    <row r="19" spans="1:21" ht="19.5">
      <c r="A19" s="353" t="s">
        <v>269</v>
      </c>
      <c r="B19" s="379"/>
      <c r="C19" s="354">
        <f>SUM(様式１!C22:D23)</f>
        <v>0</v>
      </c>
      <c r="D19" s="355" t="str">
        <f t="shared" si="2"/>
        <v/>
      </c>
      <c r="E19" s="397" t="str">
        <f t="shared" si="3"/>
        <v/>
      </c>
      <c r="F19" s="375">
        <f t="shared" si="0"/>
        <v>1</v>
      </c>
      <c r="G19" s="355" t="str">
        <f t="shared" si="4"/>
        <v/>
      </c>
      <c r="H19" s="355" t="str">
        <f t="shared" si="5"/>
        <v/>
      </c>
      <c r="I19" s="355" t="str">
        <f t="shared" si="5"/>
        <v/>
      </c>
      <c r="J19" s="355" t="str">
        <f t="shared" si="6"/>
        <v/>
      </c>
      <c r="K19" s="355" t="str">
        <f t="shared" si="7"/>
        <v/>
      </c>
      <c r="L19" s="355" t="str">
        <f t="shared" si="8"/>
        <v/>
      </c>
      <c r="M19" s="355" t="str">
        <f t="shared" si="9"/>
        <v/>
      </c>
      <c r="N19" s="371" t="str">
        <f t="shared" si="11"/>
        <v>前月からの変更の有無を選択してください</v>
      </c>
      <c r="O19" s="372" t="str">
        <f t="shared" si="10"/>
        <v>入力未了</v>
      </c>
      <c r="Q19" s="377"/>
      <c r="R19" s="376" t="str">
        <f>IF(AND(様式１!$W$22&gt;0,SUM(様式１!$W$23:$W$24)&gt;0),"OK","NG")</f>
        <v>NG</v>
      </c>
      <c r="S19" s="376" t="str">
        <f>IF(AND(様式１!$Y$22&gt;0,SUM(様式１!$Y$23:$Y$24)&gt;0),"OK","NG")</f>
        <v>NG</v>
      </c>
      <c r="T19" s="376">
        <f t="shared" si="1"/>
        <v>0</v>
      </c>
      <c r="U19" s="351"/>
    </row>
    <row r="20" spans="1:21" ht="19.5">
      <c r="A20" s="353" t="s">
        <v>270</v>
      </c>
      <c r="B20" s="379"/>
      <c r="C20" s="354">
        <f>SUM(様式１!C25:D26)</f>
        <v>0</v>
      </c>
      <c r="D20" s="355" t="str">
        <f t="shared" si="2"/>
        <v/>
      </c>
      <c r="E20" s="397" t="str">
        <f t="shared" si="3"/>
        <v/>
      </c>
      <c r="F20" s="375">
        <f t="shared" si="0"/>
        <v>1</v>
      </c>
      <c r="G20" s="355" t="str">
        <f t="shared" si="4"/>
        <v/>
      </c>
      <c r="H20" s="355" t="str">
        <f t="shared" si="5"/>
        <v/>
      </c>
      <c r="I20" s="355" t="str">
        <f t="shared" si="5"/>
        <v/>
      </c>
      <c r="J20" s="355" t="str">
        <f t="shared" si="6"/>
        <v/>
      </c>
      <c r="K20" s="355" t="str">
        <f t="shared" si="7"/>
        <v/>
      </c>
      <c r="L20" s="355" t="str">
        <f t="shared" si="8"/>
        <v/>
      </c>
      <c r="M20" s="355" t="str">
        <f t="shared" si="9"/>
        <v/>
      </c>
      <c r="N20" s="371" t="str">
        <f t="shared" si="11"/>
        <v>前月からの変更の有無を選択してください</v>
      </c>
      <c r="O20" s="372" t="str">
        <f t="shared" si="10"/>
        <v>入力未了</v>
      </c>
      <c r="Q20" s="377"/>
      <c r="R20" s="376" t="str">
        <f>IF(AND(様式１!$W$25&gt;0,SUM(様式１!$W$26:$W$27)&gt;0),"OK","NG")</f>
        <v>NG</v>
      </c>
      <c r="S20" s="376" t="str">
        <f>IF(AND(様式１!$Y$25&gt;0,SUM(様式１!$Y$26:$Y$27)&gt;0),"OK","NG")</f>
        <v>NG</v>
      </c>
      <c r="T20" s="376">
        <f t="shared" si="1"/>
        <v>0</v>
      </c>
      <c r="U20" s="351"/>
    </row>
    <row r="21" spans="1:21" ht="19.5">
      <c r="A21" s="353" t="s">
        <v>271</v>
      </c>
      <c r="B21" s="379"/>
      <c r="C21" s="354">
        <f>SUM(様式１!C28:D29)</f>
        <v>0</v>
      </c>
      <c r="D21" s="355" t="str">
        <f t="shared" si="2"/>
        <v/>
      </c>
      <c r="E21" s="397" t="str">
        <f t="shared" si="3"/>
        <v/>
      </c>
      <c r="F21" s="375">
        <f t="shared" si="0"/>
        <v>1</v>
      </c>
      <c r="G21" s="355" t="str">
        <f t="shared" si="4"/>
        <v/>
      </c>
      <c r="H21" s="355" t="str">
        <f t="shared" si="5"/>
        <v/>
      </c>
      <c r="I21" s="355" t="str">
        <f t="shared" si="5"/>
        <v/>
      </c>
      <c r="J21" s="355" t="str">
        <f t="shared" si="6"/>
        <v/>
      </c>
      <c r="K21" s="355" t="str">
        <f t="shared" si="7"/>
        <v/>
      </c>
      <c r="L21" s="355" t="str">
        <f t="shared" si="8"/>
        <v/>
      </c>
      <c r="M21" s="355" t="str">
        <f t="shared" si="9"/>
        <v/>
      </c>
      <c r="N21" s="371" t="str">
        <f t="shared" si="11"/>
        <v>前月からの変更の有無を選択してください</v>
      </c>
      <c r="O21" s="372" t="str">
        <f t="shared" si="10"/>
        <v>入力未了</v>
      </c>
      <c r="Q21" s="377"/>
      <c r="R21" s="376" t="str">
        <f>IF(AND(様式１!$W$28&gt;0,SUM(様式１!$W$29:$W$30)&gt;0),"OK","NG")</f>
        <v>NG</v>
      </c>
      <c r="S21" s="376" t="str">
        <f>IF(AND(様式１!$Y$28&gt;0,SUM(様式１!$Y$29:$Y$30)&gt;0),"OK","NG")</f>
        <v>NG</v>
      </c>
      <c r="T21" s="376">
        <f t="shared" si="1"/>
        <v>0</v>
      </c>
      <c r="U21" s="351"/>
    </row>
    <row r="22" spans="1:21" ht="19.5">
      <c r="A22" s="353" t="s">
        <v>272</v>
      </c>
      <c r="B22" s="379"/>
      <c r="C22" s="354">
        <f>SUM(様式１!C31:D32)</f>
        <v>0</v>
      </c>
      <c r="D22" s="355" t="str">
        <f t="shared" si="2"/>
        <v/>
      </c>
      <c r="E22" s="397" t="str">
        <f t="shared" si="3"/>
        <v/>
      </c>
      <c r="F22" s="375">
        <f t="shared" si="0"/>
        <v>1</v>
      </c>
      <c r="G22" s="355" t="str">
        <f t="shared" si="4"/>
        <v/>
      </c>
      <c r="H22" s="355" t="str">
        <f t="shared" si="5"/>
        <v/>
      </c>
      <c r="I22" s="355" t="str">
        <f t="shared" si="5"/>
        <v/>
      </c>
      <c r="J22" s="355" t="str">
        <f t="shared" si="6"/>
        <v/>
      </c>
      <c r="K22" s="355" t="str">
        <f t="shared" si="7"/>
        <v/>
      </c>
      <c r="L22" s="355" t="str">
        <f t="shared" si="8"/>
        <v/>
      </c>
      <c r="M22" s="355" t="str">
        <f t="shared" si="9"/>
        <v/>
      </c>
      <c r="N22" s="371" t="str">
        <f t="shared" si="11"/>
        <v>前月からの変更の有無を選択してください</v>
      </c>
      <c r="O22" s="372" t="str">
        <f t="shared" si="10"/>
        <v>入力未了</v>
      </c>
      <c r="Q22" s="377"/>
      <c r="R22" s="376" t="str">
        <f>IF(AND(様式１!$W$31&gt;0,SUM(様式１!$W$32:$W$33)&gt;0),"OK","NG")</f>
        <v>NG</v>
      </c>
      <c r="S22" s="376" t="str">
        <f>IF(AND(様式１!$Y$31&gt;0,SUM(様式１!$Y$32:$Y$33)&gt;0),"OK","NG")</f>
        <v>NG</v>
      </c>
      <c r="T22" s="376">
        <f t="shared" si="1"/>
        <v>0</v>
      </c>
      <c r="U22" s="351"/>
    </row>
    <row r="23" spans="1:21" ht="19.5">
      <c r="A23" s="353" t="s">
        <v>273</v>
      </c>
      <c r="B23" s="379"/>
      <c r="C23" s="354">
        <f>SUM(様式１!C34:D35)</f>
        <v>0</v>
      </c>
      <c r="D23" s="355" t="str">
        <f t="shared" si="2"/>
        <v/>
      </c>
      <c r="E23" s="397" t="str">
        <f t="shared" si="3"/>
        <v/>
      </c>
      <c r="F23" s="375">
        <f t="shared" si="0"/>
        <v>1</v>
      </c>
      <c r="G23" s="355" t="str">
        <f t="shared" si="4"/>
        <v/>
      </c>
      <c r="H23" s="355" t="str">
        <f t="shared" si="5"/>
        <v/>
      </c>
      <c r="I23" s="355" t="str">
        <f t="shared" si="5"/>
        <v/>
      </c>
      <c r="J23" s="355" t="str">
        <f t="shared" si="6"/>
        <v/>
      </c>
      <c r="K23" s="355" t="str">
        <f t="shared" si="7"/>
        <v/>
      </c>
      <c r="L23" s="355" t="str">
        <f t="shared" si="8"/>
        <v/>
      </c>
      <c r="M23" s="355" t="str">
        <f t="shared" si="9"/>
        <v/>
      </c>
      <c r="N23" s="371" t="str">
        <f t="shared" si="11"/>
        <v>前月からの変更の有無を選択してください</v>
      </c>
      <c r="O23" s="372" t="str">
        <f t="shared" si="10"/>
        <v>入力未了</v>
      </c>
      <c r="Q23" s="377"/>
      <c r="R23" s="376" t="str">
        <f>IF(AND(様式１!$W$34&gt;0,SUM(様式１!$W$35:$W$36)&gt;0),"OK","NG")</f>
        <v>NG</v>
      </c>
      <c r="S23" s="376" t="str">
        <f>IF(AND(様式１!$Y$34&gt;0,SUM(様式１!$Y$35:$Y$36)&gt;0),"OK","NG")</f>
        <v>NG</v>
      </c>
      <c r="T23" s="376">
        <f t="shared" si="1"/>
        <v>0</v>
      </c>
      <c r="U23" s="351"/>
    </row>
    <row r="24" spans="1:21" ht="19.5">
      <c r="A24" s="353" t="s">
        <v>274</v>
      </c>
      <c r="B24" s="379"/>
      <c r="C24" s="354">
        <f>SUM(様式１!C37:D38)</f>
        <v>0</v>
      </c>
      <c r="D24" s="355" t="str">
        <f t="shared" si="2"/>
        <v/>
      </c>
      <c r="E24" s="397" t="str">
        <f t="shared" si="3"/>
        <v/>
      </c>
      <c r="F24" s="375">
        <f t="shared" si="0"/>
        <v>1</v>
      </c>
      <c r="G24" s="355" t="str">
        <f t="shared" si="4"/>
        <v/>
      </c>
      <c r="H24" s="355" t="str">
        <f t="shared" si="5"/>
        <v/>
      </c>
      <c r="I24" s="355" t="str">
        <f t="shared" si="5"/>
        <v/>
      </c>
      <c r="J24" s="355" t="str">
        <f t="shared" si="6"/>
        <v/>
      </c>
      <c r="K24" s="355" t="str">
        <f t="shared" si="7"/>
        <v/>
      </c>
      <c r="L24" s="355" t="str">
        <f t="shared" si="8"/>
        <v/>
      </c>
      <c r="M24" s="355" t="str">
        <f t="shared" si="9"/>
        <v/>
      </c>
      <c r="N24" s="371" t="str">
        <f t="shared" si="11"/>
        <v>前月からの変更の有無を選択してください</v>
      </c>
      <c r="O24" s="372" t="str">
        <f t="shared" si="10"/>
        <v>入力未了</v>
      </c>
      <c r="Q24" s="377"/>
      <c r="R24" s="376" t="str">
        <f>IF(AND(様式１!$W$37&gt;0,SUM(様式１!$W$38:$W$39)&gt;0),"OK","NG")</f>
        <v>NG</v>
      </c>
      <c r="S24" s="376" t="str">
        <f>IF(AND(様式１!$Y$37&gt;0,SUM(様式１!$Y$38:$Y$39)&gt;0),"OK","NG")</f>
        <v>NG</v>
      </c>
      <c r="T24" s="376">
        <f t="shared" si="1"/>
        <v>0</v>
      </c>
      <c r="U24" s="351"/>
    </row>
    <row r="25" spans="1:21" ht="19.5">
      <c r="A25" s="353" t="s">
        <v>275</v>
      </c>
      <c r="B25" s="379"/>
      <c r="C25" s="354">
        <f>SUM(様式１!C40:D41)</f>
        <v>0</v>
      </c>
      <c r="D25" s="355" t="str">
        <f t="shared" si="2"/>
        <v/>
      </c>
      <c r="E25" s="397" t="str">
        <f t="shared" si="3"/>
        <v/>
      </c>
      <c r="F25" s="375">
        <f t="shared" si="0"/>
        <v>1</v>
      </c>
      <c r="G25" s="355" t="str">
        <f t="shared" si="4"/>
        <v/>
      </c>
      <c r="H25" s="355" t="str">
        <f t="shared" si="5"/>
        <v/>
      </c>
      <c r="I25" s="355" t="str">
        <f t="shared" si="5"/>
        <v/>
      </c>
      <c r="J25" s="355" t="str">
        <f t="shared" si="6"/>
        <v/>
      </c>
      <c r="K25" s="355" t="str">
        <f t="shared" si="7"/>
        <v/>
      </c>
      <c r="L25" s="355" t="str">
        <f t="shared" si="8"/>
        <v/>
      </c>
      <c r="M25" s="355" t="str">
        <f t="shared" si="9"/>
        <v/>
      </c>
      <c r="N25" s="371" t="str">
        <f t="shared" si="11"/>
        <v>前月からの変更の有無を選択してください</v>
      </c>
      <c r="O25" s="372" t="str">
        <f t="shared" si="10"/>
        <v>入力未了</v>
      </c>
      <c r="Q25" s="377"/>
      <c r="R25" s="376" t="str">
        <f>IF(AND(様式１!$W$40&gt;0,SUM(様式１!$W$41:$W$42)&gt;0),"OK","NG")</f>
        <v>NG</v>
      </c>
      <c r="S25" s="376" t="str">
        <f>IF(AND(様式１!$Y$40&gt;0,SUM(様式１!$Y$41:$Y$42)&gt;0),"OK","NG")</f>
        <v>NG</v>
      </c>
      <c r="T25" s="376">
        <f t="shared" si="1"/>
        <v>0</v>
      </c>
      <c r="U25" s="351"/>
    </row>
    <row r="26" spans="1:21">
      <c r="E26" s="347" t="s">
        <v>276</v>
      </c>
    </row>
    <row r="27" spans="1:21">
      <c r="E27" s="347" t="s">
        <v>277</v>
      </c>
      <c r="F27" s="347">
        <v>1</v>
      </c>
    </row>
    <row r="28" spans="1:21">
      <c r="E28" s="347" t="s">
        <v>278</v>
      </c>
      <c r="F28" s="347">
        <v>2</v>
      </c>
    </row>
    <row r="29" spans="1:21">
      <c r="E29" s="347" t="s">
        <v>279</v>
      </c>
      <c r="F29" s="347">
        <v>3</v>
      </c>
    </row>
    <row r="30" spans="1:21">
      <c r="E30" s="347" t="s">
        <v>280</v>
      </c>
      <c r="F30" s="347">
        <v>3.5</v>
      </c>
    </row>
    <row r="31" spans="1:21">
      <c r="E31" s="347" t="s">
        <v>281</v>
      </c>
      <c r="F31" s="347">
        <v>5</v>
      </c>
    </row>
    <row r="32" spans="1:21">
      <c r="E32" s="347" t="s">
        <v>282</v>
      </c>
      <c r="F32" s="347">
        <v>6</v>
      </c>
    </row>
    <row r="33" spans="5:6">
      <c r="E33" s="347" t="s">
        <v>283</v>
      </c>
      <c r="F33" s="347">
        <v>8</v>
      </c>
    </row>
    <row r="34" spans="5:6">
      <c r="F34" s="347" t="str">
        <f>""</f>
        <v/>
      </c>
    </row>
  </sheetData>
  <sheetProtection algorithmName="SHA-512" hashValue="TaihNTcxELxqz6xlU8Oa9mEJQpFhP412EHAy4Bk8LfCnkzVbCzO5Zh5FvmB6rpvzzCZ3o0PzgH9tDhH6BTg7hg==" saltValue="+/GQ0aZqYU0EHHeg/DKaqg==" spinCount="100000" sheet="1" objects="1" scenarios="1"/>
  <mergeCells count="11">
    <mergeCell ref="A12:A13"/>
    <mergeCell ref="G12:G13"/>
    <mergeCell ref="H12:H13"/>
    <mergeCell ref="J12:J13"/>
    <mergeCell ref="B12:B13"/>
    <mergeCell ref="K12:K13"/>
    <mergeCell ref="D12:F12"/>
    <mergeCell ref="C12:C13"/>
    <mergeCell ref="M12:M13"/>
    <mergeCell ref="L12:L13"/>
    <mergeCell ref="I12:I13"/>
  </mergeCells>
  <phoneticPr fontId="2"/>
  <conditionalFormatting sqref="N14:N25">
    <cfRule type="expression" dxfId="4" priority="5">
      <formula>N14&lt;&gt;""</formula>
    </cfRule>
  </conditionalFormatting>
  <conditionalFormatting sqref="D14:D25 G14:M25">
    <cfRule type="expression" dxfId="3" priority="4">
      <formula>D14=""</formula>
    </cfRule>
  </conditionalFormatting>
  <conditionalFormatting sqref="E14:E25">
    <cfRule type="expression" dxfId="2" priority="3">
      <formula>D14="○"</formula>
    </cfRule>
  </conditionalFormatting>
  <conditionalFormatting sqref="D15:D25 G15:M25">
    <cfRule type="expression" dxfId="1" priority="2">
      <formula>$B15&lt;&gt;"変更あり"</formula>
    </cfRule>
  </conditionalFormatting>
  <conditionalFormatting sqref="E14:E25">
    <cfRule type="expression" dxfId="0" priority="1">
      <formula>AND(D14="○",E14&lt;&gt;"")</formula>
    </cfRule>
  </conditionalFormatting>
  <dataValidations count="5">
    <dataValidation type="list" allowBlank="1" showInputMessage="1" showErrorMessage="1" sqref="B15:B25" xr:uid="{97C91D73-D9D2-4EFD-BE75-0B0041D59AB4}">
      <formula1>"変更なし,変更あり"</formula1>
    </dataValidation>
    <dataValidation type="list" allowBlank="1" showInputMessage="1" showErrorMessage="1" sqref="D14:D25 G14:K25" xr:uid="{E3805FE9-19DE-435F-B6AA-12667C7D4C62}">
      <formula1>$Q$3:$S$3</formula1>
    </dataValidation>
    <dataValidation type="list" allowBlank="1" showInputMessage="1" showErrorMessage="1" sqref="L14:L25" xr:uid="{A0F149F3-BA46-4C27-BF04-5180B4E1263F}">
      <formula1>$Q$4:$S$4</formula1>
    </dataValidation>
    <dataValidation type="list" allowBlank="1" showInputMessage="1" showErrorMessage="1" sqref="M14:M25" xr:uid="{6F4B9EEB-7C90-4E87-97A8-4A9B6F88C8CE}">
      <formula1>$Q$5:$T$5</formula1>
    </dataValidation>
    <dataValidation type="list" allowBlank="1" showInputMessage="1" showErrorMessage="1" sqref="E14:E25" xr:uid="{7C9D02D1-C610-46E1-8F60-2AFD996422AB}">
      <formula1>$F$27:$F$34</formula1>
    </dataValidation>
  </dataValidations>
  <pageMargins left="0.7" right="0.7" top="0.75" bottom="0.75" header="0.3" footer="0.3"/>
  <pageSetup paperSize="9" scale="76"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BC33"/>
  <sheetViews>
    <sheetView view="pageBreakPreview" zoomScale="60" zoomScaleNormal="100" workbookViewId="0">
      <selection activeCell="D7" sqref="D7"/>
    </sheetView>
  </sheetViews>
  <sheetFormatPr defaultRowHeight="13.5"/>
  <cols>
    <col min="2" max="2" width="6.5" bestFit="1" customWidth="1"/>
    <col min="3" max="3" width="6.5" customWidth="1"/>
    <col min="4" max="4" width="7.75" bestFit="1" customWidth="1"/>
    <col min="5" max="5" width="7.75" customWidth="1"/>
    <col min="6" max="7" width="7.875" bestFit="1" customWidth="1"/>
    <col min="8" max="8" width="8.875" bestFit="1" customWidth="1"/>
    <col min="9" max="9" width="7.625" bestFit="1" customWidth="1"/>
    <col min="10" max="11" width="7.625" customWidth="1"/>
    <col min="12" max="12" width="7.75" bestFit="1" customWidth="1"/>
    <col min="13" max="13" width="7" customWidth="1"/>
    <col min="14" max="14" width="7.75" bestFit="1" customWidth="1"/>
    <col min="15" max="15" width="7.625" bestFit="1" customWidth="1"/>
    <col min="16" max="16" width="8.75" bestFit="1" customWidth="1"/>
    <col min="17" max="17" width="7.625" bestFit="1" customWidth="1"/>
    <col min="18" max="19" width="7.25" customWidth="1"/>
    <col min="20" max="20" width="7.75" bestFit="1" customWidth="1"/>
    <col min="21" max="21" width="7.625" bestFit="1" customWidth="1"/>
    <col min="22" max="22" width="7.75" bestFit="1" customWidth="1"/>
    <col min="23" max="23" width="7.625" bestFit="1" customWidth="1"/>
    <col min="24" max="24" width="8.75" bestFit="1" customWidth="1"/>
    <col min="25" max="25" width="7.625" bestFit="1" customWidth="1"/>
    <col min="26" max="27" width="7.125" customWidth="1"/>
    <col min="28" max="35" width="7.5" customWidth="1"/>
    <col min="36" max="43" width="8" customWidth="1"/>
    <col min="44" max="50" width="7.5" customWidth="1"/>
    <col min="52" max="52" width="1.125" customWidth="1"/>
    <col min="54" max="54" width="11.125" customWidth="1"/>
  </cols>
  <sheetData>
    <row r="1" spans="1:55" ht="14.25">
      <c r="A1" s="894" t="s">
        <v>238</v>
      </c>
      <c r="B1" s="895"/>
      <c r="C1" s="895"/>
      <c r="D1" s="896"/>
      <c r="F1" s="907" t="s">
        <v>239</v>
      </c>
      <c r="G1" s="907"/>
      <c r="H1" s="907"/>
      <c r="I1" s="907"/>
      <c r="J1" s="907"/>
      <c r="K1" s="907"/>
      <c r="L1" s="907"/>
      <c r="M1" s="907"/>
      <c r="N1" s="907"/>
      <c r="O1" s="907"/>
      <c r="P1" s="907"/>
      <c r="Q1" s="907"/>
      <c r="R1" s="907"/>
      <c r="S1" s="907"/>
      <c r="T1" s="907"/>
      <c r="U1" s="907"/>
      <c r="V1" s="907"/>
      <c r="W1" s="907"/>
      <c r="X1" s="907"/>
      <c r="AI1" s="906"/>
      <c r="AJ1" s="906"/>
      <c r="AK1" s="906"/>
      <c r="AL1" s="906"/>
      <c r="AM1" s="906"/>
      <c r="AN1" s="906"/>
      <c r="AO1" s="906"/>
      <c r="AP1" s="906"/>
      <c r="AQ1" s="906"/>
    </row>
    <row r="2" spans="1:55">
      <c r="A2" s="897"/>
      <c r="B2" s="898"/>
      <c r="C2" s="898"/>
      <c r="D2" s="899"/>
      <c r="F2" s="907"/>
      <c r="G2" s="907"/>
      <c r="H2" s="907"/>
      <c r="I2" s="907"/>
      <c r="J2" s="907"/>
      <c r="K2" s="907"/>
      <c r="L2" s="907"/>
      <c r="M2" s="907"/>
      <c r="N2" s="907"/>
      <c r="O2" s="907"/>
      <c r="P2" s="907"/>
      <c r="Q2" s="907"/>
      <c r="R2" s="907"/>
      <c r="S2" s="907"/>
      <c r="T2" s="907"/>
      <c r="U2" s="907"/>
      <c r="V2" s="907"/>
      <c r="W2" s="907"/>
      <c r="X2" s="907"/>
    </row>
    <row r="3" spans="1:55">
      <c r="A3" s="150"/>
      <c r="B3" s="150"/>
      <c r="C3" s="150"/>
      <c r="D3" s="150"/>
    </row>
    <row r="4" spans="1:55">
      <c r="D4" s="151">
        <f>ROUND((8.5-8)/8,3)</f>
        <v>6.3E-2</v>
      </c>
      <c r="E4" s="151">
        <f>ROUND((9-8)/8,3)</f>
        <v>0.125</v>
      </c>
      <c r="F4" s="151">
        <f>ROUND((9.5-8)/8,3)</f>
        <v>0.188</v>
      </c>
      <c r="G4" s="151">
        <f>ROUND((10-8)/8,3)</f>
        <v>0.25</v>
      </c>
      <c r="H4" s="151">
        <f>ROUND((10.5-8)/8,3)</f>
        <v>0.313</v>
      </c>
      <c r="I4" s="151">
        <f>ROUND((11-8)/8,3)</f>
        <v>0.375</v>
      </c>
      <c r="L4" s="151">
        <f>ROUND((8.5-8)/8,3)</f>
        <v>6.3E-2</v>
      </c>
      <c r="M4" s="151">
        <f>ROUND((9-8)/8,3)</f>
        <v>0.125</v>
      </c>
      <c r="N4" s="151">
        <f>ROUND((9.5-8)/8,3)</f>
        <v>0.188</v>
      </c>
      <c r="O4" s="151">
        <f>ROUND((10-8)/8,3)</f>
        <v>0.25</v>
      </c>
      <c r="P4" s="151">
        <f>ROUND((10.5-8)/8,3)</f>
        <v>0.313</v>
      </c>
      <c r="Q4" s="151">
        <f>ROUND((11-8)/8,3)</f>
        <v>0.375</v>
      </c>
      <c r="T4" s="151">
        <f>ROUND((8.5-8)/8,3)</f>
        <v>6.3E-2</v>
      </c>
      <c r="U4" s="151">
        <f>ROUND((9-8)/8,3)</f>
        <v>0.125</v>
      </c>
      <c r="V4" s="151">
        <f>ROUND((9.5-8)/8,3)</f>
        <v>0.188</v>
      </c>
      <c r="W4" s="151">
        <f>ROUND((10-8)/8,3)</f>
        <v>0.25</v>
      </c>
      <c r="X4" s="151">
        <f>ROUND((10.5-8)/8,3)</f>
        <v>0.313</v>
      </c>
      <c r="Y4" s="151">
        <f>ROUND((11-8)/8,3)</f>
        <v>0.375</v>
      </c>
      <c r="AB4" s="151">
        <f>ROUND((8.5-8)/8,3)</f>
        <v>6.3E-2</v>
      </c>
      <c r="AC4" s="151">
        <f>ROUND((9-8)/8,3)</f>
        <v>0.125</v>
      </c>
      <c r="AD4" s="151">
        <f>ROUND((9.5-8)/8,3)</f>
        <v>0.188</v>
      </c>
      <c r="AE4" s="151">
        <f>ROUND((10-8)/8,3)</f>
        <v>0.25</v>
      </c>
      <c r="AF4" s="151">
        <f>ROUND((10.5-8)/8,3)</f>
        <v>0.313</v>
      </c>
      <c r="AG4" s="151">
        <f>ROUND((11-8)/8,3)</f>
        <v>0.375</v>
      </c>
      <c r="AJ4" s="151">
        <f>ROUND((8.5-8)/8,3)</f>
        <v>6.3E-2</v>
      </c>
      <c r="AK4" s="151">
        <f>ROUND((9-8)/8,3)</f>
        <v>0.125</v>
      </c>
      <c r="AL4" s="151">
        <f>ROUND((9.5-8)/8,3)</f>
        <v>0.188</v>
      </c>
      <c r="AM4" s="151">
        <f>ROUND((10-8)/8,3)</f>
        <v>0.25</v>
      </c>
      <c r="AN4" s="151">
        <f>ROUND((10.5-8)/8,3)</f>
        <v>0.313</v>
      </c>
      <c r="AO4" s="151">
        <f>ROUND((11-8)/8,3)</f>
        <v>0.375</v>
      </c>
      <c r="AR4" s="151">
        <f>ROUND((8.5-8)/8,3)</f>
        <v>6.3E-2</v>
      </c>
      <c r="AS4" s="151">
        <f>ROUND((9-8)/8,3)</f>
        <v>0.125</v>
      </c>
      <c r="AT4" s="151">
        <f>ROUND((9.5-8)/8,3)</f>
        <v>0.188</v>
      </c>
      <c r="AU4" s="151">
        <f>ROUND((10-8)/8,3)</f>
        <v>0.25</v>
      </c>
      <c r="AV4" s="151">
        <f>ROUND((10.5-8)/8,3)</f>
        <v>0.313</v>
      </c>
      <c r="AW4" s="151">
        <f>ROUND((11-8)/8,3)</f>
        <v>0.375</v>
      </c>
    </row>
    <row r="5" spans="1:55" ht="20.25" customHeight="1">
      <c r="B5" s="900"/>
      <c r="C5" s="901"/>
      <c r="D5" s="904" t="s">
        <v>126</v>
      </c>
      <c r="E5" s="890"/>
      <c r="F5" s="890"/>
      <c r="G5" s="890"/>
      <c r="H5" s="890"/>
      <c r="I5" s="890"/>
      <c r="J5" s="890"/>
      <c r="K5" s="891"/>
      <c r="L5" s="889" t="s">
        <v>127</v>
      </c>
      <c r="M5" s="890"/>
      <c r="N5" s="890"/>
      <c r="O5" s="890"/>
      <c r="P5" s="890"/>
      <c r="Q5" s="890"/>
      <c r="R5" s="890"/>
      <c r="S5" s="891"/>
      <c r="T5" s="905" t="s">
        <v>128</v>
      </c>
      <c r="U5" s="612"/>
      <c r="V5" s="612"/>
      <c r="W5" s="612"/>
      <c r="X5" s="612"/>
      <c r="Y5" s="612"/>
      <c r="Z5" s="904"/>
      <c r="AA5" s="154"/>
      <c r="AB5" s="889" t="s">
        <v>129</v>
      </c>
      <c r="AC5" s="890"/>
      <c r="AD5" s="890"/>
      <c r="AE5" s="890"/>
      <c r="AF5" s="890"/>
      <c r="AG5" s="890"/>
      <c r="AH5" s="890"/>
      <c r="AI5" s="890"/>
      <c r="AJ5" s="890" t="s">
        <v>130</v>
      </c>
      <c r="AK5" s="890"/>
      <c r="AL5" s="890"/>
      <c r="AM5" s="890"/>
      <c r="AN5" s="890"/>
      <c r="AO5" s="890"/>
      <c r="AP5" s="890"/>
      <c r="AQ5" s="891"/>
      <c r="AR5" s="889" t="s">
        <v>131</v>
      </c>
      <c r="AS5" s="890"/>
      <c r="AT5" s="890"/>
      <c r="AU5" s="890"/>
      <c r="AV5" s="890"/>
      <c r="AW5" s="890"/>
      <c r="AX5" s="890"/>
      <c r="AY5" s="891"/>
      <c r="BA5" s="892" t="s">
        <v>132</v>
      </c>
      <c r="BB5" s="893" t="s">
        <v>133</v>
      </c>
      <c r="BC5" s="893" t="s">
        <v>134</v>
      </c>
    </row>
    <row r="6" spans="1:55" ht="16.5" customHeight="1">
      <c r="B6" s="902"/>
      <c r="C6" s="903"/>
      <c r="D6" s="147" t="s">
        <v>135</v>
      </c>
      <c r="E6" s="147" t="s">
        <v>136</v>
      </c>
      <c r="F6" s="147" t="s">
        <v>137</v>
      </c>
      <c r="G6" s="147" t="s">
        <v>138</v>
      </c>
      <c r="H6" s="147" t="s">
        <v>139</v>
      </c>
      <c r="I6" s="147" t="s">
        <v>140</v>
      </c>
      <c r="J6" s="152" t="s">
        <v>141</v>
      </c>
      <c r="K6" s="155" t="s">
        <v>142</v>
      </c>
      <c r="L6" s="156" t="s">
        <v>135</v>
      </c>
      <c r="M6" s="147" t="s">
        <v>136</v>
      </c>
      <c r="N6" s="147" t="s">
        <v>137</v>
      </c>
      <c r="O6" s="147" t="s">
        <v>138</v>
      </c>
      <c r="P6" s="147" t="s">
        <v>139</v>
      </c>
      <c r="Q6" s="147" t="s">
        <v>140</v>
      </c>
      <c r="R6" s="152" t="s">
        <v>141</v>
      </c>
      <c r="S6" s="155" t="s">
        <v>142</v>
      </c>
      <c r="T6" s="153" t="s">
        <v>135</v>
      </c>
      <c r="U6" s="147" t="s">
        <v>136</v>
      </c>
      <c r="V6" s="147" t="s">
        <v>137</v>
      </c>
      <c r="W6" s="147" t="s">
        <v>138</v>
      </c>
      <c r="X6" s="147" t="s">
        <v>139</v>
      </c>
      <c r="Y6" s="147" t="s">
        <v>140</v>
      </c>
      <c r="Z6" s="152" t="s">
        <v>141</v>
      </c>
      <c r="AA6" s="155" t="s">
        <v>142</v>
      </c>
      <c r="AB6" s="156" t="s">
        <v>135</v>
      </c>
      <c r="AC6" s="147" t="s">
        <v>136</v>
      </c>
      <c r="AD6" s="147" t="s">
        <v>137</v>
      </c>
      <c r="AE6" s="147" t="s">
        <v>138</v>
      </c>
      <c r="AF6" s="147" t="s">
        <v>139</v>
      </c>
      <c r="AG6" s="147" t="s">
        <v>140</v>
      </c>
      <c r="AH6" s="152" t="s">
        <v>141</v>
      </c>
      <c r="AI6" s="155" t="s">
        <v>142</v>
      </c>
      <c r="AJ6" s="153" t="s">
        <v>135</v>
      </c>
      <c r="AK6" s="147" t="s">
        <v>136</v>
      </c>
      <c r="AL6" s="147" t="s">
        <v>137</v>
      </c>
      <c r="AM6" s="147" t="s">
        <v>138</v>
      </c>
      <c r="AN6" s="147" t="s">
        <v>139</v>
      </c>
      <c r="AO6" s="147" t="s">
        <v>140</v>
      </c>
      <c r="AP6" s="152" t="s">
        <v>141</v>
      </c>
      <c r="AQ6" s="155" t="s">
        <v>142</v>
      </c>
      <c r="AR6" s="157" t="s">
        <v>135</v>
      </c>
      <c r="AS6" s="158" t="s">
        <v>136</v>
      </c>
      <c r="AT6" s="158" t="s">
        <v>137</v>
      </c>
      <c r="AU6" s="158" t="s">
        <v>138</v>
      </c>
      <c r="AV6" s="158" t="s">
        <v>139</v>
      </c>
      <c r="AW6" s="158" t="s">
        <v>140</v>
      </c>
      <c r="AX6" s="158" t="s">
        <v>141</v>
      </c>
      <c r="AY6" s="155" t="s">
        <v>142</v>
      </c>
      <c r="BA6" s="892"/>
      <c r="BB6" s="893"/>
      <c r="BC6" s="893"/>
    </row>
    <row r="7" spans="1:55" ht="18.75" customHeight="1">
      <c r="B7" s="883" t="s">
        <v>11</v>
      </c>
      <c r="C7" s="159" t="s">
        <v>143</v>
      </c>
      <c r="D7" s="194"/>
      <c r="E7" s="194"/>
      <c r="F7" s="194"/>
      <c r="G7" s="194"/>
      <c r="H7" s="194"/>
      <c r="I7" s="194"/>
      <c r="J7" s="160">
        <f>SUM(D7:I7)</f>
        <v>0</v>
      </c>
      <c r="K7" s="885">
        <f>ROUND(J8/3*J7,2)</f>
        <v>0</v>
      </c>
      <c r="L7" s="194"/>
      <c r="M7" s="194"/>
      <c r="N7" s="194"/>
      <c r="O7" s="194"/>
      <c r="P7" s="194"/>
      <c r="Q7" s="194"/>
      <c r="R7" s="161">
        <f>SUM(L7:Q7)</f>
        <v>0</v>
      </c>
      <c r="S7" s="885">
        <f>ROUND(R8/5*R7,2)</f>
        <v>0</v>
      </c>
      <c r="T7" s="194"/>
      <c r="U7" s="194"/>
      <c r="V7" s="194"/>
      <c r="W7" s="194"/>
      <c r="X7" s="194"/>
      <c r="Y7" s="194"/>
      <c r="Z7" s="160">
        <f>SUM(T7:Y7)</f>
        <v>0</v>
      </c>
      <c r="AA7" s="885">
        <f>ROUND(Z8/6*Z7,2)</f>
        <v>0</v>
      </c>
      <c r="AB7" s="194"/>
      <c r="AC7" s="194"/>
      <c r="AD7" s="194"/>
      <c r="AE7" s="194"/>
      <c r="AF7" s="194"/>
      <c r="AG7" s="194"/>
      <c r="AH7" s="160">
        <f>SUM(AB7:AG7)</f>
        <v>0</v>
      </c>
      <c r="AI7" s="885">
        <f>ROUND(AH8/15*AH7,2)</f>
        <v>0</v>
      </c>
      <c r="AJ7" s="194"/>
      <c r="AK7" s="194"/>
      <c r="AL7" s="194"/>
      <c r="AM7" s="194"/>
      <c r="AN7" s="194"/>
      <c r="AO7" s="194"/>
      <c r="AP7" s="160">
        <f>SUM(AJ7:AO7)</f>
        <v>0</v>
      </c>
      <c r="AQ7" s="885">
        <f>ROUND(AP8/20*AP7,2)</f>
        <v>0</v>
      </c>
      <c r="AR7" s="194"/>
      <c r="AS7" s="194"/>
      <c r="AT7" s="194"/>
      <c r="AU7" s="194"/>
      <c r="AV7" s="194"/>
      <c r="AW7" s="194"/>
      <c r="AX7" s="162">
        <f>SUM(AR7:AW7)</f>
        <v>0</v>
      </c>
      <c r="AY7" s="885">
        <f>ROUND(AX8/25*AX7,2)</f>
        <v>0</v>
      </c>
      <c r="BA7" s="879">
        <f>ROUND(AY7+AQ7+AI7+AA7+S7+K7,1)</f>
        <v>0</v>
      </c>
      <c r="BB7" s="146" t="str">
        <f>IF(J7+R7=0,"×","○")</f>
        <v>×</v>
      </c>
      <c r="BC7" s="163">
        <f>SUM(J7,R7,Z7,AH7,AP7,AX7)</f>
        <v>0</v>
      </c>
    </row>
    <row r="8" spans="1:55" ht="18.75" customHeight="1">
      <c r="B8" s="888"/>
      <c r="C8" s="164" t="s">
        <v>144</v>
      </c>
      <c r="D8" s="165">
        <f t="shared" ref="D8:I8" si="0">D$4*D7</f>
        <v>0</v>
      </c>
      <c r="E8" s="165">
        <f t="shared" si="0"/>
        <v>0</v>
      </c>
      <c r="F8" s="165">
        <f t="shared" si="0"/>
        <v>0</v>
      </c>
      <c r="G8" s="165">
        <f t="shared" si="0"/>
        <v>0</v>
      </c>
      <c r="H8" s="165">
        <f t="shared" si="0"/>
        <v>0</v>
      </c>
      <c r="I8" s="165">
        <f t="shared" si="0"/>
        <v>0</v>
      </c>
      <c r="J8" s="166">
        <f>IFERROR(ROUND(SUM(D8:I8)/J7,3),0)</f>
        <v>0</v>
      </c>
      <c r="K8" s="886"/>
      <c r="L8" s="167">
        <f t="shared" ref="L8:Q8" si="1">L$4*L7</f>
        <v>0</v>
      </c>
      <c r="M8" s="165">
        <f t="shared" si="1"/>
        <v>0</v>
      </c>
      <c r="N8" s="165">
        <f t="shared" si="1"/>
        <v>0</v>
      </c>
      <c r="O8" s="165">
        <f t="shared" si="1"/>
        <v>0</v>
      </c>
      <c r="P8" s="165">
        <f t="shared" si="1"/>
        <v>0</v>
      </c>
      <c r="Q8" s="165">
        <f t="shared" si="1"/>
        <v>0</v>
      </c>
      <c r="R8" s="166">
        <f>IFERROR(ROUND(SUM(L8:Q8)/R7,3),)</f>
        <v>0</v>
      </c>
      <c r="S8" s="886"/>
      <c r="T8" s="168">
        <f t="shared" ref="T8:Y8" si="2">T$4*T7</f>
        <v>0</v>
      </c>
      <c r="U8" s="165">
        <f t="shared" si="2"/>
        <v>0</v>
      </c>
      <c r="V8" s="165">
        <f t="shared" si="2"/>
        <v>0</v>
      </c>
      <c r="W8" s="165">
        <f t="shared" si="2"/>
        <v>0</v>
      </c>
      <c r="X8" s="165">
        <f t="shared" si="2"/>
        <v>0</v>
      </c>
      <c r="Y8" s="165">
        <f t="shared" si="2"/>
        <v>0</v>
      </c>
      <c r="Z8" s="166">
        <f>IFERROR(ROUND(SUM(T8:Y8)/Z7,3),0)</f>
        <v>0</v>
      </c>
      <c r="AA8" s="886"/>
      <c r="AB8" s="167">
        <f t="shared" ref="AB8:AG8" si="3">AB$4*AB7</f>
        <v>0</v>
      </c>
      <c r="AC8" s="165">
        <f t="shared" si="3"/>
        <v>0</v>
      </c>
      <c r="AD8" s="165">
        <f t="shared" si="3"/>
        <v>0</v>
      </c>
      <c r="AE8" s="165">
        <f t="shared" si="3"/>
        <v>0</v>
      </c>
      <c r="AF8" s="165">
        <f t="shared" si="3"/>
        <v>0</v>
      </c>
      <c r="AG8" s="165">
        <f t="shared" si="3"/>
        <v>0</v>
      </c>
      <c r="AH8" s="166">
        <f>IFERROR(ROUND(SUM(AB8:AG8)/AH7,3),0)</f>
        <v>0</v>
      </c>
      <c r="AI8" s="886"/>
      <c r="AJ8" s="168">
        <f t="shared" ref="AJ8:AO8" si="4">AJ$4*AJ7</f>
        <v>0</v>
      </c>
      <c r="AK8" s="165">
        <f t="shared" si="4"/>
        <v>0</v>
      </c>
      <c r="AL8" s="165">
        <f t="shared" si="4"/>
        <v>0</v>
      </c>
      <c r="AM8" s="165">
        <f t="shared" si="4"/>
        <v>0</v>
      </c>
      <c r="AN8" s="165">
        <f t="shared" si="4"/>
        <v>0</v>
      </c>
      <c r="AO8" s="165">
        <f t="shared" si="4"/>
        <v>0</v>
      </c>
      <c r="AP8" s="166">
        <f>IFERROR(ROUND(SUM(AJ8:AO8)/AP7,3),0)</f>
        <v>0</v>
      </c>
      <c r="AQ8" s="886"/>
      <c r="AR8" s="167">
        <f t="shared" ref="AR8:AW8" si="5">AR$4*AR7</f>
        <v>0</v>
      </c>
      <c r="AS8" s="165">
        <f t="shared" si="5"/>
        <v>0</v>
      </c>
      <c r="AT8" s="165">
        <f t="shared" si="5"/>
        <v>0</v>
      </c>
      <c r="AU8" s="165">
        <f t="shared" si="5"/>
        <v>0</v>
      </c>
      <c r="AV8" s="165">
        <f t="shared" si="5"/>
        <v>0</v>
      </c>
      <c r="AW8" s="165">
        <f t="shared" si="5"/>
        <v>0</v>
      </c>
      <c r="AX8" s="165">
        <f>IFERROR(ROUND(SUM(AR8:AW8)/AX7,3),0)</f>
        <v>0</v>
      </c>
      <c r="AY8" s="886"/>
      <c r="BA8" s="879"/>
      <c r="BB8" s="146"/>
      <c r="BC8" s="169"/>
    </row>
    <row r="9" spans="1:55" ht="18.75" customHeight="1">
      <c r="B9" s="883" t="s">
        <v>145</v>
      </c>
      <c r="C9" s="159" t="s">
        <v>143</v>
      </c>
      <c r="D9" s="194"/>
      <c r="E9" s="194"/>
      <c r="F9" s="194"/>
      <c r="G9" s="194"/>
      <c r="H9" s="194"/>
      <c r="I9" s="194"/>
      <c r="J9" s="161">
        <f>SUM(D9:I9)</f>
        <v>0</v>
      </c>
      <c r="K9" s="885">
        <f>ROUND(J10/3*J9,2)</f>
        <v>0</v>
      </c>
      <c r="L9" s="194"/>
      <c r="M9" s="194"/>
      <c r="N9" s="194"/>
      <c r="O9" s="194"/>
      <c r="P9" s="194"/>
      <c r="Q9" s="194"/>
      <c r="R9" s="161">
        <f>SUM(L9:Q9)</f>
        <v>0</v>
      </c>
      <c r="S9" s="885">
        <f>ROUND(R10/5*R9,2)</f>
        <v>0</v>
      </c>
      <c r="T9" s="194"/>
      <c r="U9" s="194"/>
      <c r="V9" s="194"/>
      <c r="W9" s="194"/>
      <c r="X9" s="194"/>
      <c r="Y9" s="194"/>
      <c r="Z9" s="160">
        <f>SUM(T9:Y9)</f>
        <v>0</v>
      </c>
      <c r="AA9" s="885">
        <f>ROUND(Z10/6*Z9,2)</f>
        <v>0</v>
      </c>
      <c r="AB9" s="194"/>
      <c r="AC9" s="194"/>
      <c r="AD9" s="194"/>
      <c r="AE9" s="194"/>
      <c r="AF9" s="194"/>
      <c r="AG9" s="194"/>
      <c r="AH9" s="160">
        <f>SUM(AB9:AG9)</f>
        <v>0</v>
      </c>
      <c r="AI9" s="885">
        <f>ROUND(AH10/15*AH9,2)</f>
        <v>0</v>
      </c>
      <c r="AJ9" s="194"/>
      <c r="AK9" s="194"/>
      <c r="AL9" s="194"/>
      <c r="AM9" s="194"/>
      <c r="AN9" s="194"/>
      <c r="AO9" s="194"/>
      <c r="AP9" s="160">
        <f>SUM(AJ9:AO9)</f>
        <v>0</v>
      </c>
      <c r="AQ9" s="885">
        <f>ROUND(AP10/20*AP9,2)</f>
        <v>0</v>
      </c>
      <c r="AR9" s="194"/>
      <c r="AS9" s="194"/>
      <c r="AT9" s="194"/>
      <c r="AU9" s="194"/>
      <c r="AV9" s="194"/>
      <c r="AW9" s="194"/>
      <c r="AX9" s="162">
        <f>SUM(AR9:AW9)</f>
        <v>0</v>
      </c>
      <c r="AY9" s="885">
        <f>ROUND(AX10/25*AX9,2)</f>
        <v>0</v>
      </c>
      <c r="BA9" s="879">
        <f>ROUND(AY9+AQ9+AI9+AA9+S9+K9,1)</f>
        <v>0</v>
      </c>
      <c r="BB9" s="146" t="str">
        <f>IF(J9+R9=0,"×","○")</f>
        <v>×</v>
      </c>
      <c r="BC9" s="163">
        <f>SUM(J9,R9,Z9,AH9,AP9,AX9)</f>
        <v>0</v>
      </c>
    </row>
    <row r="10" spans="1:55" ht="18.75" customHeight="1">
      <c r="B10" s="888"/>
      <c r="C10" s="170" t="s">
        <v>144</v>
      </c>
      <c r="D10" s="165">
        <f t="shared" ref="D10:I10" si="6">D$4*D9</f>
        <v>0</v>
      </c>
      <c r="E10" s="165">
        <f t="shared" si="6"/>
        <v>0</v>
      </c>
      <c r="F10" s="165">
        <f t="shared" si="6"/>
        <v>0</v>
      </c>
      <c r="G10" s="165">
        <f t="shared" si="6"/>
        <v>0</v>
      </c>
      <c r="H10" s="165">
        <f t="shared" si="6"/>
        <v>0</v>
      </c>
      <c r="I10" s="165">
        <f t="shared" si="6"/>
        <v>0</v>
      </c>
      <c r="J10" s="166">
        <f>IFERROR(ROUND(SUM(D10:I10)/J9,3),0)</f>
        <v>0</v>
      </c>
      <c r="K10" s="886"/>
      <c r="L10" s="167">
        <f t="shared" ref="L10:Q10" si="7">L$4*L9</f>
        <v>0</v>
      </c>
      <c r="M10" s="165">
        <f t="shared" si="7"/>
        <v>0</v>
      </c>
      <c r="N10" s="165">
        <f t="shared" si="7"/>
        <v>0</v>
      </c>
      <c r="O10" s="165">
        <f t="shared" si="7"/>
        <v>0</v>
      </c>
      <c r="P10" s="165">
        <f t="shared" si="7"/>
        <v>0</v>
      </c>
      <c r="Q10" s="165">
        <f t="shared" si="7"/>
        <v>0</v>
      </c>
      <c r="R10" s="166">
        <f>IFERROR(ROUND(SUM(L10:Q10)/R9,3),0)</f>
        <v>0</v>
      </c>
      <c r="S10" s="886"/>
      <c r="T10" s="168">
        <f t="shared" ref="T10:Y10" si="8">T$4*T9</f>
        <v>0</v>
      </c>
      <c r="U10" s="165">
        <f t="shared" si="8"/>
        <v>0</v>
      </c>
      <c r="V10" s="165">
        <f t="shared" si="8"/>
        <v>0</v>
      </c>
      <c r="W10" s="165">
        <f t="shared" si="8"/>
        <v>0</v>
      </c>
      <c r="X10" s="165">
        <f t="shared" si="8"/>
        <v>0</v>
      </c>
      <c r="Y10" s="165">
        <f t="shared" si="8"/>
        <v>0</v>
      </c>
      <c r="Z10" s="166">
        <f>IFERROR(ROUND(SUM(T10:Y10)/Z9,3),0)</f>
        <v>0</v>
      </c>
      <c r="AA10" s="886"/>
      <c r="AB10" s="167">
        <f t="shared" ref="AB10:AG10" si="9">AB$4*AB9</f>
        <v>0</v>
      </c>
      <c r="AC10" s="165">
        <f t="shared" si="9"/>
        <v>0</v>
      </c>
      <c r="AD10" s="165">
        <f t="shared" si="9"/>
        <v>0</v>
      </c>
      <c r="AE10" s="165">
        <f t="shared" si="9"/>
        <v>0</v>
      </c>
      <c r="AF10" s="165">
        <f t="shared" si="9"/>
        <v>0</v>
      </c>
      <c r="AG10" s="165">
        <f t="shared" si="9"/>
        <v>0</v>
      </c>
      <c r="AH10" s="166">
        <f>IFERROR(ROUND(SUM(AB10:AG10)/AH9,3),0)</f>
        <v>0</v>
      </c>
      <c r="AI10" s="886"/>
      <c r="AJ10" s="168">
        <f t="shared" ref="AJ10:AO10" si="10">AJ$4*AJ9</f>
        <v>0</v>
      </c>
      <c r="AK10" s="165">
        <f t="shared" si="10"/>
        <v>0</v>
      </c>
      <c r="AL10" s="165">
        <f t="shared" si="10"/>
        <v>0</v>
      </c>
      <c r="AM10" s="165">
        <f t="shared" si="10"/>
        <v>0</v>
      </c>
      <c r="AN10" s="165">
        <f t="shared" si="10"/>
        <v>0</v>
      </c>
      <c r="AO10" s="165">
        <f t="shared" si="10"/>
        <v>0</v>
      </c>
      <c r="AP10" s="166">
        <f>IFERROR(ROUND(SUM(AJ10:AO10)/AP9,3),0)</f>
        <v>0</v>
      </c>
      <c r="AQ10" s="886"/>
      <c r="AR10" s="167">
        <f t="shared" ref="AR10:AW10" si="11">AR$4*AR9</f>
        <v>0</v>
      </c>
      <c r="AS10" s="165">
        <f t="shared" si="11"/>
        <v>0</v>
      </c>
      <c r="AT10" s="165">
        <f t="shared" si="11"/>
        <v>0</v>
      </c>
      <c r="AU10" s="165">
        <f t="shared" si="11"/>
        <v>0</v>
      </c>
      <c r="AV10" s="165">
        <f t="shared" si="11"/>
        <v>0</v>
      </c>
      <c r="AW10" s="165">
        <f t="shared" si="11"/>
        <v>0</v>
      </c>
      <c r="AX10" s="165">
        <f>IFERROR(ROUND(SUM(AR10:AW10)/AX9,3),0)</f>
        <v>0</v>
      </c>
      <c r="AY10" s="886"/>
      <c r="BA10" s="879"/>
      <c r="BB10" s="146"/>
      <c r="BC10" s="169"/>
    </row>
    <row r="11" spans="1:55" ht="18.75" customHeight="1">
      <c r="B11" s="883" t="s">
        <v>146</v>
      </c>
      <c r="C11" s="159" t="s">
        <v>143</v>
      </c>
      <c r="D11" s="194"/>
      <c r="E11" s="194"/>
      <c r="F11" s="194"/>
      <c r="G11" s="194"/>
      <c r="H11" s="194"/>
      <c r="I11" s="194"/>
      <c r="J11" s="160">
        <f>SUM(D11:I11)</f>
        <v>0</v>
      </c>
      <c r="K11" s="885">
        <f>ROUND(J12/3*J11,2)</f>
        <v>0</v>
      </c>
      <c r="L11" s="194"/>
      <c r="M11" s="194"/>
      <c r="N11" s="194"/>
      <c r="O11" s="194"/>
      <c r="P11" s="194"/>
      <c r="Q11" s="194"/>
      <c r="R11" s="161">
        <f>SUM(L11:Q11)</f>
        <v>0</v>
      </c>
      <c r="S11" s="885">
        <f>ROUND(R12/5*R11,2)</f>
        <v>0</v>
      </c>
      <c r="T11" s="194"/>
      <c r="U11" s="194"/>
      <c r="V11" s="194"/>
      <c r="W11" s="194"/>
      <c r="X11" s="194"/>
      <c r="Y11" s="194"/>
      <c r="Z11" s="160">
        <f>SUM(T11:Y11)</f>
        <v>0</v>
      </c>
      <c r="AA11" s="885">
        <f>ROUND(Z12/6*Z11,2)</f>
        <v>0</v>
      </c>
      <c r="AB11" s="194"/>
      <c r="AC11" s="194"/>
      <c r="AD11" s="194"/>
      <c r="AE11" s="194"/>
      <c r="AF11" s="194"/>
      <c r="AG11" s="194"/>
      <c r="AH11" s="160">
        <f>SUM(AB11:AG11)</f>
        <v>0</v>
      </c>
      <c r="AI11" s="885">
        <f>ROUND(AH12/15*AH11,2)</f>
        <v>0</v>
      </c>
      <c r="AJ11" s="194"/>
      <c r="AK11" s="194"/>
      <c r="AL11" s="194"/>
      <c r="AM11" s="194"/>
      <c r="AN11" s="194"/>
      <c r="AO11" s="194"/>
      <c r="AP11" s="160">
        <f>SUM(AJ11:AO11)</f>
        <v>0</v>
      </c>
      <c r="AQ11" s="885">
        <f>ROUND(AP12/20*AP11,2)</f>
        <v>0</v>
      </c>
      <c r="AR11" s="194"/>
      <c r="AS11" s="194"/>
      <c r="AT11" s="194"/>
      <c r="AU11" s="194"/>
      <c r="AV11" s="194"/>
      <c r="AW11" s="194"/>
      <c r="AX11" s="162">
        <f>SUM(AR11:AW11)</f>
        <v>0</v>
      </c>
      <c r="AY11" s="885">
        <f>ROUND(AX12/25*AX11,2)</f>
        <v>0</v>
      </c>
      <c r="BA11" s="879">
        <f>ROUND(AY11+AQ11+AI11+AA11+S11+K11,1)</f>
        <v>0</v>
      </c>
      <c r="BB11" s="146" t="str">
        <f>IF(J11+R11=0,"×","○")</f>
        <v>×</v>
      </c>
      <c r="BC11" s="163">
        <f>SUM(J11,R11,Z11,AH11,AP11,AX11)</f>
        <v>0</v>
      </c>
    </row>
    <row r="12" spans="1:55" ht="18.75" customHeight="1">
      <c r="B12" s="888"/>
      <c r="C12" s="164" t="s">
        <v>144</v>
      </c>
      <c r="D12" s="165">
        <f t="shared" ref="D12:I12" si="12">D$4*D11</f>
        <v>0</v>
      </c>
      <c r="E12" s="165">
        <f t="shared" si="12"/>
        <v>0</v>
      </c>
      <c r="F12" s="165">
        <f t="shared" si="12"/>
        <v>0</v>
      </c>
      <c r="G12" s="165">
        <f t="shared" si="12"/>
        <v>0</v>
      </c>
      <c r="H12" s="165">
        <f t="shared" si="12"/>
        <v>0</v>
      </c>
      <c r="I12" s="165">
        <f t="shared" si="12"/>
        <v>0</v>
      </c>
      <c r="J12" s="166">
        <f>IFERROR(ROUND(SUM(D12:I12)/J11,3),0)</f>
        <v>0</v>
      </c>
      <c r="K12" s="886"/>
      <c r="L12" s="167">
        <f t="shared" ref="L12:Q12" si="13">L$4*L11</f>
        <v>0</v>
      </c>
      <c r="M12" s="165">
        <f t="shared" si="13"/>
        <v>0</v>
      </c>
      <c r="N12" s="165">
        <f t="shared" si="13"/>
        <v>0</v>
      </c>
      <c r="O12" s="165">
        <f t="shared" si="13"/>
        <v>0</v>
      </c>
      <c r="P12" s="165">
        <f t="shared" si="13"/>
        <v>0</v>
      </c>
      <c r="Q12" s="165">
        <f t="shared" si="13"/>
        <v>0</v>
      </c>
      <c r="R12" s="166">
        <f>IFERROR(ROUND(SUM(L12:Q12)/R11,3),0)</f>
        <v>0</v>
      </c>
      <c r="S12" s="886"/>
      <c r="T12" s="168">
        <f t="shared" ref="T12:Y12" si="14">T$4*T11</f>
        <v>0</v>
      </c>
      <c r="U12" s="165">
        <f t="shared" si="14"/>
        <v>0</v>
      </c>
      <c r="V12" s="165">
        <f t="shared" si="14"/>
        <v>0</v>
      </c>
      <c r="W12" s="165">
        <f t="shared" si="14"/>
        <v>0</v>
      </c>
      <c r="X12" s="165">
        <f t="shared" si="14"/>
        <v>0</v>
      </c>
      <c r="Y12" s="165">
        <f t="shared" si="14"/>
        <v>0</v>
      </c>
      <c r="Z12" s="166">
        <f>IFERROR(ROUND(SUM(T12:Y12)/Z11,3),0)</f>
        <v>0</v>
      </c>
      <c r="AA12" s="886"/>
      <c r="AB12" s="167">
        <f t="shared" ref="AB12:AG12" si="15">AB$4*AB11</f>
        <v>0</v>
      </c>
      <c r="AC12" s="165">
        <f t="shared" si="15"/>
        <v>0</v>
      </c>
      <c r="AD12" s="165">
        <f t="shared" si="15"/>
        <v>0</v>
      </c>
      <c r="AE12" s="165">
        <f t="shared" si="15"/>
        <v>0</v>
      </c>
      <c r="AF12" s="165">
        <f t="shared" si="15"/>
        <v>0</v>
      </c>
      <c r="AG12" s="165">
        <f t="shared" si="15"/>
        <v>0</v>
      </c>
      <c r="AH12" s="166">
        <f>IFERROR(ROUND(SUM(AB12:AG12)/AH11,3),0)</f>
        <v>0</v>
      </c>
      <c r="AI12" s="886"/>
      <c r="AJ12" s="168">
        <f t="shared" ref="AJ12:AO12" si="16">AJ$4*AJ11</f>
        <v>0</v>
      </c>
      <c r="AK12" s="165">
        <f t="shared" si="16"/>
        <v>0</v>
      </c>
      <c r="AL12" s="165">
        <f t="shared" si="16"/>
        <v>0</v>
      </c>
      <c r="AM12" s="165">
        <f t="shared" si="16"/>
        <v>0</v>
      </c>
      <c r="AN12" s="165">
        <f t="shared" si="16"/>
        <v>0</v>
      </c>
      <c r="AO12" s="165">
        <f t="shared" si="16"/>
        <v>0</v>
      </c>
      <c r="AP12" s="166">
        <f>IFERROR(ROUND(SUM(AJ12:AO12)/AP11,3),0)</f>
        <v>0</v>
      </c>
      <c r="AQ12" s="886"/>
      <c r="AR12" s="167">
        <f t="shared" ref="AR12:AW12" si="17">AR$4*AR11</f>
        <v>0</v>
      </c>
      <c r="AS12" s="165">
        <f t="shared" si="17"/>
        <v>0</v>
      </c>
      <c r="AT12" s="165">
        <f t="shared" si="17"/>
        <v>0</v>
      </c>
      <c r="AU12" s="165">
        <f t="shared" si="17"/>
        <v>0</v>
      </c>
      <c r="AV12" s="165">
        <f t="shared" si="17"/>
        <v>0</v>
      </c>
      <c r="AW12" s="165">
        <f t="shared" si="17"/>
        <v>0</v>
      </c>
      <c r="AX12" s="165">
        <f>IFERROR(ROUND(SUM(AR12:AW12)/AX11,3),0)</f>
        <v>0</v>
      </c>
      <c r="AY12" s="886"/>
      <c r="BA12" s="879"/>
      <c r="BB12" s="146"/>
      <c r="BC12" s="169"/>
    </row>
    <row r="13" spans="1:55" ht="18.75" customHeight="1">
      <c r="B13" s="883" t="s">
        <v>147</v>
      </c>
      <c r="C13" s="159" t="s">
        <v>143</v>
      </c>
      <c r="D13" s="194"/>
      <c r="E13" s="194"/>
      <c r="F13" s="194"/>
      <c r="G13" s="194"/>
      <c r="H13" s="194"/>
      <c r="I13" s="194"/>
      <c r="J13" s="161">
        <f>SUM(D13:I13)</f>
        <v>0</v>
      </c>
      <c r="K13" s="885">
        <f>ROUND(J14/3*J13,2)</f>
        <v>0</v>
      </c>
      <c r="L13" s="194"/>
      <c r="M13" s="194"/>
      <c r="N13" s="194"/>
      <c r="O13" s="194"/>
      <c r="P13" s="194"/>
      <c r="Q13" s="194"/>
      <c r="R13" s="161">
        <f>SUM(L13:Q13)</f>
        <v>0</v>
      </c>
      <c r="S13" s="885">
        <f>ROUND(R14/5*R13,2)</f>
        <v>0</v>
      </c>
      <c r="T13" s="194"/>
      <c r="U13" s="194"/>
      <c r="V13" s="194"/>
      <c r="W13" s="194"/>
      <c r="X13" s="194"/>
      <c r="Y13" s="194"/>
      <c r="Z13" s="160">
        <f>SUM(T13:Y13)</f>
        <v>0</v>
      </c>
      <c r="AA13" s="885">
        <f>ROUND(Z14/6*Z13,2)</f>
        <v>0</v>
      </c>
      <c r="AB13" s="194"/>
      <c r="AC13" s="194"/>
      <c r="AD13" s="194"/>
      <c r="AE13" s="194"/>
      <c r="AF13" s="194"/>
      <c r="AG13" s="194"/>
      <c r="AH13" s="160">
        <f>SUM(AB13:AG13)</f>
        <v>0</v>
      </c>
      <c r="AI13" s="885">
        <f>ROUND(AH14/15*AH13,2)</f>
        <v>0</v>
      </c>
      <c r="AJ13" s="194"/>
      <c r="AK13" s="194"/>
      <c r="AL13" s="194"/>
      <c r="AM13" s="194"/>
      <c r="AN13" s="194"/>
      <c r="AO13" s="194"/>
      <c r="AP13" s="160">
        <f>SUM(AJ13:AO13)</f>
        <v>0</v>
      </c>
      <c r="AQ13" s="885">
        <f>ROUND(AP14/20*AP13,2)</f>
        <v>0</v>
      </c>
      <c r="AR13" s="194"/>
      <c r="AS13" s="194"/>
      <c r="AT13" s="194"/>
      <c r="AU13" s="194"/>
      <c r="AV13" s="194"/>
      <c r="AW13" s="194"/>
      <c r="AX13" s="162">
        <f>SUM(AR13:AW13)</f>
        <v>0</v>
      </c>
      <c r="AY13" s="885">
        <f>ROUND(AX14/25*AX13,2)</f>
        <v>0</v>
      </c>
      <c r="BA13" s="879">
        <f>ROUND(AY13+AQ13+AI13+AA13+S13+K13,1)</f>
        <v>0</v>
      </c>
      <c r="BB13" s="146" t="str">
        <f>IF(J13+R13=0,"×","○")</f>
        <v>×</v>
      </c>
      <c r="BC13" s="163">
        <f>SUM(J13,R13,Z13,AH13,AP13,AX13)</f>
        <v>0</v>
      </c>
    </row>
    <row r="14" spans="1:55" ht="18.75" customHeight="1">
      <c r="B14" s="888"/>
      <c r="C14" s="170" t="s">
        <v>144</v>
      </c>
      <c r="D14" s="165">
        <f t="shared" ref="D14:I14" si="18">D$4*D13</f>
        <v>0</v>
      </c>
      <c r="E14" s="165">
        <f t="shared" si="18"/>
        <v>0</v>
      </c>
      <c r="F14" s="165">
        <f t="shared" si="18"/>
        <v>0</v>
      </c>
      <c r="G14" s="165">
        <f t="shared" si="18"/>
        <v>0</v>
      </c>
      <c r="H14" s="165">
        <f t="shared" si="18"/>
        <v>0</v>
      </c>
      <c r="I14" s="165">
        <f t="shared" si="18"/>
        <v>0</v>
      </c>
      <c r="J14" s="166">
        <f>IFERROR(ROUND(SUM(D14:I14)/J13,3),0)</f>
        <v>0</v>
      </c>
      <c r="K14" s="886"/>
      <c r="L14" s="167">
        <f t="shared" ref="L14:Q14" si="19">L$4*L13</f>
        <v>0</v>
      </c>
      <c r="M14" s="165">
        <f t="shared" si="19"/>
        <v>0</v>
      </c>
      <c r="N14" s="165">
        <f t="shared" si="19"/>
        <v>0</v>
      </c>
      <c r="O14" s="165">
        <f t="shared" si="19"/>
        <v>0</v>
      </c>
      <c r="P14" s="165">
        <f t="shared" si="19"/>
        <v>0</v>
      </c>
      <c r="Q14" s="165">
        <f t="shared" si="19"/>
        <v>0</v>
      </c>
      <c r="R14" s="166">
        <f>IFERROR(ROUND(SUM(L14:Q14)/R13,3),0)</f>
        <v>0</v>
      </c>
      <c r="S14" s="886"/>
      <c r="T14" s="168">
        <f t="shared" ref="T14:Y14" si="20">T$4*T13</f>
        <v>0</v>
      </c>
      <c r="U14" s="165">
        <f t="shared" si="20"/>
        <v>0</v>
      </c>
      <c r="V14" s="165">
        <f t="shared" si="20"/>
        <v>0</v>
      </c>
      <c r="W14" s="165">
        <f t="shared" si="20"/>
        <v>0</v>
      </c>
      <c r="X14" s="165">
        <f t="shared" si="20"/>
        <v>0</v>
      </c>
      <c r="Y14" s="165">
        <f t="shared" si="20"/>
        <v>0</v>
      </c>
      <c r="Z14" s="166">
        <f>IFERROR(ROUND(SUM(T14:Y14)/Z13,3),0)</f>
        <v>0</v>
      </c>
      <c r="AA14" s="886"/>
      <c r="AB14" s="167">
        <f t="shared" ref="AB14:AG14" si="21">AB$4*AB13</f>
        <v>0</v>
      </c>
      <c r="AC14" s="165">
        <f t="shared" si="21"/>
        <v>0</v>
      </c>
      <c r="AD14" s="165">
        <f t="shared" si="21"/>
        <v>0</v>
      </c>
      <c r="AE14" s="165">
        <f t="shared" si="21"/>
        <v>0</v>
      </c>
      <c r="AF14" s="165">
        <f t="shared" si="21"/>
        <v>0</v>
      </c>
      <c r="AG14" s="165">
        <f t="shared" si="21"/>
        <v>0</v>
      </c>
      <c r="AH14" s="166">
        <f>IFERROR(ROUND(SUM(AB14:AG14)/AH13,3),0)</f>
        <v>0</v>
      </c>
      <c r="AI14" s="886"/>
      <c r="AJ14" s="168">
        <f t="shared" ref="AJ14:AO14" si="22">AJ$4*AJ13</f>
        <v>0</v>
      </c>
      <c r="AK14" s="165">
        <f t="shared" si="22"/>
        <v>0</v>
      </c>
      <c r="AL14" s="165">
        <f t="shared" si="22"/>
        <v>0</v>
      </c>
      <c r="AM14" s="165">
        <f t="shared" si="22"/>
        <v>0</v>
      </c>
      <c r="AN14" s="165">
        <f t="shared" si="22"/>
        <v>0</v>
      </c>
      <c r="AO14" s="165">
        <f t="shared" si="22"/>
        <v>0</v>
      </c>
      <c r="AP14" s="166">
        <f>IFERROR(ROUND(SUM(AJ14:AO14)/AP13,3),0)</f>
        <v>0</v>
      </c>
      <c r="AQ14" s="886"/>
      <c r="AR14" s="167">
        <f t="shared" ref="AR14:AW14" si="23">AR$4*AR13</f>
        <v>0</v>
      </c>
      <c r="AS14" s="165">
        <f t="shared" si="23"/>
        <v>0</v>
      </c>
      <c r="AT14" s="165">
        <f t="shared" si="23"/>
        <v>0</v>
      </c>
      <c r="AU14" s="165">
        <f t="shared" si="23"/>
        <v>0</v>
      </c>
      <c r="AV14" s="165">
        <f t="shared" si="23"/>
        <v>0</v>
      </c>
      <c r="AW14" s="165">
        <f t="shared" si="23"/>
        <v>0</v>
      </c>
      <c r="AX14" s="165">
        <f>IFERROR(ROUND(SUM(AR14:AW14)/AX13,3),0)</f>
        <v>0</v>
      </c>
      <c r="AY14" s="886"/>
      <c r="BA14" s="879"/>
      <c r="BB14" s="146"/>
      <c r="BC14" s="169"/>
    </row>
    <row r="15" spans="1:55" ht="18.75" customHeight="1">
      <c r="B15" s="883" t="s">
        <v>148</v>
      </c>
      <c r="C15" s="159" t="s">
        <v>143</v>
      </c>
      <c r="D15" s="194"/>
      <c r="E15" s="194"/>
      <c r="F15" s="194"/>
      <c r="G15" s="194"/>
      <c r="H15" s="194"/>
      <c r="I15" s="194"/>
      <c r="J15" s="160">
        <f>SUM(D15:I15)</f>
        <v>0</v>
      </c>
      <c r="K15" s="885">
        <f>ROUND(J16/3*J15,2)</f>
        <v>0</v>
      </c>
      <c r="L15" s="194"/>
      <c r="M15" s="194"/>
      <c r="N15" s="194"/>
      <c r="O15" s="194"/>
      <c r="P15" s="194"/>
      <c r="Q15" s="194"/>
      <c r="R15" s="161">
        <f>SUM(L15:Q15)</f>
        <v>0</v>
      </c>
      <c r="S15" s="885">
        <f>ROUND(R16/5*R15,2)</f>
        <v>0</v>
      </c>
      <c r="T15" s="194"/>
      <c r="U15" s="194"/>
      <c r="V15" s="194"/>
      <c r="W15" s="194"/>
      <c r="X15" s="194"/>
      <c r="Y15" s="194"/>
      <c r="Z15" s="160">
        <f>SUM(T15:Y15)</f>
        <v>0</v>
      </c>
      <c r="AA15" s="885">
        <f>ROUND(Z16/6*Z15,2)</f>
        <v>0</v>
      </c>
      <c r="AB15" s="194"/>
      <c r="AC15" s="194"/>
      <c r="AD15" s="194"/>
      <c r="AE15" s="194"/>
      <c r="AF15" s="194"/>
      <c r="AG15" s="194"/>
      <c r="AH15" s="160">
        <f>SUM(AB15:AG15)</f>
        <v>0</v>
      </c>
      <c r="AI15" s="885">
        <f>ROUND(AH16/15*AH15,2)</f>
        <v>0</v>
      </c>
      <c r="AJ15" s="194"/>
      <c r="AK15" s="194"/>
      <c r="AL15" s="194"/>
      <c r="AM15" s="194"/>
      <c r="AN15" s="194"/>
      <c r="AO15" s="194"/>
      <c r="AP15" s="160">
        <f>SUM(AJ15:AO15)</f>
        <v>0</v>
      </c>
      <c r="AQ15" s="885">
        <f>ROUND(AP16/20*AP15,2)</f>
        <v>0</v>
      </c>
      <c r="AR15" s="194"/>
      <c r="AS15" s="194"/>
      <c r="AT15" s="194"/>
      <c r="AU15" s="194"/>
      <c r="AV15" s="194"/>
      <c r="AW15" s="194"/>
      <c r="AX15" s="162">
        <f>SUM(AR15:AW15)</f>
        <v>0</v>
      </c>
      <c r="AY15" s="885">
        <f>ROUND(AX16/25*AX15,2)</f>
        <v>0</v>
      </c>
      <c r="BA15" s="879">
        <f>ROUND(AY15+AQ15+AI15+AA15+S15+K15,1)</f>
        <v>0</v>
      </c>
      <c r="BB15" s="146" t="str">
        <f>IF(J15+R15=0,"×","○")</f>
        <v>×</v>
      </c>
      <c r="BC15" s="163">
        <f>SUM(J15,R15,Z15,AH15,AP15,AX15)</f>
        <v>0</v>
      </c>
    </row>
    <row r="16" spans="1:55" ht="18.75" customHeight="1">
      <c r="B16" s="888"/>
      <c r="C16" s="164" t="s">
        <v>144</v>
      </c>
      <c r="D16" s="165">
        <f t="shared" ref="D16:I16" si="24">D$4*D15</f>
        <v>0</v>
      </c>
      <c r="E16" s="165">
        <f t="shared" si="24"/>
        <v>0</v>
      </c>
      <c r="F16" s="165">
        <f t="shared" si="24"/>
        <v>0</v>
      </c>
      <c r="G16" s="165">
        <f t="shared" si="24"/>
        <v>0</v>
      </c>
      <c r="H16" s="165">
        <f t="shared" si="24"/>
        <v>0</v>
      </c>
      <c r="I16" s="165">
        <f t="shared" si="24"/>
        <v>0</v>
      </c>
      <c r="J16" s="166">
        <f>IFERROR(ROUND(SUM(D16:I16)/J15,3),0)</f>
        <v>0</v>
      </c>
      <c r="K16" s="886"/>
      <c r="L16" s="167">
        <f t="shared" ref="L16:Q16" si="25">L$4*L15</f>
        <v>0</v>
      </c>
      <c r="M16" s="165">
        <f t="shared" si="25"/>
        <v>0</v>
      </c>
      <c r="N16" s="165">
        <f t="shared" si="25"/>
        <v>0</v>
      </c>
      <c r="O16" s="165">
        <f t="shared" si="25"/>
        <v>0</v>
      </c>
      <c r="P16" s="165">
        <f t="shared" si="25"/>
        <v>0</v>
      </c>
      <c r="Q16" s="165">
        <f t="shared" si="25"/>
        <v>0</v>
      </c>
      <c r="R16" s="166">
        <f>IFERROR(ROUND(SUM(L16:Q16)/R15,3),0)</f>
        <v>0</v>
      </c>
      <c r="S16" s="886"/>
      <c r="T16" s="168">
        <f t="shared" ref="T16:Y16" si="26">T$4*T15</f>
        <v>0</v>
      </c>
      <c r="U16" s="165">
        <f t="shared" si="26"/>
        <v>0</v>
      </c>
      <c r="V16" s="165">
        <f t="shared" si="26"/>
        <v>0</v>
      </c>
      <c r="W16" s="165">
        <f t="shared" si="26"/>
        <v>0</v>
      </c>
      <c r="X16" s="165">
        <f t="shared" si="26"/>
        <v>0</v>
      </c>
      <c r="Y16" s="165">
        <f t="shared" si="26"/>
        <v>0</v>
      </c>
      <c r="Z16" s="166">
        <f>IFERROR(ROUND(SUM(T16:Y16)/Z15,3),0)</f>
        <v>0</v>
      </c>
      <c r="AA16" s="886"/>
      <c r="AB16" s="167">
        <f t="shared" ref="AB16:AG16" si="27">AB$4*AB15</f>
        <v>0</v>
      </c>
      <c r="AC16" s="165">
        <f t="shared" si="27"/>
        <v>0</v>
      </c>
      <c r="AD16" s="165">
        <f t="shared" si="27"/>
        <v>0</v>
      </c>
      <c r="AE16" s="165">
        <f t="shared" si="27"/>
        <v>0</v>
      </c>
      <c r="AF16" s="165">
        <f t="shared" si="27"/>
        <v>0</v>
      </c>
      <c r="AG16" s="165">
        <f t="shared" si="27"/>
        <v>0</v>
      </c>
      <c r="AH16" s="166">
        <f>IFERROR(ROUND(SUM(AB16:AG16)/AH15,3),0)</f>
        <v>0</v>
      </c>
      <c r="AI16" s="886"/>
      <c r="AJ16" s="168">
        <f t="shared" ref="AJ16:AO16" si="28">AJ$4*AJ15</f>
        <v>0</v>
      </c>
      <c r="AK16" s="165">
        <f t="shared" si="28"/>
        <v>0</v>
      </c>
      <c r="AL16" s="165">
        <f t="shared" si="28"/>
        <v>0</v>
      </c>
      <c r="AM16" s="165">
        <f t="shared" si="28"/>
        <v>0</v>
      </c>
      <c r="AN16" s="165">
        <f t="shared" si="28"/>
        <v>0</v>
      </c>
      <c r="AO16" s="165">
        <f t="shared" si="28"/>
        <v>0</v>
      </c>
      <c r="AP16" s="166">
        <f>IFERROR(ROUND(SUM(AJ16:AO16)/AP15,3),0)</f>
        <v>0</v>
      </c>
      <c r="AQ16" s="886"/>
      <c r="AR16" s="167">
        <f t="shared" ref="AR16:AW16" si="29">AR$4*AR15</f>
        <v>0</v>
      </c>
      <c r="AS16" s="165">
        <f t="shared" si="29"/>
        <v>0</v>
      </c>
      <c r="AT16" s="165">
        <f t="shared" si="29"/>
        <v>0</v>
      </c>
      <c r="AU16" s="165">
        <f t="shared" si="29"/>
        <v>0</v>
      </c>
      <c r="AV16" s="165">
        <f t="shared" si="29"/>
        <v>0</v>
      </c>
      <c r="AW16" s="165">
        <f t="shared" si="29"/>
        <v>0</v>
      </c>
      <c r="AX16" s="165">
        <f>IFERROR(ROUND(SUM(AR16:AW16)/AX15,3),0)</f>
        <v>0</v>
      </c>
      <c r="AY16" s="886"/>
      <c r="BA16" s="879"/>
      <c r="BB16" s="146"/>
      <c r="BC16" s="169"/>
    </row>
    <row r="17" spans="2:55" ht="18.75" customHeight="1">
      <c r="B17" s="883" t="s">
        <v>149</v>
      </c>
      <c r="C17" s="159" t="s">
        <v>143</v>
      </c>
      <c r="D17" s="194"/>
      <c r="E17" s="194"/>
      <c r="F17" s="194"/>
      <c r="G17" s="194"/>
      <c r="H17" s="194"/>
      <c r="I17" s="194"/>
      <c r="J17" s="161">
        <f>SUM(D17:I17)</f>
        <v>0</v>
      </c>
      <c r="K17" s="885">
        <f>ROUND(J18/3*J17,2)</f>
        <v>0</v>
      </c>
      <c r="L17" s="194"/>
      <c r="M17" s="194"/>
      <c r="N17" s="194"/>
      <c r="O17" s="194"/>
      <c r="P17" s="194"/>
      <c r="Q17" s="194"/>
      <c r="R17" s="161">
        <f>SUM(L17:Q17)</f>
        <v>0</v>
      </c>
      <c r="S17" s="885">
        <f>ROUND(R18/5*R17,2)</f>
        <v>0</v>
      </c>
      <c r="T17" s="194"/>
      <c r="U17" s="194"/>
      <c r="V17" s="194"/>
      <c r="W17" s="194"/>
      <c r="X17" s="194"/>
      <c r="Y17" s="194"/>
      <c r="Z17" s="160">
        <f>SUM(T17:Y17)</f>
        <v>0</v>
      </c>
      <c r="AA17" s="885">
        <f>ROUND(Z18/6*Z17,2)</f>
        <v>0</v>
      </c>
      <c r="AB17" s="194"/>
      <c r="AC17" s="194"/>
      <c r="AD17" s="194"/>
      <c r="AE17" s="194"/>
      <c r="AF17" s="194"/>
      <c r="AG17" s="194"/>
      <c r="AH17" s="160">
        <f>SUM(AB17:AG17)</f>
        <v>0</v>
      </c>
      <c r="AI17" s="885">
        <f>ROUND(AH18/15*AH17,2)</f>
        <v>0</v>
      </c>
      <c r="AJ17" s="194"/>
      <c r="AK17" s="194"/>
      <c r="AL17" s="194"/>
      <c r="AM17" s="194"/>
      <c r="AN17" s="194"/>
      <c r="AO17" s="194"/>
      <c r="AP17" s="160">
        <f>SUM(AJ17:AO17)</f>
        <v>0</v>
      </c>
      <c r="AQ17" s="885">
        <f>ROUND(AP18/20*AP17,2)</f>
        <v>0</v>
      </c>
      <c r="AR17" s="194"/>
      <c r="AS17" s="194"/>
      <c r="AT17" s="194"/>
      <c r="AU17" s="194"/>
      <c r="AV17" s="194"/>
      <c r="AW17" s="194"/>
      <c r="AX17" s="162">
        <f>SUM(AR17:AW17)</f>
        <v>0</v>
      </c>
      <c r="AY17" s="885">
        <f>ROUND(AX18/25*AX17,2)</f>
        <v>0</v>
      </c>
      <c r="BA17" s="879">
        <f>ROUND(AY17+AQ17+AI17+AA17+S17+K17,1)</f>
        <v>0</v>
      </c>
      <c r="BB17" s="146" t="str">
        <f>IF(J17+R17=0,"×","○")</f>
        <v>×</v>
      </c>
      <c r="BC17" s="163">
        <f>SUM(J17,R17,Z17,AH17,AP17,AX17)</f>
        <v>0</v>
      </c>
    </row>
    <row r="18" spans="2:55" ht="18.75" customHeight="1">
      <c r="B18" s="888"/>
      <c r="C18" s="170" t="s">
        <v>144</v>
      </c>
      <c r="D18" s="165">
        <f t="shared" ref="D18:I18" si="30">D$4*D17</f>
        <v>0</v>
      </c>
      <c r="E18" s="165">
        <f t="shared" si="30"/>
        <v>0</v>
      </c>
      <c r="F18" s="165">
        <f t="shared" si="30"/>
        <v>0</v>
      </c>
      <c r="G18" s="165">
        <f t="shared" si="30"/>
        <v>0</v>
      </c>
      <c r="H18" s="165">
        <f t="shared" si="30"/>
        <v>0</v>
      </c>
      <c r="I18" s="165">
        <f t="shared" si="30"/>
        <v>0</v>
      </c>
      <c r="J18" s="166">
        <f>IFERROR(ROUND(SUM(D18:I18)/J17,3),0)</f>
        <v>0</v>
      </c>
      <c r="K18" s="886"/>
      <c r="L18" s="167">
        <f t="shared" ref="L18:Q18" si="31">L$4*L17</f>
        <v>0</v>
      </c>
      <c r="M18" s="165">
        <f t="shared" si="31"/>
        <v>0</v>
      </c>
      <c r="N18" s="165">
        <f t="shared" si="31"/>
        <v>0</v>
      </c>
      <c r="O18" s="165">
        <f t="shared" si="31"/>
        <v>0</v>
      </c>
      <c r="P18" s="165">
        <f t="shared" si="31"/>
        <v>0</v>
      </c>
      <c r="Q18" s="165">
        <f t="shared" si="31"/>
        <v>0</v>
      </c>
      <c r="R18" s="166">
        <f>IFERROR(ROUND(SUM(L18:Q18)/R17,3),0)</f>
        <v>0</v>
      </c>
      <c r="S18" s="886"/>
      <c r="T18" s="168">
        <f t="shared" ref="T18:Y18" si="32">T$4*T17</f>
        <v>0</v>
      </c>
      <c r="U18" s="165">
        <f t="shared" si="32"/>
        <v>0</v>
      </c>
      <c r="V18" s="165">
        <f t="shared" si="32"/>
        <v>0</v>
      </c>
      <c r="W18" s="165">
        <f t="shared" si="32"/>
        <v>0</v>
      </c>
      <c r="X18" s="165">
        <f t="shared" si="32"/>
        <v>0</v>
      </c>
      <c r="Y18" s="165">
        <f t="shared" si="32"/>
        <v>0</v>
      </c>
      <c r="Z18" s="166">
        <f>IFERROR(ROUND(SUM(T18:Y18)/Z17,3),0)</f>
        <v>0</v>
      </c>
      <c r="AA18" s="886"/>
      <c r="AB18" s="167">
        <f t="shared" ref="AB18:AG18" si="33">AB$4*AB17</f>
        <v>0</v>
      </c>
      <c r="AC18" s="165">
        <f t="shared" si="33"/>
        <v>0</v>
      </c>
      <c r="AD18" s="165">
        <f t="shared" si="33"/>
        <v>0</v>
      </c>
      <c r="AE18" s="165">
        <f t="shared" si="33"/>
        <v>0</v>
      </c>
      <c r="AF18" s="165">
        <f t="shared" si="33"/>
        <v>0</v>
      </c>
      <c r="AG18" s="165">
        <f t="shared" si="33"/>
        <v>0</v>
      </c>
      <c r="AH18" s="166">
        <f>IFERROR(ROUND(SUM(AB18:AG18)/AH17,3),0)</f>
        <v>0</v>
      </c>
      <c r="AI18" s="886"/>
      <c r="AJ18" s="168">
        <f t="shared" ref="AJ18:AO18" si="34">AJ$4*AJ17</f>
        <v>0</v>
      </c>
      <c r="AK18" s="165">
        <f t="shared" si="34"/>
        <v>0</v>
      </c>
      <c r="AL18" s="165">
        <f t="shared" si="34"/>
        <v>0</v>
      </c>
      <c r="AM18" s="165">
        <f t="shared" si="34"/>
        <v>0</v>
      </c>
      <c r="AN18" s="165">
        <f t="shared" si="34"/>
        <v>0</v>
      </c>
      <c r="AO18" s="165">
        <f t="shared" si="34"/>
        <v>0</v>
      </c>
      <c r="AP18" s="166">
        <f>IFERROR(ROUND(SUM(AJ18:AO18)/AP17,3),0)</f>
        <v>0</v>
      </c>
      <c r="AQ18" s="886"/>
      <c r="AR18" s="167">
        <f t="shared" ref="AR18:AW18" si="35">AR$4*AR17</f>
        <v>0</v>
      </c>
      <c r="AS18" s="165">
        <f t="shared" si="35"/>
        <v>0</v>
      </c>
      <c r="AT18" s="165">
        <f t="shared" si="35"/>
        <v>0</v>
      </c>
      <c r="AU18" s="165">
        <f t="shared" si="35"/>
        <v>0</v>
      </c>
      <c r="AV18" s="165">
        <f t="shared" si="35"/>
        <v>0</v>
      </c>
      <c r="AW18" s="165">
        <f t="shared" si="35"/>
        <v>0</v>
      </c>
      <c r="AX18" s="165">
        <f>IFERROR(ROUND(SUM(AR18:AW18)/AX17,3),0)</f>
        <v>0</v>
      </c>
      <c r="AY18" s="886"/>
      <c r="BA18" s="879"/>
      <c r="BB18" s="146"/>
      <c r="BC18" s="169"/>
    </row>
    <row r="19" spans="2:55" ht="18.75" customHeight="1">
      <c r="B19" s="883" t="s">
        <v>150</v>
      </c>
      <c r="C19" s="159" t="s">
        <v>143</v>
      </c>
      <c r="D19" s="194"/>
      <c r="E19" s="194"/>
      <c r="F19" s="194"/>
      <c r="G19" s="194"/>
      <c r="H19" s="194"/>
      <c r="I19" s="194"/>
      <c r="J19" s="161">
        <f>SUM(D19:I19)</f>
        <v>0</v>
      </c>
      <c r="K19" s="885">
        <f>ROUND(J20/3*J19,2)</f>
        <v>0</v>
      </c>
      <c r="L19" s="194"/>
      <c r="M19" s="194"/>
      <c r="N19" s="194"/>
      <c r="O19" s="194"/>
      <c r="P19" s="194"/>
      <c r="Q19" s="194"/>
      <c r="R19" s="161">
        <f>SUM(L19:Q19)</f>
        <v>0</v>
      </c>
      <c r="S19" s="885">
        <f>ROUND(R20/5*R19,2)</f>
        <v>0</v>
      </c>
      <c r="T19" s="194"/>
      <c r="U19" s="194"/>
      <c r="V19" s="194"/>
      <c r="W19" s="194"/>
      <c r="X19" s="194"/>
      <c r="Y19" s="194"/>
      <c r="Z19" s="160">
        <f>SUM(T19:Y19)</f>
        <v>0</v>
      </c>
      <c r="AA19" s="885">
        <f>ROUND(Z20/6*Z19,2)</f>
        <v>0</v>
      </c>
      <c r="AB19" s="194"/>
      <c r="AC19" s="194"/>
      <c r="AD19" s="194"/>
      <c r="AE19" s="194"/>
      <c r="AF19" s="194"/>
      <c r="AG19" s="194"/>
      <c r="AH19" s="160">
        <f>SUM(AB19:AG19)</f>
        <v>0</v>
      </c>
      <c r="AI19" s="885">
        <f>ROUND(AH20/15*AH19,2)</f>
        <v>0</v>
      </c>
      <c r="AJ19" s="194"/>
      <c r="AK19" s="194"/>
      <c r="AL19" s="194"/>
      <c r="AM19" s="194"/>
      <c r="AN19" s="194"/>
      <c r="AO19" s="194"/>
      <c r="AP19" s="160">
        <f>SUM(AJ19:AO19)</f>
        <v>0</v>
      </c>
      <c r="AQ19" s="885">
        <f>ROUND(AP20/20*AP19,2)</f>
        <v>0</v>
      </c>
      <c r="AR19" s="194"/>
      <c r="AS19" s="194"/>
      <c r="AT19" s="194"/>
      <c r="AU19" s="194"/>
      <c r="AV19" s="194"/>
      <c r="AW19" s="194"/>
      <c r="AX19" s="162">
        <f>SUM(AR19:AW19)</f>
        <v>0</v>
      </c>
      <c r="AY19" s="885">
        <f>ROUND(AX20/25*AX19,2)</f>
        <v>0</v>
      </c>
      <c r="BA19" s="879">
        <f>ROUND(AY19+AQ19+AI19+AA19+S19+K19,1)</f>
        <v>0</v>
      </c>
      <c r="BB19" s="146" t="str">
        <f>IF(J19+R19=0,"×","○")</f>
        <v>×</v>
      </c>
      <c r="BC19" s="163">
        <f>SUM(J19,R19,Z19,AH19,AP19,AX19)</f>
        <v>0</v>
      </c>
    </row>
    <row r="20" spans="2:55" ht="18.75" customHeight="1">
      <c r="B20" s="888"/>
      <c r="C20" s="164" t="s">
        <v>144</v>
      </c>
      <c r="D20" s="165">
        <f t="shared" ref="D20:I20" si="36">D$4*D19</f>
        <v>0</v>
      </c>
      <c r="E20" s="165">
        <f t="shared" si="36"/>
        <v>0</v>
      </c>
      <c r="F20" s="165">
        <f t="shared" si="36"/>
        <v>0</v>
      </c>
      <c r="G20" s="165">
        <f t="shared" si="36"/>
        <v>0</v>
      </c>
      <c r="H20" s="165">
        <f t="shared" si="36"/>
        <v>0</v>
      </c>
      <c r="I20" s="165">
        <f t="shared" si="36"/>
        <v>0</v>
      </c>
      <c r="J20" s="166">
        <f>IFERROR(ROUND(SUM(D20:I20)/J19,3),0)</f>
        <v>0</v>
      </c>
      <c r="K20" s="886"/>
      <c r="L20" s="167">
        <f t="shared" ref="L20:Q20" si="37">L$4*L19</f>
        <v>0</v>
      </c>
      <c r="M20" s="165">
        <f t="shared" si="37"/>
        <v>0</v>
      </c>
      <c r="N20" s="165">
        <f t="shared" si="37"/>
        <v>0</v>
      </c>
      <c r="O20" s="165">
        <f t="shared" si="37"/>
        <v>0</v>
      </c>
      <c r="P20" s="165">
        <f t="shared" si="37"/>
        <v>0</v>
      </c>
      <c r="Q20" s="165">
        <f t="shared" si="37"/>
        <v>0</v>
      </c>
      <c r="R20" s="166">
        <f>IFERROR(ROUND(SUM(L20:Q20)/R19,3),0)</f>
        <v>0</v>
      </c>
      <c r="S20" s="886"/>
      <c r="T20" s="168">
        <f t="shared" ref="T20:Y20" si="38">T$4*T19</f>
        <v>0</v>
      </c>
      <c r="U20" s="165">
        <f t="shared" si="38"/>
        <v>0</v>
      </c>
      <c r="V20" s="165">
        <f t="shared" si="38"/>
        <v>0</v>
      </c>
      <c r="W20" s="165">
        <f t="shared" si="38"/>
        <v>0</v>
      </c>
      <c r="X20" s="165">
        <f t="shared" si="38"/>
        <v>0</v>
      </c>
      <c r="Y20" s="165">
        <f t="shared" si="38"/>
        <v>0</v>
      </c>
      <c r="Z20" s="166">
        <f>IFERROR(ROUND(SUM(T20:Y20)/Z19,3),0)</f>
        <v>0</v>
      </c>
      <c r="AA20" s="886"/>
      <c r="AB20" s="167">
        <f t="shared" ref="AB20:AG20" si="39">AB$4*AB19</f>
        <v>0</v>
      </c>
      <c r="AC20" s="165">
        <f t="shared" si="39"/>
        <v>0</v>
      </c>
      <c r="AD20" s="165">
        <f t="shared" si="39"/>
        <v>0</v>
      </c>
      <c r="AE20" s="165">
        <f t="shared" si="39"/>
        <v>0</v>
      </c>
      <c r="AF20" s="165">
        <f t="shared" si="39"/>
        <v>0</v>
      </c>
      <c r="AG20" s="165">
        <f t="shared" si="39"/>
        <v>0</v>
      </c>
      <c r="AH20" s="166">
        <f>IFERROR(ROUND(SUM(AB20:AG20)/AH19,3),0)</f>
        <v>0</v>
      </c>
      <c r="AI20" s="886"/>
      <c r="AJ20" s="168">
        <f t="shared" ref="AJ20:AO20" si="40">AJ$4*AJ19</f>
        <v>0</v>
      </c>
      <c r="AK20" s="165">
        <f t="shared" si="40"/>
        <v>0</v>
      </c>
      <c r="AL20" s="165">
        <f t="shared" si="40"/>
        <v>0</v>
      </c>
      <c r="AM20" s="165">
        <f t="shared" si="40"/>
        <v>0</v>
      </c>
      <c r="AN20" s="165">
        <f t="shared" si="40"/>
        <v>0</v>
      </c>
      <c r="AO20" s="165">
        <f t="shared" si="40"/>
        <v>0</v>
      </c>
      <c r="AP20" s="166">
        <f>IFERROR(ROUND(SUM(AJ20:AO20)/AP19,3),0)</f>
        <v>0</v>
      </c>
      <c r="AQ20" s="886"/>
      <c r="AR20" s="167">
        <f t="shared" ref="AR20:AW20" si="41">AR$4*AR19</f>
        <v>0</v>
      </c>
      <c r="AS20" s="165">
        <f t="shared" si="41"/>
        <v>0</v>
      </c>
      <c r="AT20" s="165">
        <f t="shared" si="41"/>
        <v>0</v>
      </c>
      <c r="AU20" s="165">
        <f t="shared" si="41"/>
        <v>0</v>
      </c>
      <c r="AV20" s="165">
        <f t="shared" si="41"/>
        <v>0</v>
      </c>
      <c r="AW20" s="165">
        <f t="shared" si="41"/>
        <v>0</v>
      </c>
      <c r="AX20" s="165">
        <f>IFERROR(ROUND(SUM(AR20:AW20)/AX19,3),0)</f>
        <v>0</v>
      </c>
      <c r="AY20" s="886"/>
      <c r="BA20" s="879"/>
      <c r="BB20" s="146"/>
      <c r="BC20" s="169"/>
    </row>
    <row r="21" spans="2:55" ht="18.75" customHeight="1">
      <c r="B21" s="883" t="s">
        <v>151</v>
      </c>
      <c r="C21" s="159" t="s">
        <v>143</v>
      </c>
      <c r="D21" s="194"/>
      <c r="E21" s="194"/>
      <c r="F21" s="194"/>
      <c r="G21" s="194"/>
      <c r="H21" s="194"/>
      <c r="I21" s="194"/>
      <c r="J21" s="161">
        <f>SUM(D21:I21)</f>
        <v>0</v>
      </c>
      <c r="K21" s="885">
        <f>ROUND(J22/3*J21,2)</f>
        <v>0</v>
      </c>
      <c r="L21" s="194"/>
      <c r="M21" s="194"/>
      <c r="N21" s="194"/>
      <c r="O21" s="194"/>
      <c r="P21" s="194"/>
      <c r="Q21" s="194"/>
      <c r="R21" s="161">
        <f>SUM(L21:Q21)</f>
        <v>0</v>
      </c>
      <c r="S21" s="885">
        <f>ROUND(R22/5*R21,2)</f>
        <v>0</v>
      </c>
      <c r="T21" s="194"/>
      <c r="U21" s="194"/>
      <c r="V21" s="194"/>
      <c r="W21" s="194"/>
      <c r="X21" s="194"/>
      <c r="Y21" s="194"/>
      <c r="Z21" s="160">
        <f>SUM(T21:Y21)</f>
        <v>0</v>
      </c>
      <c r="AA21" s="885">
        <f>ROUND(Z22/6*Z21,2)</f>
        <v>0</v>
      </c>
      <c r="AB21" s="194"/>
      <c r="AC21" s="194"/>
      <c r="AD21" s="194"/>
      <c r="AE21" s="194"/>
      <c r="AF21" s="194"/>
      <c r="AG21" s="194"/>
      <c r="AH21" s="160">
        <f>SUM(AB21:AG21)</f>
        <v>0</v>
      </c>
      <c r="AI21" s="885">
        <f>ROUND(AH22/15*AH21,2)</f>
        <v>0</v>
      </c>
      <c r="AJ21" s="194"/>
      <c r="AK21" s="194"/>
      <c r="AL21" s="194"/>
      <c r="AM21" s="194"/>
      <c r="AN21" s="194"/>
      <c r="AO21" s="194"/>
      <c r="AP21" s="160">
        <f>SUM(AJ21:AO21)</f>
        <v>0</v>
      </c>
      <c r="AQ21" s="885">
        <f>ROUND(AP22/20*AP21,2)</f>
        <v>0</v>
      </c>
      <c r="AR21" s="194"/>
      <c r="AS21" s="194"/>
      <c r="AT21" s="194"/>
      <c r="AU21" s="194"/>
      <c r="AV21" s="194"/>
      <c r="AW21" s="194"/>
      <c r="AX21" s="162">
        <f>SUM(AR21:AW21)</f>
        <v>0</v>
      </c>
      <c r="AY21" s="885">
        <f>ROUND(AX22/25*AX21,2)</f>
        <v>0</v>
      </c>
      <c r="BA21" s="879">
        <f>ROUND(AY21+AQ21+AI21+AA21+S21+K21,1)</f>
        <v>0</v>
      </c>
      <c r="BB21" s="146" t="str">
        <f>IF(J21+R21=0,"×","○")</f>
        <v>×</v>
      </c>
      <c r="BC21" s="163">
        <f>SUM(J21,R21,Z21,AH21,AP21,AX21)</f>
        <v>0</v>
      </c>
    </row>
    <row r="22" spans="2:55" ht="18.75" customHeight="1">
      <c r="B22" s="888"/>
      <c r="C22" s="170" t="s">
        <v>144</v>
      </c>
      <c r="D22" s="165">
        <f t="shared" ref="D22:I22" si="42">D$4*D21</f>
        <v>0</v>
      </c>
      <c r="E22" s="165">
        <f t="shared" si="42"/>
        <v>0</v>
      </c>
      <c r="F22" s="165">
        <f t="shared" si="42"/>
        <v>0</v>
      </c>
      <c r="G22" s="165">
        <f t="shared" si="42"/>
        <v>0</v>
      </c>
      <c r="H22" s="165">
        <f t="shared" si="42"/>
        <v>0</v>
      </c>
      <c r="I22" s="165">
        <f t="shared" si="42"/>
        <v>0</v>
      </c>
      <c r="J22" s="166">
        <f>IFERROR(ROUND(SUM(D22:I22)/J21,3),0)</f>
        <v>0</v>
      </c>
      <c r="K22" s="886"/>
      <c r="L22" s="167">
        <f t="shared" ref="L22:Q22" si="43">L$4*L21</f>
        <v>0</v>
      </c>
      <c r="M22" s="165">
        <f t="shared" si="43"/>
        <v>0</v>
      </c>
      <c r="N22" s="165">
        <f t="shared" si="43"/>
        <v>0</v>
      </c>
      <c r="O22" s="165">
        <f t="shared" si="43"/>
        <v>0</v>
      </c>
      <c r="P22" s="165">
        <f t="shared" si="43"/>
        <v>0</v>
      </c>
      <c r="Q22" s="165">
        <f t="shared" si="43"/>
        <v>0</v>
      </c>
      <c r="R22" s="166">
        <f>IFERROR(ROUND(SUM(L22:Q22)/R21,3),0)</f>
        <v>0</v>
      </c>
      <c r="S22" s="886"/>
      <c r="T22" s="168">
        <f t="shared" ref="T22:Y22" si="44">T$4*T21</f>
        <v>0</v>
      </c>
      <c r="U22" s="165">
        <f t="shared" si="44"/>
        <v>0</v>
      </c>
      <c r="V22" s="165">
        <f t="shared" si="44"/>
        <v>0</v>
      </c>
      <c r="W22" s="165">
        <f t="shared" si="44"/>
        <v>0</v>
      </c>
      <c r="X22" s="165">
        <f t="shared" si="44"/>
        <v>0</v>
      </c>
      <c r="Y22" s="165">
        <f t="shared" si="44"/>
        <v>0</v>
      </c>
      <c r="Z22" s="166">
        <f>IFERROR(ROUND(SUM(T22:Y22)/Z21,3),0)</f>
        <v>0</v>
      </c>
      <c r="AA22" s="886"/>
      <c r="AB22" s="167">
        <f t="shared" ref="AB22:AG22" si="45">AB$4*AB21</f>
        <v>0</v>
      </c>
      <c r="AC22" s="165">
        <f t="shared" si="45"/>
        <v>0</v>
      </c>
      <c r="AD22" s="165">
        <f t="shared" si="45"/>
        <v>0</v>
      </c>
      <c r="AE22" s="165">
        <f t="shared" si="45"/>
        <v>0</v>
      </c>
      <c r="AF22" s="165">
        <f t="shared" si="45"/>
        <v>0</v>
      </c>
      <c r="AG22" s="165">
        <f t="shared" si="45"/>
        <v>0</v>
      </c>
      <c r="AH22" s="166">
        <f>IFERROR(ROUND(SUM(AB22:AG22)/AH21,3),0)</f>
        <v>0</v>
      </c>
      <c r="AI22" s="886"/>
      <c r="AJ22" s="168">
        <f t="shared" ref="AJ22:AO22" si="46">AJ$4*AJ21</f>
        <v>0</v>
      </c>
      <c r="AK22" s="165">
        <f t="shared" si="46"/>
        <v>0</v>
      </c>
      <c r="AL22" s="165">
        <f t="shared" si="46"/>
        <v>0</v>
      </c>
      <c r="AM22" s="165">
        <f t="shared" si="46"/>
        <v>0</v>
      </c>
      <c r="AN22" s="165">
        <f t="shared" si="46"/>
        <v>0</v>
      </c>
      <c r="AO22" s="165">
        <f t="shared" si="46"/>
        <v>0</v>
      </c>
      <c r="AP22" s="166">
        <f>IFERROR(ROUND(SUM(AJ22:AO22)/AP21,3),0)</f>
        <v>0</v>
      </c>
      <c r="AQ22" s="886"/>
      <c r="AR22" s="167">
        <f t="shared" ref="AR22:AW22" si="47">AR$4*AR21</f>
        <v>0</v>
      </c>
      <c r="AS22" s="165">
        <f t="shared" si="47"/>
        <v>0</v>
      </c>
      <c r="AT22" s="165">
        <f t="shared" si="47"/>
        <v>0</v>
      </c>
      <c r="AU22" s="165">
        <f t="shared" si="47"/>
        <v>0</v>
      </c>
      <c r="AV22" s="165">
        <f t="shared" si="47"/>
        <v>0</v>
      </c>
      <c r="AW22" s="165">
        <f t="shared" si="47"/>
        <v>0</v>
      </c>
      <c r="AX22" s="165">
        <f>IFERROR(ROUND(SUM(AR22:AW22)/AX21,3),0)</f>
        <v>0</v>
      </c>
      <c r="AY22" s="886"/>
      <c r="BA22" s="879"/>
      <c r="BB22" s="146"/>
      <c r="BC22" s="169"/>
    </row>
    <row r="23" spans="2:55" ht="18.75" customHeight="1">
      <c r="B23" s="883" t="s">
        <v>152</v>
      </c>
      <c r="C23" s="159" t="s">
        <v>143</v>
      </c>
      <c r="D23" s="194"/>
      <c r="E23" s="194"/>
      <c r="F23" s="194"/>
      <c r="G23" s="194"/>
      <c r="H23" s="194"/>
      <c r="I23" s="194"/>
      <c r="J23" s="161">
        <f>SUM(D23:I23)</f>
        <v>0</v>
      </c>
      <c r="K23" s="885">
        <f>ROUND(J24/3*J23,2)</f>
        <v>0</v>
      </c>
      <c r="L23" s="194"/>
      <c r="M23" s="194"/>
      <c r="N23" s="194"/>
      <c r="O23" s="194"/>
      <c r="P23" s="194"/>
      <c r="Q23" s="194"/>
      <c r="R23" s="161">
        <f>SUM(L23:Q23)</f>
        <v>0</v>
      </c>
      <c r="S23" s="885">
        <f>ROUND(R24/5*R23,2)</f>
        <v>0</v>
      </c>
      <c r="T23" s="194"/>
      <c r="U23" s="194"/>
      <c r="V23" s="194"/>
      <c r="W23" s="194"/>
      <c r="X23" s="194"/>
      <c r="Y23" s="194"/>
      <c r="Z23" s="160">
        <f>SUM(T23:Y23)</f>
        <v>0</v>
      </c>
      <c r="AA23" s="885">
        <f>ROUND(Z24/6*Z23,2)</f>
        <v>0</v>
      </c>
      <c r="AB23" s="194"/>
      <c r="AC23" s="194"/>
      <c r="AD23" s="194"/>
      <c r="AE23" s="194"/>
      <c r="AF23" s="194"/>
      <c r="AG23" s="194"/>
      <c r="AH23" s="160">
        <f>SUM(AB23:AG23)</f>
        <v>0</v>
      </c>
      <c r="AI23" s="885">
        <f>ROUND(AH24/15*AH23,2)</f>
        <v>0</v>
      </c>
      <c r="AJ23" s="194"/>
      <c r="AK23" s="194"/>
      <c r="AL23" s="194"/>
      <c r="AM23" s="194"/>
      <c r="AN23" s="194"/>
      <c r="AO23" s="194"/>
      <c r="AP23" s="160">
        <f>SUM(AJ23:AO23)</f>
        <v>0</v>
      </c>
      <c r="AQ23" s="885">
        <f>ROUND(AP24/20*AP23,2)</f>
        <v>0</v>
      </c>
      <c r="AR23" s="194"/>
      <c r="AS23" s="194"/>
      <c r="AT23" s="194"/>
      <c r="AU23" s="194"/>
      <c r="AV23" s="194"/>
      <c r="AW23" s="194"/>
      <c r="AX23" s="162">
        <f>SUM(AR23:AW23)</f>
        <v>0</v>
      </c>
      <c r="AY23" s="885">
        <f>ROUND(AX24/25*AX23,2)</f>
        <v>0</v>
      </c>
      <c r="BA23" s="879">
        <f>ROUND(AY23+AQ23+AI23+AA23+S23+K23,1)</f>
        <v>0</v>
      </c>
      <c r="BB23" s="146" t="str">
        <f>IF(J23+R23=0,"×","○")</f>
        <v>×</v>
      </c>
      <c r="BC23" s="163">
        <f>SUM(J23,R23,Z23,AH23,AP23,AX23)</f>
        <v>0</v>
      </c>
    </row>
    <row r="24" spans="2:55" ht="18.75" customHeight="1">
      <c r="B24" s="888"/>
      <c r="C24" s="170" t="s">
        <v>144</v>
      </c>
      <c r="D24" s="165">
        <f t="shared" ref="D24:I24" si="48">D$4*D23</f>
        <v>0</v>
      </c>
      <c r="E24" s="165">
        <f t="shared" si="48"/>
        <v>0</v>
      </c>
      <c r="F24" s="165">
        <f t="shared" si="48"/>
        <v>0</v>
      </c>
      <c r="G24" s="165">
        <f t="shared" si="48"/>
        <v>0</v>
      </c>
      <c r="H24" s="165">
        <f t="shared" si="48"/>
        <v>0</v>
      </c>
      <c r="I24" s="165">
        <f t="shared" si="48"/>
        <v>0</v>
      </c>
      <c r="J24" s="166">
        <f>IFERROR(ROUND(SUM(D24:I24)/J23,3),0)</f>
        <v>0</v>
      </c>
      <c r="K24" s="886"/>
      <c r="L24" s="167">
        <f t="shared" ref="L24:Q24" si="49">L$4*L23</f>
        <v>0</v>
      </c>
      <c r="M24" s="165">
        <f t="shared" si="49"/>
        <v>0</v>
      </c>
      <c r="N24" s="165">
        <f t="shared" si="49"/>
        <v>0</v>
      </c>
      <c r="O24" s="165">
        <f t="shared" si="49"/>
        <v>0</v>
      </c>
      <c r="P24" s="165">
        <f t="shared" si="49"/>
        <v>0</v>
      </c>
      <c r="Q24" s="165">
        <f t="shared" si="49"/>
        <v>0</v>
      </c>
      <c r="R24" s="166">
        <f>IFERROR(ROUND(SUM(L24:Q24)/R23,3),0)</f>
        <v>0</v>
      </c>
      <c r="S24" s="886"/>
      <c r="T24" s="168">
        <f t="shared" ref="T24:Y24" si="50">T$4*T23</f>
        <v>0</v>
      </c>
      <c r="U24" s="165">
        <f t="shared" si="50"/>
        <v>0</v>
      </c>
      <c r="V24" s="165">
        <f t="shared" si="50"/>
        <v>0</v>
      </c>
      <c r="W24" s="165">
        <f t="shared" si="50"/>
        <v>0</v>
      </c>
      <c r="X24" s="165">
        <f t="shared" si="50"/>
        <v>0</v>
      </c>
      <c r="Y24" s="165">
        <f t="shared" si="50"/>
        <v>0</v>
      </c>
      <c r="Z24" s="166">
        <f>IFERROR(ROUND(SUM(T24:Y24)/Z23,3),0)</f>
        <v>0</v>
      </c>
      <c r="AA24" s="886"/>
      <c r="AB24" s="167">
        <f t="shared" ref="AB24:AG24" si="51">AB$4*AB23</f>
        <v>0</v>
      </c>
      <c r="AC24" s="165">
        <f t="shared" si="51"/>
        <v>0</v>
      </c>
      <c r="AD24" s="165">
        <f t="shared" si="51"/>
        <v>0</v>
      </c>
      <c r="AE24" s="165">
        <f t="shared" si="51"/>
        <v>0</v>
      </c>
      <c r="AF24" s="165">
        <f t="shared" si="51"/>
        <v>0</v>
      </c>
      <c r="AG24" s="165">
        <f t="shared" si="51"/>
        <v>0</v>
      </c>
      <c r="AH24" s="166">
        <f>IFERROR(ROUND(SUM(AB24:AG24)/AH23,3),0)</f>
        <v>0</v>
      </c>
      <c r="AI24" s="886"/>
      <c r="AJ24" s="168">
        <f t="shared" ref="AJ24:AO24" si="52">AJ$4*AJ23</f>
        <v>0</v>
      </c>
      <c r="AK24" s="165">
        <f t="shared" si="52"/>
        <v>0</v>
      </c>
      <c r="AL24" s="165">
        <f t="shared" si="52"/>
        <v>0</v>
      </c>
      <c r="AM24" s="165">
        <f t="shared" si="52"/>
        <v>0</v>
      </c>
      <c r="AN24" s="165">
        <f t="shared" si="52"/>
        <v>0</v>
      </c>
      <c r="AO24" s="165">
        <f t="shared" si="52"/>
        <v>0</v>
      </c>
      <c r="AP24" s="166">
        <f>IFERROR(ROUND(SUM(AJ24:AO24)/AP23,3),0)</f>
        <v>0</v>
      </c>
      <c r="AQ24" s="886"/>
      <c r="AR24" s="167">
        <f t="shared" ref="AR24:AW24" si="53">AR$4*AR23</f>
        <v>0</v>
      </c>
      <c r="AS24" s="165">
        <f t="shared" si="53"/>
        <v>0</v>
      </c>
      <c r="AT24" s="165">
        <f t="shared" si="53"/>
        <v>0</v>
      </c>
      <c r="AU24" s="165">
        <f t="shared" si="53"/>
        <v>0</v>
      </c>
      <c r="AV24" s="165">
        <f t="shared" si="53"/>
        <v>0</v>
      </c>
      <c r="AW24" s="165">
        <f t="shared" si="53"/>
        <v>0</v>
      </c>
      <c r="AX24" s="165">
        <f>IFERROR(ROUND(SUM(AR24:AW24)/AX23,3),0)</f>
        <v>0</v>
      </c>
      <c r="AY24" s="886"/>
      <c r="BA24" s="879"/>
      <c r="BB24" s="146"/>
      <c r="BC24" s="169"/>
    </row>
    <row r="25" spans="2:55" ht="18.75" customHeight="1">
      <c r="B25" s="883" t="s">
        <v>153</v>
      </c>
      <c r="C25" s="159" t="s">
        <v>143</v>
      </c>
      <c r="D25" s="194"/>
      <c r="E25" s="194"/>
      <c r="F25" s="194"/>
      <c r="G25" s="194"/>
      <c r="H25" s="194"/>
      <c r="I25" s="194"/>
      <c r="J25" s="161">
        <f>SUM(D25:I25)</f>
        <v>0</v>
      </c>
      <c r="K25" s="885">
        <f>ROUND(J26/3*J25,2)</f>
        <v>0</v>
      </c>
      <c r="L25" s="194"/>
      <c r="M25" s="194"/>
      <c r="N25" s="194"/>
      <c r="O25" s="194"/>
      <c r="P25" s="194"/>
      <c r="Q25" s="194"/>
      <c r="R25" s="161">
        <f>SUM(L25:Q25)</f>
        <v>0</v>
      </c>
      <c r="S25" s="885">
        <f>ROUND(R26/5*R25,2)</f>
        <v>0</v>
      </c>
      <c r="T25" s="194"/>
      <c r="U25" s="194"/>
      <c r="V25" s="194"/>
      <c r="W25" s="194"/>
      <c r="X25" s="194"/>
      <c r="Y25" s="194"/>
      <c r="Z25" s="160">
        <f>SUM(T25:Y25)</f>
        <v>0</v>
      </c>
      <c r="AA25" s="885">
        <f>ROUND(Z26/6*Z25,2)</f>
        <v>0</v>
      </c>
      <c r="AB25" s="194"/>
      <c r="AC25" s="194"/>
      <c r="AD25" s="194"/>
      <c r="AE25" s="194"/>
      <c r="AF25" s="194"/>
      <c r="AG25" s="194"/>
      <c r="AH25" s="160">
        <f>SUM(AB25:AG25)</f>
        <v>0</v>
      </c>
      <c r="AI25" s="885">
        <f>ROUND(AH26/15*AH25,2)</f>
        <v>0</v>
      </c>
      <c r="AJ25" s="194"/>
      <c r="AK25" s="194"/>
      <c r="AL25" s="194"/>
      <c r="AM25" s="194"/>
      <c r="AN25" s="194"/>
      <c r="AO25" s="194"/>
      <c r="AP25" s="160">
        <f>SUM(AJ25:AO25)</f>
        <v>0</v>
      </c>
      <c r="AQ25" s="885">
        <f>ROUND(AP26/20*AP25,2)</f>
        <v>0</v>
      </c>
      <c r="AR25" s="194"/>
      <c r="AS25" s="194"/>
      <c r="AT25" s="194"/>
      <c r="AU25" s="194"/>
      <c r="AV25" s="194"/>
      <c r="AW25" s="194"/>
      <c r="AX25" s="162">
        <f>SUM(AR25:AW25)</f>
        <v>0</v>
      </c>
      <c r="AY25" s="885">
        <f>ROUND(AX26/25*AX25,2)</f>
        <v>0</v>
      </c>
      <c r="BA25" s="879">
        <f>ROUND(AY25+AQ25+AI25+AA25+S25+K25,1)</f>
        <v>0</v>
      </c>
      <c r="BB25" s="146" t="str">
        <f>IF(J25+R25=0,"×","○")</f>
        <v>×</v>
      </c>
      <c r="BC25" s="163">
        <f>SUM(J25,R25,Z25,AH25,AP25,AX25)</f>
        <v>0</v>
      </c>
    </row>
    <row r="26" spans="2:55" ht="18.75" customHeight="1">
      <c r="B26" s="888"/>
      <c r="C26" s="170" t="s">
        <v>144</v>
      </c>
      <c r="D26" s="165">
        <f t="shared" ref="D26:I26" si="54">D$4*D25</f>
        <v>0</v>
      </c>
      <c r="E26" s="165">
        <f t="shared" si="54"/>
        <v>0</v>
      </c>
      <c r="F26" s="165">
        <f t="shared" si="54"/>
        <v>0</v>
      </c>
      <c r="G26" s="165">
        <f t="shared" si="54"/>
        <v>0</v>
      </c>
      <c r="H26" s="165">
        <f t="shared" si="54"/>
        <v>0</v>
      </c>
      <c r="I26" s="165">
        <f t="shared" si="54"/>
        <v>0</v>
      </c>
      <c r="J26" s="166">
        <f>IFERROR(ROUND(SUM(D26:I26)/J25,3),0)</f>
        <v>0</v>
      </c>
      <c r="K26" s="886"/>
      <c r="L26" s="167">
        <f t="shared" ref="L26:Q26" si="55">L$4*L25</f>
        <v>0</v>
      </c>
      <c r="M26" s="165">
        <f t="shared" si="55"/>
        <v>0</v>
      </c>
      <c r="N26" s="165">
        <f t="shared" si="55"/>
        <v>0</v>
      </c>
      <c r="O26" s="165">
        <f t="shared" si="55"/>
        <v>0</v>
      </c>
      <c r="P26" s="165">
        <f t="shared" si="55"/>
        <v>0</v>
      </c>
      <c r="Q26" s="165">
        <f t="shared" si="55"/>
        <v>0</v>
      </c>
      <c r="R26" s="166">
        <f>IFERROR(ROUND(SUM(L26:Q26)/R25,3),0)</f>
        <v>0</v>
      </c>
      <c r="S26" s="886"/>
      <c r="T26" s="168">
        <f t="shared" ref="T26:Y26" si="56">T$4*T25</f>
        <v>0</v>
      </c>
      <c r="U26" s="165">
        <f t="shared" si="56"/>
        <v>0</v>
      </c>
      <c r="V26" s="165">
        <f t="shared" si="56"/>
        <v>0</v>
      </c>
      <c r="W26" s="165">
        <f t="shared" si="56"/>
        <v>0</v>
      </c>
      <c r="X26" s="165">
        <f t="shared" si="56"/>
        <v>0</v>
      </c>
      <c r="Y26" s="165">
        <f t="shared" si="56"/>
        <v>0</v>
      </c>
      <c r="Z26" s="166">
        <f>IFERROR(ROUND(SUM(T26:Y26)/Z25,3),0)</f>
        <v>0</v>
      </c>
      <c r="AA26" s="886"/>
      <c r="AB26" s="167">
        <f t="shared" ref="AB26:AG26" si="57">AB$4*AB25</f>
        <v>0</v>
      </c>
      <c r="AC26" s="165">
        <f t="shared" si="57"/>
        <v>0</v>
      </c>
      <c r="AD26" s="165">
        <f t="shared" si="57"/>
        <v>0</v>
      </c>
      <c r="AE26" s="165">
        <f t="shared" si="57"/>
        <v>0</v>
      </c>
      <c r="AF26" s="165">
        <f t="shared" si="57"/>
        <v>0</v>
      </c>
      <c r="AG26" s="165">
        <f t="shared" si="57"/>
        <v>0</v>
      </c>
      <c r="AH26" s="166">
        <f>IFERROR(ROUND(SUM(AB26:AG26)/AH25,3),0)</f>
        <v>0</v>
      </c>
      <c r="AI26" s="886"/>
      <c r="AJ26" s="168">
        <f t="shared" ref="AJ26:AO26" si="58">AJ$4*AJ25</f>
        <v>0</v>
      </c>
      <c r="AK26" s="165">
        <f t="shared" si="58"/>
        <v>0</v>
      </c>
      <c r="AL26" s="165">
        <f t="shared" si="58"/>
        <v>0</v>
      </c>
      <c r="AM26" s="165">
        <f t="shared" si="58"/>
        <v>0</v>
      </c>
      <c r="AN26" s="165">
        <f t="shared" si="58"/>
        <v>0</v>
      </c>
      <c r="AO26" s="165">
        <f t="shared" si="58"/>
        <v>0</v>
      </c>
      <c r="AP26" s="166">
        <f>IFERROR(ROUND(SUM(AJ26:AO26)/AP25,3),0)</f>
        <v>0</v>
      </c>
      <c r="AQ26" s="886"/>
      <c r="AR26" s="167">
        <f t="shared" ref="AR26:AW26" si="59">AR$4*AR25</f>
        <v>0</v>
      </c>
      <c r="AS26" s="165">
        <f t="shared" si="59"/>
        <v>0</v>
      </c>
      <c r="AT26" s="165">
        <f t="shared" si="59"/>
        <v>0</v>
      </c>
      <c r="AU26" s="165">
        <f t="shared" si="59"/>
        <v>0</v>
      </c>
      <c r="AV26" s="165">
        <f t="shared" si="59"/>
        <v>0</v>
      </c>
      <c r="AW26" s="165">
        <f t="shared" si="59"/>
        <v>0</v>
      </c>
      <c r="AX26" s="165">
        <f>IFERROR(ROUND(SUM(AR26:AW26)/AX25,3),0)</f>
        <v>0</v>
      </c>
      <c r="AY26" s="886"/>
      <c r="BA26" s="879"/>
      <c r="BB26" s="146"/>
      <c r="BC26" s="169"/>
    </row>
    <row r="27" spans="2:55" ht="18.75" customHeight="1">
      <c r="B27" s="883" t="s">
        <v>15</v>
      </c>
      <c r="C27" s="159" t="s">
        <v>143</v>
      </c>
      <c r="D27" s="194"/>
      <c r="E27" s="194"/>
      <c r="F27" s="194"/>
      <c r="G27" s="194"/>
      <c r="H27" s="194"/>
      <c r="I27" s="194"/>
      <c r="J27" s="161">
        <f>SUM(D27:I27)</f>
        <v>0</v>
      </c>
      <c r="K27" s="885">
        <f>ROUND(J28/3*J27,2)</f>
        <v>0</v>
      </c>
      <c r="L27" s="194"/>
      <c r="M27" s="194"/>
      <c r="N27" s="194"/>
      <c r="O27" s="194"/>
      <c r="P27" s="194"/>
      <c r="Q27" s="194"/>
      <c r="R27" s="161">
        <f>SUM(L27:Q27)</f>
        <v>0</v>
      </c>
      <c r="S27" s="885">
        <f>ROUND(R28/5*R27,2)</f>
        <v>0</v>
      </c>
      <c r="T27" s="194"/>
      <c r="U27" s="194"/>
      <c r="V27" s="194"/>
      <c r="W27" s="194"/>
      <c r="X27" s="194"/>
      <c r="Y27" s="194"/>
      <c r="Z27" s="160">
        <f>SUM(T27:Y27)</f>
        <v>0</v>
      </c>
      <c r="AA27" s="885">
        <f>ROUND(Z28/6*Z27,2)</f>
        <v>0</v>
      </c>
      <c r="AB27" s="194"/>
      <c r="AC27" s="194"/>
      <c r="AD27" s="194"/>
      <c r="AE27" s="194"/>
      <c r="AF27" s="194"/>
      <c r="AG27" s="194"/>
      <c r="AH27" s="160">
        <f>SUM(AB27:AG27)</f>
        <v>0</v>
      </c>
      <c r="AI27" s="885">
        <f>ROUND(AH28/15*AH27,2)</f>
        <v>0</v>
      </c>
      <c r="AJ27" s="194"/>
      <c r="AK27" s="194"/>
      <c r="AL27" s="194"/>
      <c r="AM27" s="194"/>
      <c r="AN27" s="194"/>
      <c r="AO27" s="194"/>
      <c r="AP27" s="160">
        <f>SUM(AJ27:AO27)</f>
        <v>0</v>
      </c>
      <c r="AQ27" s="885">
        <f>ROUND(AP28/20*AP27,2)</f>
        <v>0</v>
      </c>
      <c r="AR27" s="194"/>
      <c r="AS27" s="194"/>
      <c r="AT27" s="194"/>
      <c r="AU27" s="194"/>
      <c r="AV27" s="194"/>
      <c r="AW27" s="194"/>
      <c r="AX27" s="162">
        <f>SUM(AR27:AW27)</f>
        <v>0</v>
      </c>
      <c r="AY27" s="885">
        <f>ROUND(AX28/25*AX27,2)</f>
        <v>0</v>
      </c>
      <c r="BA27" s="879">
        <f>ROUND(AY27+AQ27+AI27+AA27+S27+K27,1)</f>
        <v>0</v>
      </c>
      <c r="BB27" s="146" t="str">
        <f>IF(J27+R27=0,"×","○")</f>
        <v>×</v>
      </c>
      <c r="BC27" s="163">
        <f>SUM(J27,R27,Z27,AH27,AP27,AX27)</f>
        <v>0</v>
      </c>
    </row>
    <row r="28" spans="2:55" ht="18.75" customHeight="1">
      <c r="B28" s="888"/>
      <c r="C28" s="170" t="s">
        <v>144</v>
      </c>
      <c r="D28" s="165">
        <f t="shared" ref="D28:I28" si="60">D$4*D27</f>
        <v>0</v>
      </c>
      <c r="E28" s="165">
        <f t="shared" si="60"/>
        <v>0</v>
      </c>
      <c r="F28" s="165">
        <f t="shared" si="60"/>
        <v>0</v>
      </c>
      <c r="G28" s="165">
        <f t="shared" si="60"/>
        <v>0</v>
      </c>
      <c r="H28" s="165">
        <f t="shared" si="60"/>
        <v>0</v>
      </c>
      <c r="I28" s="165">
        <f t="shared" si="60"/>
        <v>0</v>
      </c>
      <c r="J28" s="166">
        <f>IFERROR(ROUND(SUM(D28:I28)/J27,3),0)</f>
        <v>0</v>
      </c>
      <c r="K28" s="886"/>
      <c r="L28" s="167">
        <f t="shared" ref="L28:Q28" si="61">L$4*L27</f>
        <v>0</v>
      </c>
      <c r="M28" s="165">
        <f t="shared" si="61"/>
        <v>0</v>
      </c>
      <c r="N28" s="165">
        <f t="shared" si="61"/>
        <v>0</v>
      </c>
      <c r="O28" s="165">
        <f t="shared" si="61"/>
        <v>0</v>
      </c>
      <c r="P28" s="165">
        <f t="shared" si="61"/>
        <v>0</v>
      </c>
      <c r="Q28" s="165">
        <f t="shared" si="61"/>
        <v>0</v>
      </c>
      <c r="R28" s="166">
        <f>IFERROR(ROUND(SUM(L28:Q28)/R27,3),0)</f>
        <v>0</v>
      </c>
      <c r="S28" s="886"/>
      <c r="T28" s="168">
        <f t="shared" ref="T28:Y28" si="62">T$4*T27</f>
        <v>0</v>
      </c>
      <c r="U28" s="165">
        <f t="shared" si="62"/>
        <v>0</v>
      </c>
      <c r="V28" s="165">
        <f t="shared" si="62"/>
        <v>0</v>
      </c>
      <c r="W28" s="165">
        <f t="shared" si="62"/>
        <v>0</v>
      </c>
      <c r="X28" s="165">
        <f t="shared" si="62"/>
        <v>0</v>
      </c>
      <c r="Y28" s="165">
        <f t="shared" si="62"/>
        <v>0</v>
      </c>
      <c r="Z28" s="166">
        <f>IFERROR(ROUND(SUM(T28:Y28)/Z27,3),0)</f>
        <v>0</v>
      </c>
      <c r="AA28" s="886"/>
      <c r="AB28" s="167">
        <f t="shared" ref="AB28:AG28" si="63">AB$4*AB27</f>
        <v>0</v>
      </c>
      <c r="AC28" s="165">
        <f t="shared" si="63"/>
        <v>0</v>
      </c>
      <c r="AD28" s="165">
        <f t="shared" si="63"/>
        <v>0</v>
      </c>
      <c r="AE28" s="165">
        <f t="shared" si="63"/>
        <v>0</v>
      </c>
      <c r="AF28" s="165">
        <f t="shared" si="63"/>
        <v>0</v>
      </c>
      <c r="AG28" s="165">
        <f t="shared" si="63"/>
        <v>0</v>
      </c>
      <c r="AH28" s="166">
        <f>IFERROR(ROUND(SUM(AB28:AG28)/AH27,3),0)</f>
        <v>0</v>
      </c>
      <c r="AI28" s="886"/>
      <c r="AJ28" s="168">
        <f t="shared" ref="AJ28:AO28" si="64">AJ$4*AJ27</f>
        <v>0</v>
      </c>
      <c r="AK28" s="165">
        <f t="shared" si="64"/>
        <v>0</v>
      </c>
      <c r="AL28" s="165">
        <f t="shared" si="64"/>
        <v>0</v>
      </c>
      <c r="AM28" s="165">
        <f t="shared" si="64"/>
        <v>0</v>
      </c>
      <c r="AN28" s="165">
        <f t="shared" si="64"/>
        <v>0</v>
      </c>
      <c r="AO28" s="165">
        <f t="shared" si="64"/>
        <v>0</v>
      </c>
      <c r="AP28" s="166">
        <f>IFERROR(ROUND(SUM(AJ28:AO28)/AP27,3),0)</f>
        <v>0</v>
      </c>
      <c r="AQ28" s="886"/>
      <c r="AR28" s="167">
        <f t="shared" ref="AR28:AW28" si="65">AR$4*AR27</f>
        <v>0</v>
      </c>
      <c r="AS28" s="165">
        <f t="shared" si="65"/>
        <v>0</v>
      </c>
      <c r="AT28" s="165">
        <f t="shared" si="65"/>
        <v>0</v>
      </c>
      <c r="AU28" s="165">
        <f t="shared" si="65"/>
        <v>0</v>
      </c>
      <c r="AV28" s="165">
        <f t="shared" si="65"/>
        <v>0</v>
      </c>
      <c r="AW28" s="165">
        <f t="shared" si="65"/>
        <v>0</v>
      </c>
      <c r="AX28" s="165">
        <f>IFERROR(ROUND(SUM(AR28:AW28)/AX27,3),0)</f>
        <v>0</v>
      </c>
      <c r="AY28" s="886"/>
      <c r="BA28" s="879"/>
      <c r="BB28" s="146"/>
      <c r="BC28" s="169"/>
    </row>
    <row r="29" spans="2:55" ht="18.75" customHeight="1">
      <c r="B29" s="883" t="s">
        <v>154</v>
      </c>
      <c r="C29" s="195" t="s">
        <v>143</v>
      </c>
      <c r="D29" s="194"/>
      <c r="E29" s="194"/>
      <c r="F29" s="194"/>
      <c r="G29" s="194"/>
      <c r="H29" s="194"/>
      <c r="I29" s="194"/>
      <c r="J29" s="161">
        <f>SUM(D29:I29)</f>
        <v>0</v>
      </c>
      <c r="K29" s="885">
        <f>ROUND(J30/3*J29,2)</f>
        <v>0</v>
      </c>
      <c r="L29" s="194"/>
      <c r="M29" s="194"/>
      <c r="N29" s="194"/>
      <c r="O29" s="194"/>
      <c r="P29" s="194"/>
      <c r="Q29" s="194"/>
      <c r="R29" s="161">
        <f>SUM(L29:Q29)</f>
        <v>0</v>
      </c>
      <c r="S29" s="885">
        <f>ROUND(R30/5*R29,2)</f>
        <v>0</v>
      </c>
      <c r="T29" s="194"/>
      <c r="U29" s="194"/>
      <c r="V29" s="194"/>
      <c r="W29" s="194"/>
      <c r="X29" s="194"/>
      <c r="Y29" s="194"/>
      <c r="Z29" s="160">
        <f>SUM(T29:Y29)</f>
        <v>0</v>
      </c>
      <c r="AA29" s="885">
        <f>ROUND(Z30/6*Z29,2)</f>
        <v>0</v>
      </c>
      <c r="AB29" s="194"/>
      <c r="AC29" s="194"/>
      <c r="AD29" s="194"/>
      <c r="AE29" s="194"/>
      <c r="AF29" s="194"/>
      <c r="AG29" s="194"/>
      <c r="AH29" s="160">
        <f>SUM(AB29:AG29)</f>
        <v>0</v>
      </c>
      <c r="AI29" s="885">
        <f>ROUND(AH30/15*AH29,2)</f>
        <v>0</v>
      </c>
      <c r="AJ29" s="194"/>
      <c r="AK29" s="194"/>
      <c r="AL29" s="194"/>
      <c r="AM29" s="194"/>
      <c r="AN29" s="194"/>
      <c r="AO29" s="194"/>
      <c r="AP29" s="160">
        <f>SUM(AJ29:AO29)</f>
        <v>0</v>
      </c>
      <c r="AQ29" s="885">
        <f>ROUND(AP30/20*AP29,2)</f>
        <v>0</v>
      </c>
      <c r="AR29" s="194"/>
      <c r="AS29" s="194"/>
      <c r="AT29" s="194"/>
      <c r="AU29" s="194"/>
      <c r="AV29" s="194"/>
      <c r="AW29" s="194"/>
      <c r="AX29" s="162">
        <f>SUM(AR29:AW29)</f>
        <v>0</v>
      </c>
      <c r="AY29" s="885">
        <f>ROUND(AX30/25*AX29,2)</f>
        <v>0</v>
      </c>
      <c r="BA29" s="879">
        <f>ROUND(AY29+AQ29+AI29+AA29+S29+K29,1)</f>
        <v>0</v>
      </c>
      <c r="BB29" s="146" t="str">
        <f>IF(J29+R29=0,"×","○")</f>
        <v>×</v>
      </c>
      <c r="BC29" s="163">
        <f>SUM(J29,R29,Z29,AH29,AP29,AX29)</f>
        <v>0</v>
      </c>
    </row>
    <row r="30" spans="2:55" ht="18.75" customHeight="1" thickBot="1">
      <c r="B30" s="884"/>
      <c r="C30" s="171" t="s">
        <v>144</v>
      </c>
      <c r="D30" s="172">
        <f t="shared" ref="D30:I30" si="66">D$4*D29</f>
        <v>0</v>
      </c>
      <c r="E30" s="172">
        <f t="shared" si="66"/>
        <v>0</v>
      </c>
      <c r="F30" s="172">
        <f t="shared" si="66"/>
        <v>0</v>
      </c>
      <c r="G30" s="172">
        <f t="shared" si="66"/>
        <v>0</v>
      </c>
      <c r="H30" s="172">
        <f t="shared" si="66"/>
        <v>0</v>
      </c>
      <c r="I30" s="172">
        <f t="shared" si="66"/>
        <v>0</v>
      </c>
      <c r="J30" s="173">
        <f>IFERROR(ROUND(SUM(D30:I30)/J29,3),0)</f>
        <v>0</v>
      </c>
      <c r="K30" s="886"/>
      <c r="L30" s="174">
        <f t="shared" ref="L30:Q30" si="67">L$4*L29</f>
        <v>0</v>
      </c>
      <c r="M30" s="172">
        <f t="shared" si="67"/>
        <v>0</v>
      </c>
      <c r="N30" s="172">
        <f t="shared" si="67"/>
        <v>0</v>
      </c>
      <c r="O30" s="172">
        <f t="shared" si="67"/>
        <v>0</v>
      </c>
      <c r="P30" s="172">
        <f t="shared" si="67"/>
        <v>0</v>
      </c>
      <c r="Q30" s="172">
        <f t="shared" si="67"/>
        <v>0</v>
      </c>
      <c r="R30" s="173">
        <f>IFERROR(ROUND(SUM(L30:Q30)/R29,3),0)</f>
        <v>0</v>
      </c>
      <c r="S30" s="886"/>
      <c r="T30" s="175">
        <f t="shared" ref="T30:Y30" si="68">T$4*T29</f>
        <v>0</v>
      </c>
      <c r="U30" s="172">
        <f t="shared" si="68"/>
        <v>0</v>
      </c>
      <c r="V30" s="172">
        <f t="shared" si="68"/>
        <v>0</v>
      </c>
      <c r="W30" s="172">
        <f t="shared" si="68"/>
        <v>0</v>
      </c>
      <c r="X30" s="172">
        <f t="shared" si="68"/>
        <v>0</v>
      </c>
      <c r="Y30" s="172">
        <f t="shared" si="68"/>
        <v>0</v>
      </c>
      <c r="Z30" s="173">
        <f>IFERROR(ROUND(SUM(T30:Y30)/Z29,3),0)</f>
        <v>0</v>
      </c>
      <c r="AA30" s="886"/>
      <c r="AB30" s="174">
        <f t="shared" ref="AB30:AG30" si="69">AB$4*AB29</f>
        <v>0</v>
      </c>
      <c r="AC30" s="172">
        <f t="shared" si="69"/>
        <v>0</v>
      </c>
      <c r="AD30" s="172">
        <f t="shared" si="69"/>
        <v>0</v>
      </c>
      <c r="AE30" s="172">
        <f t="shared" si="69"/>
        <v>0</v>
      </c>
      <c r="AF30" s="172">
        <f t="shared" si="69"/>
        <v>0</v>
      </c>
      <c r="AG30" s="172">
        <f t="shared" si="69"/>
        <v>0</v>
      </c>
      <c r="AH30" s="173">
        <f>IFERROR(ROUND(SUM(AB30:AG30)/AH29,3),0)</f>
        <v>0</v>
      </c>
      <c r="AI30" s="886"/>
      <c r="AJ30" s="175">
        <f t="shared" ref="AJ30:AO30" si="70">AJ$4*AJ29</f>
        <v>0</v>
      </c>
      <c r="AK30" s="172">
        <f t="shared" si="70"/>
        <v>0</v>
      </c>
      <c r="AL30" s="172">
        <f t="shared" si="70"/>
        <v>0</v>
      </c>
      <c r="AM30" s="172">
        <f t="shared" si="70"/>
        <v>0</v>
      </c>
      <c r="AN30" s="172">
        <f t="shared" si="70"/>
        <v>0</v>
      </c>
      <c r="AO30" s="172">
        <f t="shared" si="70"/>
        <v>0</v>
      </c>
      <c r="AP30" s="173">
        <f>IFERROR(ROUND(SUM(AJ30:AO30)/AP29,3),)</f>
        <v>0</v>
      </c>
      <c r="AQ30" s="886"/>
      <c r="AR30" s="174">
        <f t="shared" ref="AR30:AW30" si="71">AR$4*AR29</f>
        <v>0</v>
      </c>
      <c r="AS30" s="172">
        <f t="shared" si="71"/>
        <v>0</v>
      </c>
      <c r="AT30" s="172">
        <f t="shared" si="71"/>
        <v>0</v>
      </c>
      <c r="AU30" s="172">
        <f t="shared" si="71"/>
        <v>0</v>
      </c>
      <c r="AV30" s="172">
        <f t="shared" si="71"/>
        <v>0</v>
      </c>
      <c r="AW30" s="172">
        <f t="shared" si="71"/>
        <v>0</v>
      </c>
      <c r="AX30" s="176">
        <f>IFERROR(ROUND(SUM(AR30:AW30)/AX29,3),0)</f>
        <v>0</v>
      </c>
      <c r="AY30" s="886"/>
      <c r="BA30" s="879"/>
    </row>
    <row r="31" spans="2:55" ht="20.25" customHeight="1">
      <c r="B31" s="880" t="s">
        <v>155</v>
      </c>
      <c r="C31" s="159" t="s">
        <v>143</v>
      </c>
      <c r="D31" s="226">
        <f>ROUND(SUM(D7,D9,D11,D13,D15,D17,D19,D21,D23,D25,D27,D29)/12,0)</f>
        <v>0</v>
      </c>
      <c r="E31" s="227">
        <f>ROUND(SUM(E7,E9,E11,E13,E15,E17,E19,E21,E23,E25,E27,E29)/12,0)</f>
        <v>0</v>
      </c>
      <c r="F31" s="227">
        <f t="shared" ref="F31:I31" si="72">ROUND(SUM(F7,F9,F11,F13,F15,F17,F19,F21,F23,F25,F27,F29)/12,0)</f>
        <v>0</v>
      </c>
      <c r="G31" s="227">
        <f t="shared" si="72"/>
        <v>0</v>
      </c>
      <c r="H31" s="227">
        <f t="shared" si="72"/>
        <v>0</v>
      </c>
      <c r="I31" s="227">
        <f t="shared" si="72"/>
        <v>0</v>
      </c>
      <c r="J31" s="227">
        <f>SUM(D31:I31)</f>
        <v>0</v>
      </c>
      <c r="K31" s="885">
        <f>ROUND(J32/3*J31,2)</f>
        <v>0</v>
      </c>
      <c r="L31" s="226">
        <f t="shared" ref="L31:Q31" si="73">ROUND(SUM(L7,L9,L11,L13,L15,L17,L19,L21,L23,L25,L27,L29)/12,0)</f>
        <v>0</v>
      </c>
      <c r="M31" s="227">
        <f t="shared" si="73"/>
        <v>0</v>
      </c>
      <c r="N31" s="227">
        <f t="shared" si="73"/>
        <v>0</v>
      </c>
      <c r="O31" s="227">
        <f t="shared" si="73"/>
        <v>0</v>
      </c>
      <c r="P31" s="227">
        <f t="shared" si="73"/>
        <v>0</v>
      </c>
      <c r="Q31" s="227">
        <f t="shared" si="73"/>
        <v>0</v>
      </c>
      <c r="R31" s="227">
        <f>SUM(L31:Q31)</f>
        <v>0</v>
      </c>
      <c r="S31" s="885">
        <f>ROUND(R32/5*R31,2)</f>
        <v>0</v>
      </c>
      <c r="T31" s="226">
        <f>ROUND(SUM(T7,T9,T11,T13,T15,T17,T19,T21,T23,T25,T27,T29)/12,0)</f>
        <v>0</v>
      </c>
      <c r="U31" s="227">
        <f>ROUND(SUM(U7,U9,U11,U13,U15,U17,U19,U21,U23,U25,U27,U29)/12,0)</f>
        <v>0</v>
      </c>
      <c r="V31" s="227">
        <f t="shared" ref="V31:Y31" si="74">ROUND(SUM(V7,V9,V11,V13,V15,V17,V19,V21,V23,V25,V27,V29)/12,0)</f>
        <v>0</v>
      </c>
      <c r="W31" s="227">
        <f t="shared" si="74"/>
        <v>0</v>
      </c>
      <c r="X31" s="227">
        <f t="shared" si="74"/>
        <v>0</v>
      </c>
      <c r="Y31" s="227">
        <f t="shared" si="74"/>
        <v>0</v>
      </c>
      <c r="Z31" s="227">
        <f>SUM(T31:Y31)</f>
        <v>0</v>
      </c>
      <c r="AA31" s="885">
        <f>ROUND(Z32/6*Z31,2)</f>
        <v>0</v>
      </c>
      <c r="AB31" s="226">
        <f>ROUND(SUM(AB7,AB9,AB11,AB13,AB15,AB17,AB19,AB21,AB23,AB25,AB27,AB29)/12,0)</f>
        <v>0</v>
      </c>
      <c r="AC31" s="227">
        <f>ROUND(SUM(AC7,AC9,AC11,AC13,AC15,AC17,AC19,AC21,AC23,AC25,AC27,AC29)/12,0)</f>
        <v>0</v>
      </c>
      <c r="AD31" s="227">
        <f t="shared" ref="AD31:AG31" si="75">ROUND(SUM(AD7,AD9,AD11,AD13,AD15,AD17,AD19,AD21,AD23,AD25,AD27,AD29)/12,0)</f>
        <v>0</v>
      </c>
      <c r="AE31" s="227">
        <f t="shared" si="75"/>
        <v>0</v>
      </c>
      <c r="AF31" s="227">
        <f t="shared" si="75"/>
        <v>0</v>
      </c>
      <c r="AG31" s="227">
        <f t="shared" si="75"/>
        <v>0</v>
      </c>
      <c r="AH31" s="227">
        <f>SUM(AB31:AG31)</f>
        <v>0</v>
      </c>
      <c r="AI31" s="885">
        <f>ROUND(AH32/15*AH31,2)</f>
        <v>0</v>
      </c>
      <c r="AJ31" s="226">
        <f>ROUND(SUM(AJ7,AJ9,AJ11,AJ13,AJ15,AJ17,AJ19,AJ21,AJ23,AJ25,AJ27,AJ29)/12,0)</f>
        <v>0</v>
      </c>
      <c r="AK31" s="227">
        <f>ROUND(SUM(AK7,AK9,AK11,AK13,AK15,AK17,AK19,AK21,AK23,AK25,AK27,AK29)/12,0)</f>
        <v>0</v>
      </c>
      <c r="AL31" s="227">
        <f t="shared" ref="AL31:AO31" si="76">ROUND(SUM(AL7,AL9,AL11,AL13,AL15,AL17,AL19,AL21,AL23,AL25,AL27,AL29)/12,0)</f>
        <v>0</v>
      </c>
      <c r="AM31" s="227">
        <f t="shared" si="76"/>
        <v>0</v>
      </c>
      <c r="AN31" s="227">
        <f t="shared" si="76"/>
        <v>0</v>
      </c>
      <c r="AO31" s="227">
        <f t="shared" si="76"/>
        <v>0</v>
      </c>
      <c r="AP31" s="227">
        <f>SUM(AJ31:AO31)</f>
        <v>0</v>
      </c>
      <c r="AQ31" s="885">
        <f>ROUND(AP32/20*AP31,2)</f>
        <v>0</v>
      </c>
      <c r="AR31" s="226">
        <f>ROUND(SUM(AR7,AR9,AR11,AR13,AR15,AR17,AR19,AR21,AR23,AR25,AR27,AR29)/12,0)</f>
        <v>0</v>
      </c>
      <c r="AS31" s="227">
        <f>ROUND(SUM(AS7,AS9,AS11,AS13,AS15,AS17,AS19,AS21,AS23,AS25,AS27,AS29)/12,0)</f>
        <v>0</v>
      </c>
      <c r="AT31" s="227">
        <f t="shared" ref="AT31:AW31" si="77">ROUND(SUM(AT7,AT9,AT11,AT13,AT15,AT17,AT19,AT21,AT23,AT25,AT27,AT29)/12,0)</f>
        <v>0</v>
      </c>
      <c r="AU31" s="227">
        <f t="shared" si="77"/>
        <v>0</v>
      </c>
      <c r="AV31" s="227">
        <f t="shared" si="77"/>
        <v>0</v>
      </c>
      <c r="AW31" s="227">
        <f t="shared" si="77"/>
        <v>0</v>
      </c>
      <c r="AX31" s="227">
        <f>SUM(AR31:AW31)</f>
        <v>0</v>
      </c>
      <c r="AY31" s="885">
        <f>ROUND(AX32/25*AX31,2)</f>
        <v>0</v>
      </c>
      <c r="BA31" s="879">
        <f>ROUND(AY31+AQ31+AI31+AA31+S31+K31,1)</f>
        <v>0</v>
      </c>
      <c r="BB31" s="200" t="str">
        <f>IF(J31+R31=0,"×","○")</f>
        <v>×</v>
      </c>
      <c r="BC31" s="163">
        <f>SUM(J31,R31,Z31,AH31,AP31,AX31)</f>
        <v>0</v>
      </c>
    </row>
    <row r="32" spans="2:55" ht="20.25" customHeight="1" thickBot="1">
      <c r="B32" s="881"/>
      <c r="C32" s="177" t="s">
        <v>144</v>
      </c>
      <c r="D32" s="179">
        <f>D$4*D31</f>
        <v>0</v>
      </c>
      <c r="E32" s="176">
        <f t="shared" ref="E32:H32" si="78">E$4*E31</f>
        <v>0</v>
      </c>
      <c r="F32" s="176">
        <f t="shared" si="78"/>
        <v>0</v>
      </c>
      <c r="G32" s="176">
        <f t="shared" si="78"/>
        <v>0</v>
      </c>
      <c r="H32" s="176">
        <f t="shared" si="78"/>
        <v>0</v>
      </c>
      <c r="I32" s="176">
        <f>I$4*I31</f>
        <v>0</v>
      </c>
      <c r="J32" s="178">
        <f>IFERROR(ROUND(SUM(D32:I32)/J31,3),0)</f>
        <v>0</v>
      </c>
      <c r="K32" s="887"/>
      <c r="L32" s="179">
        <f>L$4*L31</f>
        <v>0</v>
      </c>
      <c r="M32" s="176">
        <f>M$4*M31</f>
        <v>0</v>
      </c>
      <c r="N32" s="176">
        <f t="shared" ref="N32:Q32" si="79">N$4*N31</f>
        <v>0</v>
      </c>
      <c r="O32" s="176">
        <f t="shared" si="79"/>
        <v>0</v>
      </c>
      <c r="P32" s="176">
        <f t="shared" si="79"/>
        <v>0</v>
      </c>
      <c r="Q32" s="176">
        <f t="shared" si="79"/>
        <v>0</v>
      </c>
      <c r="R32" s="178">
        <f>IFERROR(ROUND(SUM(L32:Q32)/R31,3),0)</f>
        <v>0</v>
      </c>
      <c r="S32" s="887"/>
      <c r="T32" s="179">
        <f>T$4*T31</f>
        <v>0</v>
      </c>
      <c r="U32" s="176">
        <f>U$4*U31</f>
        <v>0</v>
      </c>
      <c r="V32" s="176">
        <f t="shared" ref="V32:Y32" si="80">V$4*V31</f>
        <v>0</v>
      </c>
      <c r="W32" s="176">
        <f t="shared" si="80"/>
        <v>0</v>
      </c>
      <c r="X32" s="176">
        <f t="shared" si="80"/>
        <v>0</v>
      </c>
      <c r="Y32" s="176">
        <f t="shared" si="80"/>
        <v>0</v>
      </c>
      <c r="Z32" s="178">
        <f>IFERROR(ROUND(SUM(T32:Y32)/Z31,3),0)</f>
        <v>0</v>
      </c>
      <c r="AA32" s="887"/>
      <c r="AB32" s="179">
        <f>AB$4*AB31</f>
        <v>0</v>
      </c>
      <c r="AC32" s="176">
        <f>AC$4*AC31</f>
        <v>0</v>
      </c>
      <c r="AD32" s="176">
        <f t="shared" ref="AD32:AG32" si="81">AD$4*AD31</f>
        <v>0</v>
      </c>
      <c r="AE32" s="176">
        <f t="shared" si="81"/>
        <v>0</v>
      </c>
      <c r="AF32" s="176">
        <f t="shared" si="81"/>
        <v>0</v>
      </c>
      <c r="AG32" s="176">
        <f t="shared" si="81"/>
        <v>0</v>
      </c>
      <c r="AH32" s="178">
        <f>IFERROR(ROUND(SUM(AB32:AG32)/AH31,3),0)</f>
        <v>0</v>
      </c>
      <c r="AI32" s="887"/>
      <c r="AJ32" s="179">
        <f>AJ$4*AJ31</f>
        <v>0</v>
      </c>
      <c r="AK32" s="176">
        <f>AK$4*AK31</f>
        <v>0</v>
      </c>
      <c r="AL32" s="176">
        <f t="shared" ref="AL32:AO32" si="82">AL$4*AL31</f>
        <v>0</v>
      </c>
      <c r="AM32" s="176">
        <f t="shared" si="82"/>
        <v>0</v>
      </c>
      <c r="AN32" s="176">
        <f t="shared" si="82"/>
        <v>0</v>
      </c>
      <c r="AO32" s="176">
        <f t="shared" si="82"/>
        <v>0</v>
      </c>
      <c r="AP32" s="178">
        <f>IFERROR(ROUND(SUM(AJ32:AO32)/AP31,3),0)</f>
        <v>0</v>
      </c>
      <c r="AQ32" s="887"/>
      <c r="AR32" s="179">
        <f>AR$4*AR31</f>
        <v>0</v>
      </c>
      <c r="AS32" s="176">
        <f>AS$4*AS31</f>
        <v>0</v>
      </c>
      <c r="AT32" s="176">
        <f t="shared" ref="AT32:AW32" si="83">AT$4*AT31</f>
        <v>0</v>
      </c>
      <c r="AU32" s="176">
        <f t="shared" si="83"/>
        <v>0</v>
      </c>
      <c r="AV32" s="176">
        <f t="shared" si="83"/>
        <v>0</v>
      </c>
      <c r="AW32" s="176">
        <f t="shared" si="83"/>
        <v>0</v>
      </c>
      <c r="AX32" s="178">
        <f>IFERROR(ROUND(SUM(AR32:AW32)/AX31,3),0)</f>
        <v>0</v>
      </c>
      <c r="AY32" s="887"/>
      <c r="BA32" s="879"/>
    </row>
    <row r="33" spans="2:50" ht="20.25" customHeight="1">
      <c r="B33" s="882"/>
      <c r="C33" s="882"/>
      <c r="J33" s="180"/>
      <c r="K33" s="180"/>
      <c r="R33" s="196"/>
      <c r="S33" s="180"/>
      <c r="Z33" s="196"/>
      <c r="AA33" s="180"/>
      <c r="AH33" s="196"/>
      <c r="AI33" s="180"/>
      <c r="AP33" s="196"/>
      <c r="AQ33" s="196"/>
      <c r="AR33" s="197"/>
      <c r="AS33" s="197"/>
      <c r="AT33" s="197"/>
      <c r="AU33" s="197"/>
      <c r="AV33" s="197"/>
      <c r="AW33" s="197"/>
      <c r="AX33" s="196"/>
    </row>
  </sheetData>
  <sheetProtection algorithmName="SHA-512" hashValue="YxiS8z0Y8zgnW3FeaM++slqxePh6h6M9BxWVGbV7gP1QO+PE0RPe2uJh+MAIqOF9Kb522jHforPw50EvvlhwfQ==" saltValue="h6k5ZQ/mzHR/WX2tO64mRA==" spinCount="100000" sheet="1" objects="1" scenarios="1"/>
  <mergeCells count="118">
    <mergeCell ref="A1:D2"/>
    <mergeCell ref="B5:C6"/>
    <mergeCell ref="D5:K5"/>
    <mergeCell ref="L5:S5"/>
    <mergeCell ref="T5:Z5"/>
    <mergeCell ref="AB5:AI5"/>
    <mergeCell ref="AI1:AQ1"/>
    <mergeCell ref="F1:X2"/>
    <mergeCell ref="AJ5:AQ5"/>
    <mergeCell ref="AR5:AY5"/>
    <mergeCell ref="BA5:BA6"/>
    <mergeCell ref="BB5:BB6"/>
    <mergeCell ref="BC5:BC6"/>
    <mergeCell ref="B7:B8"/>
    <mergeCell ref="K7:K8"/>
    <mergeCell ref="S7:S8"/>
    <mergeCell ref="AA7:AA8"/>
    <mergeCell ref="AI7:AI8"/>
    <mergeCell ref="AQ7:AQ8"/>
    <mergeCell ref="AY7:AY8"/>
    <mergeCell ref="BA7:BA8"/>
    <mergeCell ref="B9:B10"/>
    <mergeCell ref="K9:K10"/>
    <mergeCell ref="S9:S10"/>
    <mergeCell ref="AA9:AA10"/>
    <mergeCell ref="AI9:AI10"/>
    <mergeCell ref="AQ9:AQ10"/>
    <mergeCell ref="AY9:AY10"/>
    <mergeCell ref="BA9:BA10"/>
    <mergeCell ref="B11:B12"/>
    <mergeCell ref="K11:K12"/>
    <mergeCell ref="S11:S12"/>
    <mergeCell ref="AA11:AA12"/>
    <mergeCell ref="AI11:AI12"/>
    <mergeCell ref="AQ11:AQ12"/>
    <mergeCell ref="AY11:AY12"/>
    <mergeCell ref="BA11:BA12"/>
    <mergeCell ref="B13:B14"/>
    <mergeCell ref="K13:K14"/>
    <mergeCell ref="S13:S14"/>
    <mergeCell ref="AA13:AA14"/>
    <mergeCell ref="AI13:AI14"/>
    <mergeCell ref="AQ13:AQ14"/>
    <mergeCell ref="AY13:AY14"/>
    <mergeCell ref="BA13:BA14"/>
    <mergeCell ref="B15:B16"/>
    <mergeCell ref="K15:K16"/>
    <mergeCell ref="S15:S16"/>
    <mergeCell ref="AA15:AA16"/>
    <mergeCell ref="AI15:AI16"/>
    <mergeCell ref="AQ15:AQ16"/>
    <mergeCell ref="AY15:AY16"/>
    <mergeCell ref="BA15:BA16"/>
    <mergeCell ref="B17:B18"/>
    <mergeCell ref="K17:K18"/>
    <mergeCell ref="S17:S18"/>
    <mergeCell ref="AA17:AA18"/>
    <mergeCell ref="AI17:AI18"/>
    <mergeCell ref="AQ17:AQ18"/>
    <mergeCell ref="AY17:AY18"/>
    <mergeCell ref="BA17:BA18"/>
    <mergeCell ref="B19:B20"/>
    <mergeCell ref="K19:K20"/>
    <mergeCell ref="S19:S20"/>
    <mergeCell ref="AA19:AA20"/>
    <mergeCell ref="AI19:AI20"/>
    <mergeCell ref="AQ19:AQ20"/>
    <mergeCell ref="AY19:AY20"/>
    <mergeCell ref="BA19:BA20"/>
    <mergeCell ref="BA25:BA26"/>
    <mergeCell ref="B27:B28"/>
    <mergeCell ref="K27:K28"/>
    <mergeCell ref="S27:S28"/>
    <mergeCell ref="AA27:AA28"/>
    <mergeCell ref="AI27:AI28"/>
    <mergeCell ref="AQ27:AQ28"/>
    <mergeCell ref="BA27:BA28"/>
    <mergeCell ref="B21:B22"/>
    <mergeCell ref="K21:K22"/>
    <mergeCell ref="S21:S22"/>
    <mergeCell ref="AA21:AA22"/>
    <mergeCell ref="AI21:AI22"/>
    <mergeCell ref="AQ21:AQ22"/>
    <mergeCell ref="AY21:AY22"/>
    <mergeCell ref="BA21:BA22"/>
    <mergeCell ref="B23:B24"/>
    <mergeCell ref="K23:K24"/>
    <mergeCell ref="S23:S24"/>
    <mergeCell ref="AA23:AA24"/>
    <mergeCell ref="AI23:AI24"/>
    <mergeCell ref="AQ23:AQ24"/>
    <mergeCell ref="AY23:AY24"/>
    <mergeCell ref="BA23:BA24"/>
    <mergeCell ref="AY27:AY28"/>
    <mergeCell ref="AY29:AY30"/>
    <mergeCell ref="B25:B26"/>
    <mergeCell ref="K25:K26"/>
    <mergeCell ref="S25:S26"/>
    <mergeCell ref="AA25:AA26"/>
    <mergeCell ref="AI25:AI26"/>
    <mergeCell ref="AQ25:AQ26"/>
    <mergeCell ref="AY25:AY26"/>
    <mergeCell ref="BA29:BA30"/>
    <mergeCell ref="B31:B32"/>
    <mergeCell ref="B33:C33"/>
    <mergeCell ref="B29:B30"/>
    <mergeCell ref="K29:K30"/>
    <mergeCell ref="S29:S30"/>
    <mergeCell ref="AA29:AA30"/>
    <mergeCell ref="AI29:AI30"/>
    <mergeCell ref="AQ29:AQ30"/>
    <mergeCell ref="K31:K32"/>
    <mergeCell ref="S31:S32"/>
    <mergeCell ref="AA31:AA32"/>
    <mergeCell ref="AI31:AI32"/>
    <mergeCell ref="AQ31:AQ32"/>
    <mergeCell ref="AY31:AY32"/>
    <mergeCell ref="BA31:BA32"/>
  </mergeCells>
  <phoneticPr fontId="2"/>
  <pageMargins left="0.7" right="0.7" top="0.75" bottom="0.75" header="0.3" footer="0.3"/>
  <pageSetup paperSize="9" scale="22"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BC33"/>
  <sheetViews>
    <sheetView view="pageBreakPreview" zoomScale="60" zoomScaleNormal="100" workbookViewId="0">
      <selection activeCell="D7" sqref="D7"/>
    </sheetView>
  </sheetViews>
  <sheetFormatPr defaultRowHeight="13.5"/>
  <cols>
    <col min="2" max="2" width="6.5" bestFit="1" customWidth="1"/>
    <col min="3" max="3" width="6.5" customWidth="1"/>
    <col min="4" max="4" width="7.75" bestFit="1" customWidth="1"/>
    <col min="5" max="5" width="7.75" customWidth="1"/>
    <col min="6" max="7" width="7.875" bestFit="1" customWidth="1"/>
    <col min="8" max="8" width="8.875" bestFit="1" customWidth="1"/>
    <col min="9" max="9" width="7.625" bestFit="1" customWidth="1"/>
    <col min="10" max="11" width="7.625" customWidth="1"/>
    <col min="12" max="12" width="7.75" bestFit="1" customWidth="1"/>
    <col min="13" max="13" width="7" customWidth="1"/>
    <col min="14" max="14" width="7.75" bestFit="1" customWidth="1"/>
    <col min="15" max="15" width="7.625" bestFit="1" customWidth="1"/>
    <col min="16" max="16" width="8.75" bestFit="1" customWidth="1"/>
    <col min="17" max="17" width="7.625" bestFit="1" customWidth="1"/>
    <col min="18" max="19" width="7.25" customWidth="1"/>
    <col min="20" max="20" width="7.75" bestFit="1" customWidth="1"/>
    <col min="21" max="21" width="7.625" bestFit="1" customWidth="1"/>
    <col min="22" max="22" width="7.75" bestFit="1" customWidth="1"/>
    <col min="23" max="23" width="7.625" bestFit="1" customWidth="1"/>
    <col min="24" max="24" width="8.75" bestFit="1" customWidth="1"/>
    <col min="25" max="25" width="7.625" bestFit="1" customWidth="1"/>
    <col min="26" max="27" width="7.125" customWidth="1"/>
    <col min="28" max="35" width="7.5" customWidth="1"/>
    <col min="36" max="43" width="8" customWidth="1"/>
    <col min="44" max="50" width="7.5" customWidth="1"/>
    <col min="52" max="52" width="1.125" customWidth="1"/>
  </cols>
  <sheetData>
    <row r="1" spans="1:55">
      <c r="A1" s="894" t="s">
        <v>238</v>
      </c>
      <c r="B1" s="895"/>
      <c r="C1" s="895"/>
      <c r="D1" s="896"/>
      <c r="F1" s="907" t="s">
        <v>237</v>
      </c>
      <c r="G1" s="907"/>
      <c r="H1" s="907"/>
      <c r="I1" s="907"/>
      <c r="J1" s="907"/>
      <c r="K1" s="907"/>
      <c r="L1" s="907"/>
      <c r="M1" s="907"/>
      <c r="N1" s="907"/>
      <c r="O1" s="907"/>
      <c r="P1" s="907"/>
      <c r="Q1" s="907"/>
      <c r="R1" s="907"/>
      <c r="S1" s="907"/>
      <c r="T1" s="907"/>
      <c r="U1" s="907"/>
      <c r="V1" s="907"/>
      <c r="W1" s="907"/>
      <c r="X1" s="907"/>
    </row>
    <row r="2" spans="1:55">
      <c r="A2" s="897"/>
      <c r="B2" s="898"/>
      <c r="C2" s="898"/>
      <c r="D2" s="899"/>
      <c r="F2" s="907"/>
      <c r="G2" s="907"/>
      <c r="H2" s="907"/>
      <c r="I2" s="907"/>
      <c r="J2" s="907"/>
      <c r="K2" s="907"/>
      <c r="L2" s="907"/>
      <c r="M2" s="907"/>
      <c r="N2" s="907"/>
      <c r="O2" s="907"/>
      <c r="P2" s="907"/>
      <c r="Q2" s="907"/>
      <c r="R2" s="907"/>
      <c r="S2" s="907"/>
      <c r="T2" s="907"/>
      <c r="U2" s="907"/>
      <c r="V2" s="907"/>
      <c r="W2" s="907"/>
      <c r="X2" s="907"/>
    </row>
    <row r="3" spans="1:55">
      <c r="A3" s="150"/>
      <c r="B3" s="150"/>
      <c r="C3" s="150"/>
      <c r="D3" s="150"/>
      <c r="BB3" t="e">
        <v>#DIV/0!</v>
      </c>
    </row>
    <row r="4" spans="1:55">
      <c r="D4" s="151">
        <f>ROUND((8.5-8)/8,3)</f>
        <v>6.3E-2</v>
      </c>
      <c r="E4" s="151">
        <f>ROUND((9-8)/8,3)</f>
        <v>0.125</v>
      </c>
      <c r="F4" s="151">
        <f>ROUND((9.5-8)/8,3)</f>
        <v>0.188</v>
      </c>
      <c r="G4" s="151">
        <f>ROUND((10-8)/8,3)</f>
        <v>0.25</v>
      </c>
      <c r="H4" s="151">
        <f>ROUND((10.5-8)/8,3)</f>
        <v>0.313</v>
      </c>
      <c r="I4" s="151">
        <f>ROUND((11-8)/8,3)</f>
        <v>0.375</v>
      </c>
      <c r="L4" s="151">
        <f>ROUND((8.5-8)/8,3)</f>
        <v>6.3E-2</v>
      </c>
      <c r="M4" s="151">
        <f>ROUND((9-8)/8,3)</f>
        <v>0.125</v>
      </c>
      <c r="N4" s="151">
        <f>ROUND((9.5-8)/8,3)</f>
        <v>0.188</v>
      </c>
      <c r="O4" s="151">
        <f>ROUND((10-8)/8,3)</f>
        <v>0.25</v>
      </c>
      <c r="P4" s="151">
        <f>ROUND((10.5-8)/8,3)</f>
        <v>0.313</v>
      </c>
      <c r="Q4" s="151">
        <f>ROUND((11-8)/8,3)</f>
        <v>0.375</v>
      </c>
      <c r="T4" s="151">
        <f>ROUND((8.5-8)/8,3)</f>
        <v>6.3E-2</v>
      </c>
      <c r="U4" s="151">
        <f>ROUND((9-8)/8,3)</f>
        <v>0.125</v>
      </c>
      <c r="V4" s="151">
        <f>ROUND((9.5-8)/8,3)</f>
        <v>0.188</v>
      </c>
      <c r="W4" s="151">
        <f>ROUND((10-8)/8,3)</f>
        <v>0.25</v>
      </c>
      <c r="X4" s="151">
        <f>ROUND((10.5-8)/8,3)</f>
        <v>0.313</v>
      </c>
      <c r="Y4" s="151">
        <f>ROUND((11-8)/8,3)</f>
        <v>0.375</v>
      </c>
      <c r="AB4" s="151">
        <f>ROUND((8.5-8)/8,3)</f>
        <v>6.3E-2</v>
      </c>
      <c r="AC4" s="151">
        <f>ROUND((9-8)/8,3)</f>
        <v>0.125</v>
      </c>
      <c r="AD4" s="151">
        <f>ROUND((9.5-8)/8,3)</f>
        <v>0.188</v>
      </c>
      <c r="AE4" s="151">
        <f>ROUND((10-8)/8,3)</f>
        <v>0.25</v>
      </c>
      <c r="AF4" s="151">
        <f>ROUND((10.5-8)/8,3)</f>
        <v>0.313</v>
      </c>
      <c r="AG4" s="151">
        <f>ROUND((11-8)/8,3)</f>
        <v>0.375</v>
      </c>
      <c r="AJ4" s="151">
        <f>ROUND((8.5-8)/8,3)</f>
        <v>6.3E-2</v>
      </c>
      <c r="AK4" s="151">
        <f>ROUND((9-8)/8,3)</f>
        <v>0.125</v>
      </c>
      <c r="AL4" s="151">
        <f>ROUND((9.5-8)/8,3)</f>
        <v>0.188</v>
      </c>
      <c r="AM4" s="151">
        <f>ROUND((10-8)/8,3)</f>
        <v>0.25</v>
      </c>
      <c r="AN4" s="151">
        <f>ROUND((10.5-8)/8,3)</f>
        <v>0.313</v>
      </c>
      <c r="AO4" s="151">
        <f>ROUND((11-8)/8,3)</f>
        <v>0.375</v>
      </c>
      <c r="AR4" s="151">
        <f>ROUND((8.5-8)/8,3)</f>
        <v>6.3E-2</v>
      </c>
      <c r="AS4" s="151">
        <f>ROUND((9-8)/8,3)</f>
        <v>0.125</v>
      </c>
      <c r="AT4" s="151">
        <f>ROUND((9.5-8)/8,3)</f>
        <v>0.188</v>
      </c>
      <c r="AU4" s="151">
        <f>ROUND((10-8)/8,3)</f>
        <v>0.25</v>
      </c>
      <c r="AV4" s="151">
        <f>ROUND((10.5-8)/8,3)</f>
        <v>0.313</v>
      </c>
      <c r="AW4" s="151">
        <f>ROUND((11-8)/8,3)</f>
        <v>0.375</v>
      </c>
    </row>
    <row r="5" spans="1:55" ht="20.25" customHeight="1">
      <c r="B5" s="900"/>
      <c r="C5" s="901"/>
      <c r="D5" s="904" t="s">
        <v>126</v>
      </c>
      <c r="E5" s="890"/>
      <c r="F5" s="890"/>
      <c r="G5" s="890"/>
      <c r="H5" s="890"/>
      <c r="I5" s="890"/>
      <c r="J5" s="890"/>
      <c r="K5" s="891"/>
      <c r="L5" s="889" t="s">
        <v>127</v>
      </c>
      <c r="M5" s="890"/>
      <c r="N5" s="890"/>
      <c r="O5" s="890"/>
      <c r="P5" s="890"/>
      <c r="Q5" s="890"/>
      <c r="R5" s="890"/>
      <c r="S5" s="891"/>
      <c r="T5" s="905" t="s">
        <v>128</v>
      </c>
      <c r="U5" s="612"/>
      <c r="V5" s="612"/>
      <c r="W5" s="612"/>
      <c r="X5" s="612"/>
      <c r="Y5" s="612"/>
      <c r="Z5" s="904"/>
      <c r="AA5" s="154"/>
      <c r="AB5" s="889" t="s">
        <v>129</v>
      </c>
      <c r="AC5" s="890"/>
      <c r="AD5" s="890"/>
      <c r="AE5" s="890"/>
      <c r="AF5" s="890"/>
      <c r="AG5" s="890"/>
      <c r="AH5" s="890"/>
      <c r="AI5" s="890"/>
      <c r="AJ5" s="890" t="s">
        <v>130</v>
      </c>
      <c r="AK5" s="890"/>
      <c r="AL5" s="890"/>
      <c r="AM5" s="890"/>
      <c r="AN5" s="890"/>
      <c r="AO5" s="890"/>
      <c r="AP5" s="890"/>
      <c r="AQ5" s="891"/>
      <c r="AR5" s="889" t="s">
        <v>131</v>
      </c>
      <c r="AS5" s="890"/>
      <c r="AT5" s="890"/>
      <c r="AU5" s="890"/>
      <c r="AV5" s="890"/>
      <c r="AW5" s="890"/>
      <c r="AX5" s="890"/>
      <c r="AY5" s="891"/>
      <c r="BB5" s="893" t="s">
        <v>133</v>
      </c>
      <c r="BC5" s="893" t="s">
        <v>134</v>
      </c>
    </row>
    <row r="6" spans="1:55" ht="16.5" customHeight="1">
      <c r="B6" s="902"/>
      <c r="C6" s="903"/>
      <c r="D6" s="147" t="s">
        <v>135</v>
      </c>
      <c r="E6" s="147" t="s">
        <v>136</v>
      </c>
      <c r="F6" s="147" t="s">
        <v>137</v>
      </c>
      <c r="G6" s="147" t="s">
        <v>138</v>
      </c>
      <c r="H6" s="147" t="s">
        <v>139</v>
      </c>
      <c r="I6" s="147" t="s">
        <v>140</v>
      </c>
      <c r="J6" s="152" t="s">
        <v>141</v>
      </c>
      <c r="K6" s="155" t="s">
        <v>142</v>
      </c>
      <c r="L6" s="156" t="s">
        <v>135</v>
      </c>
      <c r="M6" s="147" t="s">
        <v>136</v>
      </c>
      <c r="N6" s="147" t="s">
        <v>137</v>
      </c>
      <c r="O6" s="147" t="s">
        <v>138</v>
      </c>
      <c r="P6" s="147" t="s">
        <v>139</v>
      </c>
      <c r="Q6" s="147" t="s">
        <v>140</v>
      </c>
      <c r="R6" s="152" t="s">
        <v>141</v>
      </c>
      <c r="S6" s="155" t="s">
        <v>142</v>
      </c>
      <c r="T6" s="153" t="s">
        <v>135</v>
      </c>
      <c r="U6" s="147" t="s">
        <v>136</v>
      </c>
      <c r="V6" s="147" t="s">
        <v>137</v>
      </c>
      <c r="W6" s="147" t="s">
        <v>138</v>
      </c>
      <c r="X6" s="147" t="s">
        <v>139</v>
      </c>
      <c r="Y6" s="147" t="s">
        <v>140</v>
      </c>
      <c r="Z6" s="152" t="s">
        <v>141</v>
      </c>
      <c r="AA6" s="155" t="s">
        <v>142</v>
      </c>
      <c r="AB6" s="156" t="s">
        <v>135</v>
      </c>
      <c r="AC6" s="147" t="s">
        <v>136</v>
      </c>
      <c r="AD6" s="147" t="s">
        <v>137</v>
      </c>
      <c r="AE6" s="147" t="s">
        <v>138</v>
      </c>
      <c r="AF6" s="147" t="s">
        <v>139</v>
      </c>
      <c r="AG6" s="147" t="s">
        <v>140</v>
      </c>
      <c r="AH6" s="152" t="s">
        <v>141</v>
      </c>
      <c r="AI6" s="155" t="s">
        <v>142</v>
      </c>
      <c r="AJ6" s="153" t="s">
        <v>135</v>
      </c>
      <c r="AK6" s="147" t="s">
        <v>136</v>
      </c>
      <c r="AL6" s="147" t="s">
        <v>137</v>
      </c>
      <c r="AM6" s="147" t="s">
        <v>138</v>
      </c>
      <c r="AN6" s="147" t="s">
        <v>139</v>
      </c>
      <c r="AO6" s="147" t="s">
        <v>140</v>
      </c>
      <c r="AP6" s="152" t="s">
        <v>141</v>
      </c>
      <c r="AQ6" s="155" t="s">
        <v>142</v>
      </c>
      <c r="AR6" s="157" t="s">
        <v>135</v>
      </c>
      <c r="AS6" s="158" t="s">
        <v>136</v>
      </c>
      <c r="AT6" s="158" t="s">
        <v>137</v>
      </c>
      <c r="AU6" s="158" t="s">
        <v>138</v>
      </c>
      <c r="AV6" s="158" t="s">
        <v>139</v>
      </c>
      <c r="AW6" s="158" t="s">
        <v>140</v>
      </c>
      <c r="AX6" s="158" t="s">
        <v>141</v>
      </c>
      <c r="AY6" s="155" t="s">
        <v>142</v>
      </c>
      <c r="BB6" s="893"/>
      <c r="BC6" s="893"/>
    </row>
    <row r="7" spans="1:55" ht="18.75" customHeight="1">
      <c r="B7" s="883" t="s">
        <v>11</v>
      </c>
      <c r="C7" s="159" t="s">
        <v>143</v>
      </c>
      <c r="D7" s="193"/>
      <c r="E7" s="193"/>
      <c r="F7" s="193"/>
      <c r="G7" s="193"/>
      <c r="H7" s="193"/>
      <c r="I7" s="193"/>
      <c r="J7" s="160">
        <f>SUM(D7:I7)</f>
        <v>0</v>
      </c>
      <c r="K7" s="885">
        <f>IFERROR(ROUND(J8/3*J7,2),0)</f>
        <v>0</v>
      </c>
      <c r="L7" s="193"/>
      <c r="M7" s="193"/>
      <c r="N7" s="193"/>
      <c r="O7" s="193"/>
      <c r="P7" s="193"/>
      <c r="Q7" s="193"/>
      <c r="R7" s="161">
        <f>SUM(L7:Q7)</f>
        <v>0</v>
      </c>
      <c r="S7" s="885">
        <f>IFERROR(ROUND(R8/5*R7,2),0)</f>
        <v>0</v>
      </c>
      <c r="T7" s="193"/>
      <c r="U7" s="193"/>
      <c r="V7" s="193"/>
      <c r="W7" s="193"/>
      <c r="X7" s="193"/>
      <c r="Y7" s="193"/>
      <c r="Z7" s="160">
        <f>SUM(T7:Y7)</f>
        <v>0</v>
      </c>
      <c r="AA7" s="885">
        <f>IFERROR(ROUND(Z8/6*Z7,2),0)</f>
        <v>0</v>
      </c>
      <c r="AB7" s="193"/>
      <c r="AC7" s="193"/>
      <c r="AD7" s="193"/>
      <c r="AE7" s="193"/>
      <c r="AF7" s="193"/>
      <c r="AG7" s="193"/>
      <c r="AH7" s="160">
        <f>SUM(AB7:AG7)</f>
        <v>0</v>
      </c>
      <c r="AI7" s="885">
        <f>IFERROR(ROUND(AH8/15*AH7,2),0)</f>
        <v>0</v>
      </c>
      <c r="AJ7" s="193"/>
      <c r="AK7" s="193"/>
      <c r="AL7" s="193"/>
      <c r="AM7" s="193"/>
      <c r="AN7" s="193"/>
      <c r="AO7" s="193"/>
      <c r="AP7" s="160">
        <f>SUM(AJ7:AO7)</f>
        <v>0</v>
      </c>
      <c r="AQ7" s="885">
        <f>IFERROR(ROUND(AP8/20*AP7,2),0)</f>
        <v>0</v>
      </c>
      <c r="AR7" s="193"/>
      <c r="AS7" s="193"/>
      <c r="AT7" s="193"/>
      <c r="AU7" s="193"/>
      <c r="AV7" s="193"/>
      <c r="AW7" s="193"/>
      <c r="AX7" s="162">
        <f>SUM(AR7:AW7)</f>
        <v>0</v>
      </c>
      <c r="AY7" s="885">
        <f>IFERROR(ROUND(AX8/25*AX7,2),0)</f>
        <v>0</v>
      </c>
      <c r="BA7" s="879">
        <f>ROUND(AY7+AQ7+AI7+AA7+S7+K7,1)</f>
        <v>0</v>
      </c>
      <c r="BB7" s="146" t="str">
        <f>IF(J7+R7=0,"×","○")</f>
        <v>×</v>
      </c>
      <c r="BC7" s="163">
        <f>SUM(J7,R7,Z7,AH7,AP7,AX7)</f>
        <v>0</v>
      </c>
    </row>
    <row r="8" spans="1:55" ht="18.75" customHeight="1">
      <c r="B8" s="888"/>
      <c r="C8" s="164" t="s">
        <v>144</v>
      </c>
      <c r="D8" s="165">
        <f t="shared" ref="D8:I8" si="0">D$4*D7</f>
        <v>0</v>
      </c>
      <c r="E8" s="165">
        <f t="shared" si="0"/>
        <v>0</v>
      </c>
      <c r="F8" s="165">
        <f t="shared" si="0"/>
        <v>0</v>
      </c>
      <c r="G8" s="165">
        <f>G$4*G7</f>
        <v>0</v>
      </c>
      <c r="H8" s="165">
        <f t="shared" si="0"/>
        <v>0</v>
      </c>
      <c r="I8" s="165">
        <f t="shared" si="0"/>
        <v>0</v>
      </c>
      <c r="J8" s="166">
        <f>IFERROR(ROUND(SUM(D8:I8)/J7,3),0)</f>
        <v>0</v>
      </c>
      <c r="K8" s="886"/>
      <c r="L8" s="167">
        <f t="shared" ref="L8:Q8" si="1">L$4*L7</f>
        <v>0</v>
      </c>
      <c r="M8" s="165">
        <f t="shared" si="1"/>
        <v>0</v>
      </c>
      <c r="N8" s="165">
        <f t="shared" si="1"/>
        <v>0</v>
      </c>
      <c r="O8" s="165">
        <f t="shared" si="1"/>
        <v>0</v>
      </c>
      <c r="P8" s="165">
        <f t="shared" si="1"/>
        <v>0</v>
      </c>
      <c r="Q8" s="165">
        <f t="shared" si="1"/>
        <v>0</v>
      </c>
      <c r="R8" s="166">
        <f>IFERROR(ROUND(SUM(L8:Q8)/R7,3),0)</f>
        <v>0</v>
      </c>
      <c r="S8" s="886"/>
      <c r="T8" s="168">
        <f t="shared" ref="T8:Y8" si="2">T$4*T7</f>
        <v>0</v>
      </c>
      <c r="U8" s="165">
        <f t="shared" si="2"/>
        <v>0</v>
      </c>
      <c r="V8" s="165">
        <f t="shared" si="2"/>
        <v>0</v>
      </c>
      <c r="W8" s="165">
        <f t="shared" si="2"/>
        <v>0</v>
      </c>
      <c r="X8" s="165">
        <f t="shared" si="2"/>
        <v>0</v>
      </c>
      <c r="Y8" s="165">
        <f t="shared" si="2"/>
        <v>0</v>
      </c>
      <c r="Z8" s="166">
        <f>IFERROR(ROUND(SUM(T8:Y8)/Z7,3),0)</f>
        <v>0</v>
      </c>
      <c r="AA8" s="886"/>
      <c r="AB8" s="167">
        <f t="shared" ref="AB8:AG8" si="3">AB$4*AB7</f>
        <v>0</v>
      </c>
      <c r="AC8" s="165">
        <f t="shared" si="3"/>
        <v>0</v>
      </c>
      <c r="AD8" s="165">
        <f t="shared" si="3"/>
        <v>0</v>
      </c>
      <c r="AE8" s="165">
        <f t="shared" si="3"/>
        <v>0</v>
      </c>
      <c r="AF8" s="165">
        <f t="shared" si="3"/>
        <v>0</v>
      </c>
      <c r="AG8" s="165">
        <f t="shared" si="3"/>
        <v>0</v>
      </c>
      <c r="AH8" s="166">
        <f>IFERROR(ROUND(SUM(AB8:AG8)/AH7,3),0)</f>
        <v>0</v>
      </c>
      <c r="AI8" s="886"/>
      <c r="AJ8" s="168">
        <f t="shared" ref="AJ8:AO8" si="4">AJ$4*AJ7</f>
        <v>0</v>
      </c>
      <c r="AK8" s="165">
        <f t="shared" si="4"/>
        <v>0</v>
      </c>
      <c r="AL8" s="165">
        <f t="shared" si="4"/>
        <v>0</v>
      </c>
      <c r="AM8" s="165">
        <f t="shared" si="4"/>
        <v>0</v>
      </c>
      <c r="AN8" s="165">
        <f t="shared" si="4"/>
        <v>0</v>
      </c>
      <c r="AO8" s="165">
        <f t="shared" si="4"/>
        <v>0</v>
      </c>
      <c r="AP8" s="166">
        <f>IFERROR(ROUND(SUM(AJ8:AO8)/AP7,3),0)</f>
        <v>0</v>
      </c>
      <c r="AQ8" s="886"/>
      <c r="AR8" s="167">
        <f t="shared" ref="AR8:AW8" si="5">AR$4*AR7</f>
        <v>0</v>
      </c>
      <c r="AS8" s="165">
        <f t="shared" si="5"/>
        <v>0</v>
      </c>
      <c r="AT8" s="165">
        <f t="shared" si="5"/>
        <v>0</v>
      </c>
      <c r="AU8" s="165">
        <f t="shared" si="5"/>
        <v>0</v>
      </c>
      <c r="AV8" s="165">
        <f t="shared" si="5"/>
        <v>0</v>
      </c>
      <c r="AW8" s="165">
        <f t="shared" si="5"/>
        <v>0</v>
      </c>
      <c r="AX8" s="165">
        <f>IFERROR(ROUND(SUM(AR8:AW8)/AX7,3),0)</f>
        <v>0</v>
      </c>
      <c r="AY8" s="886"/>
      <c r="BA8" s="879"/>
      <c r="BB8" s="146"/>
      <c r="BC8" s="169"/>
    </row>
    <row r="9" spans="1:55" ht="18.75" customHeight="1">
      <c r="B9" s="883" t="s">
        <v>145</v>
      </c>
      <c r="C9" s="159" t="s">
        <v>143</v>
      </c>
      <c r="D9" s="193"/>
      <c r="E9" s="193"/>
      <c r="F9" s="193"/>
      <c r="G9" s="193"/>
      <c r="H9" s="193"/>
      <c r="I9" s="193"/>
      <c r="J9" s="161">
        <f>SUM(D9:I9)</f>
        <v>0</v>
      </c>
      <c r="K9" s="885">
        <f>ROUND(J10/3*J9,2)</f>
        <v>0</v>
      </c>
      <c r="L9" s="193"/>
      <c r="M9" s="193"/>
      <c r="N9" s="193"/>
      <c r="O9" s="193"/>
      <c r="P9" s="193"/>
      <c r="Q9" s="193"/>
      <c r="R9" s="161">
        <f>SUM(L9:Q9)</f>
        <v>0</v>
      </c>
      <c r="S9" s="885">
        <f>ROUND(R10/5*R9,2)</f>
        <v>0</v>
      </c>
      <c r="T9" s="193"/>
      <c r="U9" s="193"/>
      <c r="V9" s="193"/>
      <c r="W9" s="193"/>
      <c r="X9" s="193"/>
      <c r="Y9" s="193"/>
      <c r="Z9" s="161">
        <f>SUM(T9:Y9)</f>
        <v>0</v>
      </c>
      <c r="AA9" s="885">
        <f>ROUND(Z10/6*Z9,2)</f>
        <v>0</v>
      </c>
      <c r="AB9" s="193"/>
      <c r="AC9" s="193"/>
      <c r="AD9" s="193"/>
      <c r="AE9" s="193"/>
      <c r="AF9" s="193"/>
      <c r="AG9" s="193"/>
      <c r="AH9" s="161">
        <f>SUM(AB9:AG9)</f>
        <v>0</v>
      </c>
      <c r="AI9" s="885">
        <f>ROUND(AH10/15*AH9,2)</f>
        <v>0</v>
      </c>
      <c r="AJ9" s="193"/>
      <c r="AK9" s="193"/>
      <c r="AL9" s="193"/>
      <c r="AM9" s="193"/>
      <c r="AN9" s="193"/>
      <c r="AO9" s="193"/>
      <c r="AP9" s="161">
        <f>SUM(AJ9:AO9)</f>
        <v>0</v>
      </c>
      <c r="AQ9" s="885">
        <f>ROUND(AP10/20*AP9,2)</f>
        <v>0</v>
      </c>
      <c r="AR9" s="193"/>
      <c r="AS9" s="193"/>
      <c r="AT9" s="193"/>
      <c r="AU9" s="193"/>
      <c r="AV9" s="193"/>
      <c r="AW9" s="193"/>
      <c r="AX9" s="181">
        <f>SUM(AR9:AW9)</f>
        <v>0</v>
      </c>
      <c r="AY9" s="885">
        <f>ROUND(AX10/25*AX9,2)</f>
        <v>0</v>
      </c>
      <c r="BA9" s="879">
        <f>ROUND(AY9+AQ9+AI9+AA9+S9+K9,1)</f>
        <v>0</v>
      </c>
      <c r="BB9" s="146" t="str">
        <f>IF(J9+R9=0,"×","○")</f>
        <v>×</v>
      </c>
      <c r="BC9" s="163">
        <f>SUM(J9,R9,Z9,AH9,AP9,AX9)</f>
        <v>0</v>
      </c>
    </row>
    <row r="10" spans="1:55" ht="18.75" customHeight="1">
      <c r="B10" s="888"/>
      <c r="C10" s="170" t="s">
        <v>144</v>
      </c>
      <c r="D10" s="165">
        <f t="shared" ref="D10:I10" si="6">D$4*D9</f>
        <v>0</v>
      </c>
      <c r="E10" s="165">
        <f t="shared" si="6"/>
        <v>0</v>
      </c>
      <c r="F10" s="165">
        <f t="shared" si="6"/>
        <v>0</v>
      </c>
      <c r="G10" s="165">
        <f t="shared" si="6"/>
        <v>0</v>
      </c>
      <c r="H10" s="165">
        <f t="shared" si="6"/>
        <v>0</v>
      </c>
      <c r="I10" s="165">
        <f t="shared" si="6"/>
        <v>0</v>
      </c>
      <c r="J10" s="166">
        <f>IFERROR(ROUND(SUM(D10:I10)/J9,3),0)</f>
        <v>0</v>
      </c>
      <c r="K10" s="886"/>
      <c r="L10" s="167">
        <f t="shared" ref="L10:Q10" si="7">L$4*L9</f>
        <v>0</v>
      </c>
      <c r="M10" s="165">
        <f t="shared" si="7"/>
        <v>0</v>
      </c>
      <c r="N10" s="165">
        <f t="shared" si="7"/>
        <v>0</v>
      </c>
      <c r="O10" s="165">
        <f t="shared" si="7"/>
        <v>0</v>
      </c>
      <c r="P10" s="165">
        <f t="shared" si="7"/>
        <v>0</v>
      </c>
      <c r="Q10" s="165">
        <f t="shared" si="7"/>
        <v>0</v>
      </c>
      <c r="R10" s="166">
        <f>IFERROR(ROUND(SUM(L10:Q10)/R9,3),0)</f>
        <v>0</v>
      </c>
      <c r="S10" s="886"/>
      <c r="T10" s="168">
        <f t="shared" ref="T10:Y10" si="8">T$4*T9</f>
        <v>0</v>
      </c>
      <c r="U10" s="165">
        <f t="shared" si="8"/>
        <v>0</v>
      </c>
      <c r="V10" s="165">
        <f t="shared" si="8"/>
        <v>0</v>
      </c>
      <c r="W10" s="165">
        <f t="shared" si="8"/>
        <v>0</v>
      </c>
      <c r="X10" s="165">
        <f t="shared" si="8"/>
        <v>0</v>
      </c>
      <c r="Y10" s="165">
        <f t="shared" si="8"/>
        <v>0</v>
      </c>
      <c r="Z10" s="166">
        <f>IFERROR(ROUND(SUM(T10:Y10)/Z9,3),0)</f>
        <v>0</v>
      </c>
      <c r="AA10" s="886"/>
      <c r="AB10" s="167">
        <f t="shared" ref="AB10:AG10" si="9">AB$4*AB9</f>
        <v>0</v>
      </c>
      <c r="AC10" s="165">
        <f t="shared" si="9"/>
        <v>0</v>
      </c>
      <c r="AD10" s="165">
        <f t="shared" si="9"/>
        <v>0</v>
      </c>
      <c r="AE10" s="165">
        <f t="shared" si="9"/>
        <v>0</v>
      </c>
      <c r="AF10" s="165">
        <f t="shared" si="9"/>
        <v>0</v>
      </c>
      <c r="AG10" s="165">
        <f t="shared" si="9"/>
        <v>0</v>
      </c>
      <c r="AH10" s="166">
        <f>IFERROR(ROUND(SUM(AB10:AG10)/AH9,3),0)</f>
        <v>0</v>
      </c>
      <c r="AI10" s="886"/>
      <c r="AJ10" s="168">
        <f t="shared" ref="AJ10:AO10" si="10">AJ$4*AJ9</f>
        <v>0</v>
      </c>
      <c r="AK10" s="165">
        <f t="shared" si="10"/>
        <v>0</v>
      </c>
      <c r="AL10" s="165">
        <f t="shared" si="10"/>
        <v>0</v>
      </c>
      <c r="AM10" s="165">
        <f t="shared" si="10"/>
        <v>0</v>
      </c>
      <c r="AN10" s="165">
        <f t="shared" si="10"/>
        <v>0</v>
      </c>
      <c r="AO10" s="165">
        <f t="shared" si="10"/>
        <v>0</v>
      </c>
      <c r="AP10" s="166">
        <f>IFERROR(ROUND(SUM(AJ10:AO10)/AP9,3),0)</f>
        <v>0</v>
      </c>
      <c r="AQ10" s="886"/>
      <c r="AR10" s="167">
        <f t="shared" ref="AR10:AW10" si="11">AR$4*AR9</f>
        <v>0</v>
      </c>
      <c r="AS10" s="165">
        <f t="shared" si="11"/>
        <v>0</v>
      </c>
      <c r="AT10" s="165">
        <f t="shared" si="11"/>
        <v>0</v>
      </c>
      <c r="AU10" s="165">
        <f t="shared" si="11"/>
        <v>0</v>
      </c>
      <c r="AV10" s="165">
        <f t="shared" si="11"/>
        <v>0</v>
      </c>
      <c r="AW10" s="165">
        <f t="shared" si="11"/>
        <v>0</v>
      </c>
      <c r="AX10" s="165">
        <f>IFERROR(ROUND(SUM(AR10:AW10)/AX9,3),0)</f>
        <v>0</v>
      </c>
      <c r="AY10" s="886"/>
      <c r="BA10" s="879"/>
      <c r="BB10" s="146"/>
      <c r="BC10" s="169"/>
    </row>
    <row r="11" spans="1:55" ht="18.75" customHeight="1">
      <c r="B11" s="883" t="s">
        <v>146</v>
      </c>
      <c r="C11" s="159" t="s">
        <v>143</v>
      </c>
      <c r="D11" s="193"/>
      <c r="E11" s="193"/>
      <c r="F11" s="193"/>
      <c r="G11" s="193"/>
      <c r="H11" s="193"/>
      <c r="I11" s="193"/>
      <c r="J11" s="160">
        <f>SUM(D11:I11)</f>
        <v>0</v>
      </c>
      <c r="K11" s="885">
        <f>ROUND(J12/3*J11,2)</f>
        <v>0</v>
      </c>
      <c r="L11" s="193"/>
      <c r="M11" s="193"/>
      <c r="N11" s="193"/>
      <c r="O11" s="193"/>
      <c r="P11" s="193"/>
      <c r="Q11" s="193"/>
      <c r="R11" s="160">
        <f>SUM(L11:Q11)</f>
        <v>0</v>
      </c>
      <c r="S11" s="885">
        <f>ROUND(R12/5*R11,2)</f>
        <v>0</v>
      </c>
      <c r="T11" s="193"/>
      <c r="U11" s="193"/>
      <c r="V11" s="193"/>
      <c r="W11" s="193"/>
      <c r="X11" s="193"/>
      <c r="Y11" s="193"/>
      <c r="Z11" s="160">
        <f>SUM(T11:Y11)</f>
        <v>0</v>
      </c>
      <c r="AA11" s="885">
        <f>ROUND(Z12/6*Z11,2)</f>
        <v>0</v>
      </c>
      <c r="AB11" s="193"/>
      <c r="AC11" s="193"/>
      <c r="AD11" s="193"/>
      <c r="AE11" s="193"/>
      <c r="AF11" s="193"/>
      <c r="AG11" s="193"/>
      <c r="AH11" s="160">
        <f>SUM(AB11:AG11)</f>
        <v>0</v>
      </c>
      <c r="AI11" s="885">
        <f>ROUND(AH12/15*AH11,2)</f>
        <v>0</v>
      </c>
      <c r="AJ11" s="193"/>
      <c r="AK11" s="193"/>
      <c r="AL11" s="193"/>
      <c r="AM11" s="193"/>
      <c r="AN11" s="193"/>
      <c r="AO11" s="193"/>
      <c r="AP11" s="160">
        <f>SUM(AJ11:AO11)</f>
        <v>0</v>
      </c>
      <c r="AQ11" s="885">
        <f>ROUND(AP12/20*AP11,2)</f>
        <v>0</v>
      </c>
      <c r="AR11" s="193"/>
      <c r="AS11" s="193"/>
      <c r="AT11" s="193"/>
      <c r="AU11" s="193"/>
      <c r="AV11" s="193"/>
      <c r="AW11" s="193"/>
      <c r="AX11" s="162">
        <f>SUM(AR11:AW11)</f>
        <v>0</v>
      </c>
      <c r="AY11" s="885">
        <f>ROUND(AX12/25*AX11,2)</f>
        <v>0</v>
      </c>
      <c r="BA11" s="879">
        <f>ROUND(AY11+AQ11+AI11+AA11+S11+K11,1)</f>
        <v>0</v>
      </c>
      <c r="BB11" s="146" t="str">
        <f>IF(J11+R11=0,"×","○")</f>
        <v>×</v>
      </c>
      <c r="BC11" s="163">
        <f>SUM(J11,R11,Z11,AH11,AP11,AX11)</f>
        <v>0</v>
      </c>
    </row>
    <row r="12" spans="1:55" ht="18.75" customHeight="1">
      <c r="B12" s="888"/>
      <c r="C12" s="164" t="s">
        <v>144</v>
      </c>
      <c r="D12" s="165">
        <f t="shared" ref="D12:I12" si="12">D$4*D11</f>
        <v>0</v>
      </c>
      <c r="E12" s="165">
        <f t="shared" si="12"/>
        <v>0</v>
      </c>
      <c r="F12" s="165">
        <f t="shared" si="12"/>
        <v>0</v>
      </c>
      <c r="G12" s="165">
        <f t="shared" si="12"/>
        <v>0</v>
      </c>
      <c r="H12" s="165">
        <f t="shared" si="12"/>
        <v>0</v>
      </c>
      <c r="I12" s="165">
        <f t="shared" si="12"/>
        <v>0</v>
      </c>
      <c r="J12" s="166">
        <f>IFERROR(ROUND(SUM(D12:I12)/J11,3),0)</f>
        <v>0</v>
      </c>
      <c r="K12" s="886"/>
      <c r="L12" s="167">
        <f t="shared" ref="L12:Q12" si="13">L$4*L11</f>
        <v>0</v>
      </c>
      <c r="M12" s="165">
        <f t="shared" si="13"/>
        <v>0</v>
      </c>
      <c r="N12" s="165">
        <f t="shared" si="13"/>
        <v>0</v>
      </c>
      <c r="O12" s="165">
        <f t="shared" si="13"/>
        <v>0</v>
      </c>
      <c r="P12" s="165">
        <f t="shared" si="13"/>
        <v>0</v>
      </c>
      <c r="Q12" s="165">
        <f t="shared" si="13"/>
        <v>0</v>
      </c>
      <c r="R12" s="166">
        <f>IFERROR(ROUND(SUM(L12:Q12)/R11,3),0)</f>
        <v>0</v>
      </c>
      <c r="S12" s="886"/>
      <c r="T12" s="168">
        <f t="shared" ref="T12:Y12" si="14">T$4*T11</f>
        <v>0</v>
      </c>
      <c r="U12" s="165">
        <f t="shared" si="14"/>
        <v>0</v>
      </c>
      <c r="V12" s="165">
        <f t="shared" si="14"/>
        <v>0</v>
      </c>
      <c r="W12" s="165">
        <f t="shared" si="14"/>
        <v>0</v>
      </c>
      <c r="X12" s="165">
        <f t="shared" si="14"/>
        <v>0</v>
      </c>
      <c r="Y12" s="165">
        <f t="shared" si="14"/>
        <v>0</v>
      </c>
      <c r="Z12" s="166">
        <f>IFERROR(ROUND(SUM(T12:Y12)/Z11,3),0)</f>
        <v>0</v>
      </c>
      <c r="AA12" s="886"/>
      <c r="AB12" s="167">
        <f t="shared" ref="AB12:AG12" si="15">AB$4*AB11</f>
        <v>0</v>
      </c>
      <c r="AC12" s="165">
        <f t="shared" si="15"/>
        <v>0</v>
      </c>
      <c r="AD12" s="165">
        <f t="shared" si="15"/>
        <v>0</v>
      </c>
      <c r="AE12" s="165">
        <f t="shared" si="15"/>
        <v>0</v>
      </c>
      <c r="AF12" s="165">
        <f t="shared" si="15"/>
        <v>0</v>
      </c>
      <c r="AG12" s="165">
        <f t="shared" si="15"/>
        <v>0</v>
      </c>
      <c r="AH12" s="166">
        <f>IFERROR(ROUND(SUM(AB12:AG12)/AH11,3),0)</f>
        <v>0</v>
      </c>
      <c r="AI12" s="886"/>
      <c r="AJ12" s="168">
        <f t="shared" ref="AJ12:AO12" si="16">AJ$4*AJ11</f>
        <v>0</v>
      </c>
      <c r="AK12" s="165">
        <f t="shared" si="16"/>
        <v>0</v>
      </c>
      <c r="AL12" s="165">
        <f t="shared" si="16"/>
        <v>0</v>
      </c>
      <c r="AM12" s="165">
        <f t="shared" si="16"/>
        <v>0</v>
      </c>
      <c r="AN12" s="165">
        <f t="shared" si="16"/>
        <v>0</v>
      </c>
      <c r="AO12" s="165">
        <f t="shared" si="16"/>
        <v>0</v>
      </c>
      <c r="AP12" s="166">
        <f>IFERROR(ROUND(SUM(AJ12:AO12)/AP11,3),0)</f>
        <v>0</v>
      </c>
      <c r="AQ12" s="886"/>
      <c r="AR12" s="167">
        <f t="shared" ref="AR12:AW12" si="17">AR$4*AR11</f>
        <v>0</v>
      </c>
      <c r="AS12" s="165">
        <f t="shared" si="17"/>
        <v>0</v>
      </c>
      <c r="AT12" s="165">
        <f t="shared" si="17"/>
        <v>0</v>
      </c>
      <c r="AU12" s="165">
        <f t="shared" si="17"/>
        <v>0</v>
      </c>
      <c r="AV12" s="165">
        <f t="shared" si="17"/>
        <v>0</v>
      </c>
      <c r="AW12" s="165">
        <f t="shared" si="17"/>
        <v>0</v>
      </c>
      <c r="AX12" s="165">
        <f>IFERROR(ROUND(SUM(AR12:AW12)/AX11,3),0)</f>
        <v>0</v>
      </c>
      <c r="AY12" s="886"/>
      <c r="BA12" s="879"/>
      <c r="BB12" s="146"/>
      <c r="BC12" s="169"/>
    </row>
    <row r="13" spans="1:55" ht="18.75" customHeight="1">
      <c r="B13" s="883" t="s">
        <v>147</v>
      </c>
      <c r="C13" s="159" t="s">
        <v>143</v>
      </c>
      <c r="D13" s="193"/>
      <c r="E13" s="193"/>
      <c r="F13" s="193"/>
      <c r="G13" s="193"/>
      <c r="H13" s="193"/>
      <c r="I13" s="193"/>
      <c r="J13" s="161">
        <f>SUM(D13:I13)</f>
        <v>0</v>
      </c>
      <c r="K13" s="885">
        <f>ROUND(J14/3*J13,2)</f>
        <v>0</v>
      </c>
      <c r="L13" s="193"/>
      <c r="M13" s="193"/>
      <c r="N13" s="193"/>
      <c r="O13" s="193"/>
      <c r="P13" s="193"/>
      <c r="Q13" s="193"/>
      <c r="R13" s="161">
        <f>SUM(L13:Q13)</f>
        <v>0</v>
      </c>
      <c r="S13" s="885">
        <f>ROUND(R14/5*R13,2)</f>
        <v>0</v>
      </c>
      <c r="T13" s="193"/>
      <c r="U13" s="193"/>
      <c r="V13" s="193"/>
      <c r="W13" s="193"/>
      <c r="X13" s="193"/>
      <c r="Y13" s="193"/>
      <c r="Z13" s="161">
        <f>SUM(T13:Y13)</f>
        <v>0</v>
      </c>
      <c r="AA13" s="885">
        <f>ROUND(Z14/6*Z13,2)</f>
        <v>0</v>
      </c>
      <c r="AB13" s="193"/>
      <c r="AC13" s="193"/>
      <c r="AD13" s="193"/>
      <c r="AE13" s="193"/>
      <c r="AF13" s="193"/>
      <c r="AG13" s="193"/>
      <c r="AH13" s="161">
        <f>SUM(AB13:AG13)</f>
        <v>0</v>
      </c>
      <c r="AI13" s="885">
        <f>ROUND(AH14/15*AH13,2)</f>
        <v>0</v>
      </c>
      <c r="AJ13" s="193"/>
      <c r="AK13" s="193"/>
      <c r="AL13" s="193"/>
      <c r="AM13" s="193"/>
      <c r="AN13" s="193"/>
      <c r="AO13" s="193"/>
      <c r="AP13" s="161">
        <f>SUM(AJ13:AO13)</f>
        <v>0</v>
      </c>
      <c r="AQ13" s="885">
        <f>ROUND(AP14/20*AP13,2)</f>
        <v>0</v>
      </c>
      <c r="AR13" s="193"/>
      <c r="AS13" s="193"/>
      <c r="AT13" s="193"/>
      <c r="AU13" s="193"/>
      <c r="AV13" s="193"/>
      <c r="AW13" s="193"/>
      <c r="AX13" s="181">
        <f>SUM(AR13:AW13)</f>
        <v>0</v>
      </c>
      <c r="AY13" s="885">
        <f>ROUND(AX14/25*AX13,2)</f>
        <v>0</v>
      </c>
      <c r="BA13" s="879">
        <f>ROUND(AY13+AQ13+AI13+AA13+S13+K13,1)</f>
        <v>0</v>
      </c>
      <c r="BB13" s="146" t="str">
        <f>IF(J13+R13=0,"×","○")</f>
        <v>×</v>
      </c>
      <c r="BC13" s="163">
        <f>SUM(J13,R13,Z13,AH13,AP13,AX13)</f>
        <v>0</v>
      </c>
    </row>
    <row r="14" spans="1:55" ht="18.75" customHeight="1">
      <c r="B14" s="888"/>
      <c r="C14" s="170" t="s">
        <v>144</v>
      </c>
      <c r="D14" s="165">
        <f t="shared" ref="D14:I14" si="18">D$4*D13</f>
        <v>0</v>
      </c>
      <c r="E14" s="165">
        <f t="shared" si="18"/>
        <v>0</v>
      </c>
      <c r="F14" s="165">
        <f t="shared" si="18"/>
        <v>0</v>
      </c>
      <c r="G14" s="165">
        <f t="shared" si="18"/>
        <v>0</v>
      </c>
      <c r="H14" s="165">
        <f t="shared" si="18"/>
        <v>0</v>
      </c>
      <c r="I14" s="165">
        <f t="shared" si="18"/>
        <v>0</v>
      </c>
      <c r="J14" s="166">
        <f>IFERROR(ROUND(SUM(D14:I14)/J13,3),0)</f>
        <v>0</v>
      </c>
      <c r="K14" s="886"/>
      <c r="L14" s="167">
        <f t="shared" ref="L14:Q14" si="19">L$4*L13</f>
        <v>0</v>
      </c>
      <c r="M14" s="165">
        <f t="shared" si="19"/>
        <v>0</v>
      </c>
      <c r="N14" s="165">
        <f t="shared" si="19"/>
        <v>0</v>
      </c>
      <c r="O14" s="165">
        <f t="shared" si="19"/>
        <v>0</v>
      </c>
      <c r="P14" s="165">
        <f t="shared" si="19"/>
        <v>0</v>
      </c>
      <c r="Q14" s="165">
        <f t="shared" si="19"/>
        <v>0</v>
      </c>
      <c r="R14" s="166">
        <f>IFERROR(ROUND(SUM(L14:Q14)/R13,3),0)</f>
        <v>0</v>
      </c>
      <c r="S14" s="886"/>
      <c r="T14" s="168">
        <f t="shared" ref="T14:Y14" si="20">T$4*T13</f>
        <v>0</v>
      </c>
      <c r="U14" s="165">
        <f t="shared" si="20"/>
        <v>0</v>
      </c>
      <c r="V14" s="165">
        <f t="shared" si="20"/>
        <v>0</v>
      </c>
      <c r="W14" s="165">
        <f t="shared" si="20"/>
        <v>0</v>
      </c>
      <c r="X14" s="165">
        <f t="shared" si="20"/>
        <v>0</v>
      </c>
      <c r="Y14" s="165">
        <f t="shared" si="20"/>
        <v>0</v>
      </c>
      <c r="Z14" s="166">
        <f>IFERROR(ROUND(SUM(T14:Y14)/Z13,3),0)</f>
        <v>0</v>
      </c>
      <c r="AA14" s="886"/>
      <c r="AB14" s="167">
        <f t="shared" ref="AB14:AG14" si="21">AB$4*AB13</f>
        <v>0</v>
      </c>
      <c r="AC14" s="165">
        <f t="shared" si="21"/>
        <v>0</v>
      </c>
      <c r="AD14" s="165">
        <f t="shared" si="21"/>
        <v>0</v>
      </c>
      <c r="AE14" s="165">
        <f t="shared" si="21"/>
        <v>0</v>
      </c>
      <c r="AF14" s="165">
        <f t="shared" si="21"/>
        <v>0</v>
      </c>
      <c r="AG14" s="165">
        <f t="shared" si="21"/>
        <v>0</v>
      </c>
      <c r="AH14" s="166">
        <f>IFERROR(ROUND(SUM(AB14:AG14)/AH13,3),0)</f>
        <v>0</v>
      </c>
      <c r="AI14" s="886"/>
      <c r="AJ14" s="168">
        <f t="shared" ref="AJ14:AO14" si="22">AJ$4*AJ13</f>
        <v>0</v>
      </c>
      <c r="AK14" s="165">
        <f t="shared" si="22"/>
        <v>0</v>
      </c>
      <c r="AL14" s="165">
        <f t="shared" si="22"/>
        <v>0</v>
      </c>
      <c r="AM14" s="165">
        <f t="shared" si="22"/>
        <v>0</v>
      </c>
      <c r="AN14" s="165">
        <f t="shared" si="22"/>
        <v>0</v>
      </c>
      <c r="AO14" s="165">
        <f t="shared" si="22"/>
        <v>0</v>
      </c>
      <c r="AP14" s="166">
        <f>IFERROR(ROUND(SUM(AJ14:AO14)/AP13,3),0)</f>
        <v>0</v>
      </c>
      <c r="AQ14" s="886"/>
      <c r="AR14" s="167">
        <f t="shared" ref="AR14:AW14" si="23">AR$4*AR13</f>
        <v>0</v>
      </c>
      <c r="AS14" s="165">
        <f t="shared" si="23"/>
        <v>0</v>
      </c>
      <c r="AT14" s="165">
        <f t="shared" si="23"/>
        <v>0</v>
      </c>
      <c r="AU14" s="165">
        <f t="shared" si="23"/>
        <v>0</v>
      </c>
      <c r="AV14" s="165">
        <f t="shared" si="23"/>
        <v>0</v>
      </c>
      <c r="AW14" s="165">
        <f t="shared" si="23"/>
        <v>0</v>
      </c>
      <c r="AX14" s="165">
        <f>IFERROR(ROUND(SUM(AR14:AW14)/AX13,3),0)</f>
        <v>0</v>
      </c>
      <c r="AY14" s="886"/>
      <c r="BA14" s="879"/>
      <c r="BB14" s="146"/>
      <c r="BC14" s="169"/>
    </row>
    <row r="15" spans="1:55" ht="18.75" customHeight="1">
      <c r="B15" s="883" t="s">
        <v>148</v>
      </c>
      <c r="C15" s="159" t="s">
        <v>143</v>
      </c>
      <c r="D15" s="193"/>
      <c r="E15" s="193"/>
      <c r="F15" s="193"/>
      <c r="G15" s="193"/>
      <c r="H15" s="193"/>
      <c r="I15" s="193"/>
      <c r="J15" s="160">
        <f>SUM(D15:I15)</f>
        <v>0</v>
      </c>
      <c r="K15" s="885">
        <f>ROUND(J16/3*J15,2)</f>
        <v>0</v>
      </c>
      <c r="L15" s="193"/>
      <c r="M15" s="193"/>
      <c r="N15" s="193"/>
      <c r="O15" s="193"/>
      <c r="P15" s="193"/>
      <c r="Q15" s="193"/>
      <c r="R15" s="160">
        <f>SUM(L15:Q15)</f>
        <v>0</v>
      </c>
      <c r="S15" s="885">
        <f>ROUND(R16/5*R15,2)</f>
        <v>0</v>
      </c>
      <c r="T15" s="193"/>
      <c r="U15" s="193"/>
      <c r="V15" s="193"/>
      <c r="W15" s="193"/>
      <c r="X15" s="193"/>
      <c r="Y15" s="193"/>
      <c r="Z15" s="160">
        <f>SUM(T15:Y15)</f>
        <v>0</v>
      </c>
      <c r="AA15" s="885">
        <f>ROUND(Z16/6*Z15,2)</f>
        <v>0</v>
      </c>
      <c r="AB15" s="193"/>
      <c r="AC15" s="193"/>
      <c r="AD15" s="193"/>
      <c r="AE15" s="193"/>
      <c r="AF15" s="193"/>
      <c r="AG15" s="193"/>
      <c r="AH15" s="160">
        <f>SUM(AB15:AG15)</f>
        <v>0</v>
      </c>
      <c r="AI15" s="885">
        <f>ROUND(AH16/15*AH15,2)</f>
        <v>0</v>
      </c>
      <c r="AJ15" s="193"/>
      <c r="AK15" s="193"/>
      <c r="AL15" s="193"/>
      <c r="AM15" s="193"/>
      <c r="AN15" s="193"/>
      <c r="AO15" s="193"/>
      <c r="AP15" s="160">
        <f>SUM(AJ15:AO15)</f>
        <v>0</v>
      </c>
      <c r="AQ15" s="885">
        <f>ROUND(AP16/20*AP15,2)</f>
        <v>0</v>
      </c>
      <c r="AR15" s="193"/>
      <c r="AS15" s="193"/>
      <c r="AT15" s="193"/>
      <c r="AU15" s="193"/>
      <c r="AV15" s="193"/>
      <c r="AW15" s="193"/>
      <c r="AX15" s="162">
        <f>SUM(AR15:AW15)</f>
        <v>0</v>
      </c>
      <c r="AY15" s="885">
        <f>ROUND(AX16/25*AX15,2)</f>
        <v>0</v>
      </c>
      <c r="BA15" s="879">
        <f>ROUND(AY15+AQ15+AI15+AA15+S15+K15,1)</f>
        <v>0</v>
      </c>
      <c r="BB15" s="146" t="str">
        <f>IF(J15+R15=0,"×","○")</f>
        <v>×</v>
      </c>
      <c r="BC15" s="163">
        <f>SUM(J15,R15,Z15,AH15,AP15,AX15)</f>
        <v>0</v>
      </c>
    </row>
    <row r="16" spans="1:55" ht="18.75" customHeight="1">
      <c r="B16" s="888"/>
      <c r="C16" s="164" t="s">
        <v>144</v>
      </c>
      <c r="D16" s="165">
        <f t="shared" ref="D16:I16" si="24">D$4*D15</f>
        <v>0</v>
      </c>
      <c r="E16" s="165">
        <f t="shared" si="24"/>
        <v>0</v>
      </c>
      <c r="F16" s="165">
        <f t="shared" si="24"/>
        <v>0</v>
      </c>
      <c r="G16" s="165">
        <f t="shared" si="24"/>
        <v>0</v>
      </c>
      <c r="H16" s="165">
        <f t="shared" si="24"/>
        <v>0</v>
      </c>
      <c r="I16" s="165">
        <f t="shared" si="24"/>
        <v>0</v>
      </c>
      <c r="J16" s="166">
        <f>IFERROR(ROUND(SUM(D16:I16)/J15,3),0)</f>
        <v>0</v>
      </c>
      <c r="K16" s="886"/>
      <c r="L16" s="167">
        <f t="shared" ref="L16:Q16" si="25">L$4*L15</f>
        <v>0</v>
      </c>
      <c r="M16" s="165">
        <f t="shared" si="25"/>
        <v>0</v>
      </c>
      <c r="N16" s="165">
        <f t="shared" si="25"/>
        <v>0</v>
      </c>
      <c r="O16" s="165">
        <f t="shared" si="25"/>
        <v>0</v>
      </c>
      <c r="P16" s="165">
        <f t="shared" si="25"/>
        <v>0</v>
      </c>
      <c r="Q16" s="165">
        <f t="shared" si="25"/>
        <v>0</v>
      </c>
      <c r="R16" s="166">
        <f>IFERROR(ROUND(SUM(L16:Q16)/R15,3),0)</f>
        <v>0</v>
      </c>
      <c r="S16" s="886"/>
      <c r="T16" s="168">
        <f t="shared" ref="T16:Y16" si="26">T$4*T15</f>
        <v>0</v>
      </c>
      <c r="U16" s="165">
        <f t="shared" si="26"/>
        <v>0</v>
      </c>
      <c r="V16" s="165">
        <f t="shared" si="26"/>
        <v>0</v>
      </c>
      <c r="W16" s="165">
        <f t="shared" si="26"/>
        <v>0</v>
      </c>
      <c r="X16" s="165">
        <f t="shared" si="26"/>
        <v>0</v>
      </c>
      <c r="Y16" s="165">
        <f t="shared" si="26"/>
        <v>0</v>
      </c>
      <c r="Z16" s="166">
        <f>IFERROR(ROUND(SUM(T16:Y16)/Z15,3),0)</f>
        <v>0</v>
      </c>
      <c r="AA16" s="886"/>
      <c r="AB16" s="167">
        <f t="shared" ref="AB16:AG16" si="27">AB$4*AB15</f>
        <v>0</v>
      </c>
      <c r="AC16" s="165">
        <f t="shared" si="27"/>
        <v>0</v>
      </c>
      <c r="AD16" s="165">
        <f t="shared" si="27"/>
        <v>0</v>
      </c>
      <c r="AE16" s="165">
        <f t="shared" si="27"/>
        <v>0</v>
      </c>
      <c r="AF16" s="165">
        <f t="shared" si="27"/>
        <v>0</v>
      </c>
      <c r="AG16" s="165">
        <f t="shared" si="27"/>
        <v>0</v>
      </c>
      <c r="AH16" s="166">
        <f>IFERROR(ROUND(SUM(AB16:AG16)/AH15,3),0)</f>
        <v>0</v>
      </c>
      <c r="AI16" s="886"/>
      <c r="AJ16" s="168">
        <f t="shared" ref="AJ16:AO16" si="28">AJ$4*AJ15</f>
        <v>0</v>
      </c>
      <c r="AK16" s="165">
        <f t="shared" si="28"/>
        <v>0</v>
      </c>
      <c r="AL16" s="165">
        <f t="shared" si="28"/>
        <v>0</v>
      </c>
      <c r="AM16" s="165">
        <f t="shared" si="28"/>
        <v>0</v>
      </c>
      <c r="AN16" s="165">
        <f t="shared" si="28"/>
        <v>0</v>
      </c>
      <c r="AO16" s="165">
        <f t="shared" si="28"/>
        <v>0</v>
      </c>
      <c r="AP16" s="166">
        <f>IFERROR(ROUND(SUM(AJ16:AO16)/AP15,3),0)</f>
        <v>0</v>
      </c>
      <c r="AQ16" s="886"/>
      <c r="AR16" s="167">
        <f t="shared" ref="AR16:AW16" si="29">AR$4*AR15</f>
        <v>0</v>
      </c>
      <c r="AS16" s="165">
        <f t="shared" si="29"/>
        <v>0</v>
      </c>
      <c r="AT16" s="165">
        <f t="shared" si="29"/>
        <v>0</v>
      </c>
      <c r="AU16" s="165">
        <f t="shared" si="29"/>
        <v>0</v>
      </c>
      <c r="AV16" s="165">
        <f t="shared" si="29"/>
        <v>0</v>
      </c>
      <c r="AW16" s="165">
        <f t="shared" si="29"/>
        <v>0</v>
      </c>
      <c r="AX16" s="165">
        <f>IFERROR(ROUND(SUM(AR16:AW16)/AX15,3),0)</f>
        <v>0</v>
      </c>
      <c r="AY16" s="886"/>
      <c r="BA16" s="879"/>
      <c r="BB16" s="146"/>
      <c r="BC16" s="169"/>
    </row>
    <row r="17" spans="2:55" ht="18.75" customHeight="1">
      <c r="B17" s="883" t="s">
        <v>149</v>
      </c>
      <c r="C17" s="159" t="s">
        <v>143</v>
      </c>
      <c r="D17" s="193"/>
      <c r="E17" s="193"/>
      <c r="F17" s="193"/>
      <c r="G17" s="193"/>
      <c r="H17" s="193"/>
      <c r="I17" s="193"/>
      <c r="J17" s="161">
        <f>SUM(D17:I17)</f>
        <v>0</v>
      </c>
      <c r="K17" s="885">
        <f>ROUND(J18/3*J17,2)</f>
        <v>0</v>
      </c>
      <c r="L17" s="193"/>
      <c r="M17" s="193"/>
      <c r="N17" s="193"/>
      <c r="O17" s="193"/>
      <c r="P17" s="193"/>
      <c r="Q17" s="193"/>
      <c r="R17" s="161">
        <f>SUM(L17:Q17)</f>
        <v>0</v>
      </c>
      <c r="S17" s="885">
        <f>ROUND(R18/5*R17,2)</f>
        <v>0</v>
      </c>
      <c r="T17" s="193"/>
      <c r="U17" s="193"/>
      <c r="V17" s="193"/>
      <c r="W17" s="193"/>
      <c r="X17" s="193"/>
      <c r="Y17" s="193"/>
      <c r="Z17" s="161">
        <f>SUM(T17:Y17)</f>
        <v>0</v>
      </c>
      <c r="AA17" s="885">
        <f>ROUND(Z18/6*Z17,2)</f>
        <v>0</v>
      </c>
      <c r="AB17" s="193"/>
      <c r="AC17" s="193"/>
      <c r="AD17" s="193"/>
      <c r="AE17" s="193"/>
      <c r="AF17" s="193"/>
      <c r="AG17" s="193"/>
      <c r="AH17" s="161">
        <f>SUM(AB17:AG17)</f>
        <v>0</v>
      </c>
      <c r="AI17" s="885">
        <f>ROUND(AH18/15*AH17,2)</f>
        <v>0</v>
      </c>
      <c r="AJ17" s="193"/>
      <c r="AK17" s="193"/>
      <c r="AL17" s="193"/>
      <c r="AM17" s="193"/>
      <c r="AN17" s="193"/>
      <c r="AO17" s="193"/>
      <c r="AP17" s="161">
        <f>SUM(AJ17:AO17)</f>
        <v>0</v>
      </c>
      <c r="AQ17" s="885">
        <f>ROUND(AP18/20*AP17,2)</f>
        <v>0</v>
      </c>
      <c r="AR17" s="193"/>
      <c r="AS17" s="193"/>
      <c r="AT17" s="193"/>
      <c r="AU17" s="193"/>
      <c r="AV17" s="193"/>
      <c r="AW17" s="193"/>
      <c r="AX17" s="181">
        <f>SUM(AR17:AW17)</f>
        <v>0</v>
      </c>
      <c r="AY17" s="885">
        <f>ROUND(AX18/25*AX17,2)</f>
        <v>0</v>
      </c>
      <c r="BA17" s="879">
        <f>ROUND(AY17+AQ17+AI17+AA17+S17+K17,1)</f>
        <v>0</v>
      </c>
      <c r="BB17" s="146" t="str">
        <f>IF(J17+R17=0,"×","○")</f>
        <v>×</v>
      </c>
      <c r="BC17" s="163">
        <f>SUM(J17,R17,Z17,AH17,AP17,AX17)</f>
        <v>0</v>
      </c>
    </row>
    <row r="18" spans="2:55" ht="18.75" customHeight="1">
      <c r="B18" s="888"/>
      <c r="C18" s="170" t="s">
        <v>144</v>
      </c>
      <c r="D18" s="165">
        <f t="shared" ref="D18:I18" si="30">D$4*D17</f>
        <v>0</v>
      </c>
      <c r="E18" s="165">
        <f t="shared" si="30"/>
        <v>0</v>
      </c>
      <c r="F18" s="165">
        <f t="shared" si="30"/>
        <v>0</v>
      </c>
      <c r="G18" s="165">
        <f t="shared" si="30"/>
        <v>0</v>
      </c>
      <c r="H18" s="165">
        <f t="shared" si="30"/>
        <v>0</v>
      </c>
      <c r="I18" s="165">
        <f t="shared" si="30"/>
        <v>0</v>
      </c>
      <c r="J18" s="166">
        <f>IFERROR(ROUND(SUM(D18:I18)/J17,3),0)</f>
        <v>0</v>
      </c>
      <c r="K18" s="886"/>
      <c r="L18" s="167">
        <f t="shared" ref="L18:Q18" si="31">L$4*L17</f>
        <v>0</v>
      </c>
      <c r="M18" s="165">
        <f t="shared" si="31"/>
        <v>0</v>
      </c>
      <c r="N18" s="165">
        <f t="shared" si="31"/>
        <v>0</v>
      </c>
      <c r="O18" s="165">
        <f t="shared" si="31"/>
        <v>0</v>
      </c>
      <c r="P18" s="165">
        <f t="shared" si="31"/>
        <v>0</v>
      </c>
      <c r="Q18" s="165">
        <f t="shared" si="31"/>
        <v>0</v>
      </c>
      <c r="R18" s="166">
        <f>IFERROR(ROUND(SUM(L18:Q18)/R17,3),0)</f>
        <v>0</v>
      </c>
      <c r="S18" s="886"/>
      <c r="T18" s="168">
        <f t="shared" ref="T18:Y18" si="32">T$4*T17</f>
        <v>0</v>
      </c>
      <c r="U18" s="165">
        <f t="shared" si="32"/>
        <v>0</v>
      </c>
      <c r="V18" s="165">
        <f t="shared" si="32"/>
        <v>0</v>
      </c>
      <c r="W18" s="165">
        <f t="shared" si="32"/>
        <v>0</v>
      </c>
      <c r="X18" s="165">
        <f t="shared" si="32"/>
        <v>0</v>
      </c>
      <c r="Y18" s="165">
        <f t="shared" si="32"/>
        <v>0</v>
      </c>
      <c r="Z18" s="166">
        <f>IFERROR(ROUND(SUM(T18:Y18)/Z17,3),0)</f>
        <v>0</v>
      </c>
      <c r="AA18" s="886"/>
      <c r="AB18" s="167">
        <f t="shared" ref="AB18:AG18" si="33">AB$4*AB17</f>
        <v>0</v>
      </c>
      <c r="AC18" s="165">
        <f t="shared" si="33"/>
        <v>0</v>
      </c>
      <c r="AD18" s="165">
        <f t="shared" si="33"/>
        <v>0</v>
      </c>
      <c r="AE18" s="165">
        <f t="shared" si="33"/>
        <v>0</v>
      </c>
      <c r="AF18" s="165">
        <f t="shared" si="33"/>
        <v>0</v>
      </c>
      <c r="AG18" s="165">
        <f t="shared" si="33"/>
        <v>0</v>
      </c>
      <c r="AH18" s="166">
        <f>IFERROR(ROUND(SUM(AB18:AG18)/AH17,3),0)</f>
        <v>0</v>
      </c>
      <c r="AI18" s="886"/>
      <c r="AJ18" s="168">
        <f t="shared" ref="AJ18:AO18" si="34">AJ$4*AJ17</f>
        <v>0</v>
      </c>
      <c r="AK18" s="165">
        <f t="shared" si="34"/>
        <v>0</v>
      </c>
      <c r="AL18" s="165">
        <f t="shared" si="34"/>
        <v>0</v>
      </c>
      <c r="AM18" s="165">
        <f t="shared" si="34"/>
        <v>0</v>
      </c>
      <c r="AN18" s="165">
        <f t="shared" si="34"/>
        <v>0</v>
      </c>
      <c r="AO18" s="165">
        <f t="shared" si="34"/>
        <v>0</v>
      </c>
      <c r="AP18" s="166">
        <f>IFERROR(ROUND(SUM(AJ18:AO18)/AP17,3),0)</f>
        <v>0</v>
      </c>
      <c r="AQ18" s="886"/>
      <c r="AR18" s="167">
        <f t="shared" ref="AR18:AW18" si="35">AR$4*AR17</f>
        <v>0</v>
      </c>
      <c r="AS18" s="165">
        <f t="shared" si="35"/>
        <v>0</v>
      </c>
      <c r="AT18" s="165">
        <f t="shared" si="35"/>
        <v>0</v>
      </c>
      <c r="AU18" s="165">
        <f t="shared" si="35"/>
        <v>0</v>
      </c>
      <c r="AV18" s="165">
        <f t="shared" si="35"/>
        <v>0</v>
      </c>
      <c r="AW18" s="165">
        <f t="shared" si="35"/>
        <v>0</v>
      </c>
      <c r="AX18" s="165">
        <f>IFERROR(ROUND(SUM(AR18:AW18)/AX17,3),0)</f>
        <v>0</v>
      </c>
      <c r="AY18" s="886"/>
      <c r="BA18" s="879"/>
      <c r="BB18" s="146"/>
      <c r="BC18" s="169"/>
    </row>
    <row r="19" spans="2:55" ht="18.75" customHeight="1">
      <c r="B19" s="883" t="s">
        <v>150</v>
      </c>
      <c r="C19" s="159" t="s">
        <v>143</v>
      </c>
      <c r="D19" s="193"/>
      <c r="E19" s="193"/>
      <c r="F19" s="193"/>
      <c r="G19" s="193"/>
      <c r="H19" s="193"/>
      <c r="I19" s="193"/>
      <c r="J19" s="160">
        <f>SUM(D19:I19)</f>
        <v>0</v>
      </c>
      <c r="K19" s="885">
        <f>ROUND(J20/3*J19,2)</f>
        <v>0</v>
      </c>
      <c r="L19" s="193"/>
      <c r="M19" s="193"/>
      <c r="N19" s="193"/>
      <c r="O19" s="193"/>
      <c r="P19" s="193"/>
      <c r="Q19" s="193"/>
      <c r="R19" s="160">
        <f>SUM(L19:Q19)</f>
        <v>0</v>
      </c>
      <c r="S19" s="885">
        <f>ROUND(R20/5*R19,2)</f>
        <v>0</v>
      </c>
      <c r="T19" s="193"/>
      <c r="U19" s="193"/>
      <c r="V19" s="193"/>
      <c r="W19" s="193"/>
      <c r="X19" s="193"/>
      <c r="Y19" s="193"/>
      <c r="Z19" s="160">
        <f>SUM(T19:Y19)</f>
        <v>0</v>
      </c>
      <c r="AA19" s="885">
        <f>ROUND(Z20/6*Z19,2)</f>
        <v>0</v>
      </c>
      <c r="AB19" s="193"/>
      <c r="AC19" s="193"/>
      <c r="AD19" s="193"/>
      <c r="AE19" s="193"/>
      <c r="AF19" s="193"/>
      <c r="AG19" s="193"/>
      <c r="AH19" s="160">
        <f>SUM(AB19:AG19)</f>
        <v>0</v>
      </c>
      <c r="AI19" s="885">
        <f>ROUND(AH20/15*AH19,2)</f>
        <v>0</v>
      </c>
      <c r="AJ19" s="193"/>
      <c r="AK19" s="193"/>
      <c r="AL19" s="193"/>
      <c r="AM19" s="193"/>
      <c r="AN19" s="193"/>
      <c r="AO19" s="193"/>
      <c r="AP19" s="160">
        <f>SUM(AJ19:AO19)</f>
        <v>0</v>
      </c>
      <c r="AQ19" s="885">
        <f>ROUND(AP20/20*AP19,2)</f>
        <v>0</v>
      </c>
      <c r="AR19" s="193"/>
      <c r="AS19" s="193"/>
      <c r="AT19" s="193"/>
      <c r="AU19" s="193"/>
      <c r="AV19" s="193"/>
      <c r="AW19" s="193"/>
      <c r="AX19" s="162">
        <f>SUM(AR19:AW19)</f>
        <v>0</v>
      </c>
      <c r="AY19" s="885">
        <f>ROUND(AX20/25*AX19,2)</f>
        <v>0</v>
      </c>
      <c r="BA19" s="879">
        <f>ROUND(AY19+AQ19+AI19+AA19+S19+K19,1)</f>
        <v>0</v>
      </c>
      <c r="BB19" s="146" t="str">
        <f>IF(J19+R19=0,"×","○")</f>
        <v>×</v>
      </c>
      <c r="BC19" s="163">
        <f>SUM(J19,R19,Z19,AH19,AP19,AX19)</f>
        <v>0</v>
      </c>
    </row>
    <row r="20" spans="2:55" ht="18.75" customHeight="1">
      <c r="B20" s="888"/>
      <c r="C20" s="164" t="s">
        <v>144</v>
      </c>
      <c r="D20" s="165">
        <f t="shared" ref="D20:I20" si="36">D$4*D19</f>
        <v>0</v>
      </c>
      <c r="E20" s="165">
        <f t="shared" si="36"/>
        <v>0</v>
      </c>
      <c r="F20" s="165">
        <f t="shared" si="36"/>
        <v>0</v>
      </c>
      <c r="G20" s="165">
        <f t="shared" si="36"/>
        <v>0</v>
      </c>
      <c r="H20" s="165">
        <f t="shared" si="36"/>
        <v>0</v>
      </c>
      <c r="I20" s="165">
        <f t="shared" si="36"/>
        <v>0</v>
      </c>
      <c r="J20" s="166">
        <f>IFERROR(ROUND(SUM(D20:I20)/J19,3),0)</f>
        <v>0</v>
      </c>
      <c r="K20" s="886"/>
      <c r="L20" s="167">
        <f t="shared" ref="L20:Q20" si="37">L$4*L19</f>
        <v>0</v>
      </c>
      <c r="M20" s="165">
        <f t="shared" si="37"/>
        <v>0</v>
      </c>
      <c r="N20" s="165">
        <f t="shared" si="37"/>
        <v>0</v>
      </c>
      <c r="O20" s="165">
        <f t="shared" si="37"/>
        <v>0</v>
      </c>
      <c r="P20" s="165">
        <f t="shared" si="37"/>
        <v>0</v>
      </c>
      <c r="Q20" s="165">
        <f t="shared" si="37"/>
        <v>0</v>
      </c>
      <c r="R20" s="166">
        <f>IFERROR(ROUND(SUM(L20:Q20)/R19,3),0)</f>
        <v>0</v>
      </c>
      <c r="S20" s="886"/>
      <c r="T20" s="168">
        <f t="shared" ref="T20:Y20" si="38">T$4*T19</f>
        <v>0</v>
      </c>
      <c r="U20" s="165">
        <f t="shared" si="38"/>
        <v>0</v>
      </c>
      <c r="V20" s="165">
        <f t="shared" si="38"/>
        <v>0</v>
      </c>
      <c r="W20" s="165">
        <f t="shared" si="38"/>
        <v>0</v>
      </c>
      <c r="X20" s="165">
        <f t="shared" si="38"/>
        <v>0</v>
      </c>
      <c r="Y20" s="165">
        <f t="shared" si="38"/>
        <v>0</v>
      </c>
      <c r="Z20" s="166">
        <f>IFERROR(ROUND(SUM(T20:Y20)/Z19,3),0)</f>
        <v>0</v>
      </c>
      <c r="AA20" s="886"/>
      <c r="AB20" s="167">
        <f t="shared" ref="AB20:AG20" si="39">AB$4*AB19</f>
        <v>0</v>
      </c>
      <c r="AC20" s="165">
        <f t="shared" si="39"/>
        <v>0</v>
      </c>
      <c r="AD20" s="165">
        <f t="shared" si="39"/>
        <v>0</v>
      </c>
      <c r="AE20" s="165">
        <f t="shared" si="39"/>
        <v>0</v>
      </c>
      <c r="AF20" s="165">
        <f t="shared" si="39"/>
        <v>0</v>
      </c>
      <c r="AG20" s="165">
        <f t="shared" si="39"/>
        <v>0</v>
      </c>
      <c r="AH20" s="166">
        <f>IFERROR(ROUND(SUM(AB20:AG20)/AH19,3),0)</f>
        <v>0</v>
      </c>
      <c r="AI20" s="886"/>
      <c r="AJ20" s="168">
        <f t="shared" ref="AJ20:AO20" si="40">AJ$4*AJ19</f>
        <v>0</v>
      </c>
      <c r="AK20" s="165">
        <f t="shared" si="40"/>
        <v>0</v>
      </c>
      <c r="AL20" s="165">
        <f t="shared" si="40"/>
        <v>0</v>
      </c>
      <c r="AM20" s="165">
        <f t="shared" si="40"/>
        <v>0</v>
      </c>
      <c r="AN20" s="165">
        <f t="shared" si="40"/>
        <v>0</v>
      </c>
      <c r="AO20" s="165">
        <f t="shared" si="40"/>
        <v>0</v>
      </c>
      <c r="AP20" s="166">
        <f>IFERROR(ROUND(SUM(AJ20:AO20)/AP19,3),0)</f>
        <v>0</v>
      </c>
      <c r="AQ20" s="886"/>
      <c r="AR20" s="167">
        <f t="shared" ref="AR20:AW20" si="41">AR$4*AR19</f>
        <v>0</v>
      </c>
      <c r="AS20" s="165">
        <f t="shared" si="41"/>
        <v>0</v>
      </c>
      <c r="AT20" s="165">
        <f t="shared" si="41"/>
        <v>0</v>
      </c>
      <c r="AU20" s="165">
        <f t="shared" si="41"/>
        <v>0</v>
      </c>
      <c r="AV20" s="165">
        <f t="shared" si="41"/>
        <v>0</v>
      </c>
      <c r="AW20" s="165">
        <f t="shared" si="41"/>
        <v>0</v>
      </c>
      <c r="AX20" s="165">
        <f>IFERROR(ROUND(SUM(AR20:AW20)/AX19,3),0)</f>
        <v>0</v>
      </c>
      <c r="AY20" s="886"/>
      <c r="BA20" s="879"/>
      <c r="BB20" s="146"/>
      <c r="BC20" s="169"/>
    </row>
    <row r="21" spans="2:55" ht="18.75" customHeight="1">
      <c r="B21" s="883" t="s">
        <v>151</v>
      </c>
      <c r="C21" s="159" t="s">
        <v>143</v>
      </c>
      <c r="D21" s="193"/>
      <c r="E21" s="193"/>
      <c r="F21" s="193"/>
      <c r="G21" s="193"/>
      <c r="H21" s="193"/>
      <c r="I21" s="193"/>
      <c r="J21" s="161">
        <f>SUM(D21:I21)</f>
        <v>0</v>
      </c>
      <c r="K21" s="885">
        <f>ROUND(J22/3*J21,2)</f>
        <v>0</v>
      </c>
      <c r="L21" s="193"/>
      <c r="M21" s="193"/>
      <c r="N21" s="193"/>
      <c r="O21" s="193"/>
      <c r="P21" s="193"/>
      <c r="Q21" s="193"/>
      <c r="R21" s="161">
        <f>SUM(L21:Q21)</f>
        <v>0</v>
      </c>
      <c r="S21" s="885">
        <f>ROUND(R22/5*R21,2)</f>
        <v>0</v>
      </c>
      <c r="T21" s="193"/>
      <c r="U21" s="193"/>
      <c r="V21" s="193"/>
      <c r="W21" s="193"/>
      <c r="X21" s="193"/>
      <c r="Y21" s="193"/>
      <c r="Z21" s="161">
        <f>SUM(T21:Y21)</f>
        <v>0</v>
      </c>
      <c r="AA21" s="885">
        <f>ROUND(Z22/6*Z21,2)</f>
        <v>0</v>
      </c>
      <c r="AB21" s="193"/>
      <c r="AC21" s="193"/>
      <c r="AD21" s="193"/>
      <c r="AE21" s="193"/>
      <c r="AF21" s="193"/>
      <c r="AG21" s="193"/>
      <c r="AH21" s="161">
        <f>SUM(AB21:AG21)</f>
        <v>0</v>
      </c>
      <c r="AI21" s="885">
        <f>ROUND(AH22/15*AH21,2)</f>
        <v>0</v>
      </c>
      <c r="AJ21" s="193"/>
      <c r="AK21" s="193"/>
      <c r="AL21" s="193"/>
      <c r="AM21" s="193"/>
      <c r="AN21" s="193"/>
      <c r="AO21" s="193"/>
      <c r="AP21" s="161">
        <f>SUM(AJ21:AO21)</f>
        <v>0</v>
      </c>
      <c r="AQ21" s="885">
        <f>ROUND(AP22/20*AP21,2)</f>
        <v>0</v>
      </c>
      <c r="AR21" s="193"/>
      <c r="AS21" s="193"/>
      <c r="AT21" s="193"/>
      <c r="AU21" s="193"/>
      <c r="AV21" s="193"/>
      <c r="AW21" s="193"/>
      <c r="AX21" s="181">
        <f>SUM(AR21:AW21)</f>
        <v>0</v>
      </c>
      <c r="AY21" s="885">
        <f>ROUND(AX22/25*AX21,2)</f>
        <v>0</v>
      </c>
      <c r="BA21" s="879">
        <f>ROUND(AY21+AQ21+AI21+AA21+S21+K21,1)</f>
        <v>0</v>
      </c>
      <c r="BB21" s="146" t="str">
        <f>IF(J21+R21=0,"×","○")</f>
        <v>×</v>
      </c>
      <c r="BC21" s="163">
        <f>SUM(J21,R21,Z21,AH21,AP21,AX21)</f>
        <v>0</v>
      </c>
    </row>
    <row r="22" spans="2:55" ht="18.75" customHeight="1">
      <c r="B22" s="888"/>
      <c r="C22" s="170" t="s">
        <v>144</v>
      </c>
      <c r="D22" s="165">
        <f t="shared" ref="D22:I22" si="42">D$4*D21</f>
        <v>0</v>
      </c>
      <c r="E22" s="165">
        <f t="shared" si="42"/>
        <v>0</v>
      </c>
      <c r="F22" s="165">
        <f t="shared" si="42"/>
        <v>0</v>
      </c>
      <c r="G22" s="165">
        <f t="shared" si="42"/>
        <v>0</v>
      </c>
      <c r="H22" s="165">
        <f t="shared" si="42"/>
        <v>0</v>
      </c>
      <c r="I22" s="165">
        <f t="shared" si="42"/>
        <v>0</v>
      </c>
      <c r="J22" s="166">
        <f>IFERROR(ROUND(SUM(D22:I22)/J21,3),0)</f>
        <v>0</v>
      </c>
      <c r="K22" s="886"/>
      <c r="L22" s="167">
        <f t="shared" ref="L22:Q22" si="43">L$4*L21</f>
        <v>0</v>
      </c>
      <c r="M22" s="165">
        <f t="shared" si="43"/>
        <v>0</v>
      </c>
      <c r="N22" s="165">
        <f t="shared" si="43"/>
        <v>0</v>
      </c>
      <c r="O22" s="165">
        <f t="shared" si="43"/>
        <v>0</v>
      </c>
      <c r="P22" s="165">
        <f t="shared" si="43"/>
        <v>0</v>
      </c>
      <c r="Q22" s="165">
        <f t="shared" si="43"/>
        <v>0</v>
      </c>
      <c r="R22" s="166">
        <f>IFERROR(ROUND(SUM(L22:Q22)/R21,3),0)</f>
        <v>0</v>
      </c>
      <c r="S22" s="886"/>
      <c r="T22" s="168">
        <f t="shared" ref="T22:Y22" si="44">T$4*T21</f>
        <v>0</v>
      </c>
      <c r="U22" s="165">
        <f t="shared" si="44"/>
        <v>0</v>
      </c>
      <c r="V22" s="165">
        <f t="shared" si="44"/>
        <v>0</v>
      </c>
      <c r="W22" s="165">
        <f t="shared" si="44"/>
        <v>0</v>
      </c>
      <c r="X22" s="165">
        <f t="shared" si="44"/>
        <v>0</v>
      </c>
      <c r="Y22" s="165">
        <f t="shared" si="44"/>
        <v>0</v>
      </c>
      <c r="Z22" s="166">
        <f>IFERROR(ROUND(SUM(T22:Y22)/Z21,3),0)</f>
        <v>0</v>
      </c>
      <c r="AA22" s="886"/>
      <c r="AB22" s="167">
        <f t="shared" ref="AB22:AG22" si="45">AB$4*AB21</f>
        <v>0</v>
      </c>
      <c r="AC22" s="165">
        <f t="shared" si="45"/>
        <v>0</v>
      </c>
      <c r="AD22" s="165">
        <f t="shared" si="45"/>
        <v>0</v>
      </c>
      <c r="AE22" s="165">
        <f t="shared" si="45"/>
        <v>0</v>
      </c>
      <c r="AF22" s="165">
        <f t="shared" si="45"/>
        <v>0</v>
      </c>
      <c r="AG22" s="165">
        <f t="shared" si="45"/>
        <v>0</v>
      </c>
      <c r="AH22" s="166">
        <f>IFERROR(ROUND(SUM(AB22:AG22)/AH21,3),0)</f>
        <v>0</v>
      </c>
      <c r="AI22" s="886"/>
      <c r="AJ22" s="168">
        <f t="shared" ref="AJ22:AO22" si="46">AJ$4*AJ21</f>
        <v>0</v>
      </c>
      <c r="AK22" s="165">
        <f t="shared" si="46"/>
        <v>0</v>
      </c>
      <c r="AL22" s="165">
        <f t="shared" si="46"/>
        <v>0</v>
      </c>
      <c r="AM22" s="165">
        <f t="shared" si="46"/>
        <v>0</v>
      </c>
      <c r="AN22" s="165">
        <f t="shared" si="46"/>
        <v>0</v>
      </c>
      <c r="AO22" s="165">
        <f t="shared" si="46"/>
        <v>0</v>
      </c>
      <c r="AP22" s="166">
        <f>IFERROR(ROUND(SUM(AJ22:AO22)/AP21,3),0)</f>
        <v>0</v>
      </c>
      <c r="AQ22" s="886"/>
      <c r="AR22" s="167">
        <f t="shared" ref="AR22:AW22" si="47">AR$4*AR21</f>
        <v>0</v>
      </c>
      <c r="AS22" s="165">
        <f t="shared" si="47"/>
        <v>0</v>
      </c>
      <c r="AT22" s="165">
        <f t="shared" si="47"/>
        <v>0</v>
      </c>
      <c r="AU22" s="165">
        <f t="shared" si="47"/>
        <v>0</v>
      </c>
      <c r="AV22" s="165">
        <f t="shared" si="47"/>
        <v>0</v>
      </c>
      <c r="AW22" s="165">
        <f t="shared" si="47"/>
        <v>0</v>
      </c>
      <c r="AX22" s="165">
        <f>IFERROR(ROUND(SUM(AR22:AW22)/AX21,3),0)</f>
        <v>0</v>
      </c>
      <c r="AY22" s="886"/>
      <c r="BA22" s="879"/>
      <c r="BB22" s="146"/>
      <c r="BC22" s="169"/>
    </row>
    <row r="23" spans="2:55" ht="18.75" customHeight="1">
      <c r="B23" s="883" t="s">
        <v>152</v>
      </c>
      <c r="C23" s="159" t="s">
        <v>143</v>
      </c>
      <c r="D23" s="193"/>
      <c r="E23" s="193"/>
      <c r="F23" s="193"/>
      <c r="G23" s="193"/>
      <c r="H23" s="193"/>
      <c r="I23" s="193"/>
      <c r="J23" s="160">
        <f>SUM(D23:I23)</f>
        <v>0</v>
      </c>
      <c r="K23" s="885">
        <f>ROUND(J24/3*J23,2)</f>
        <v>0</v>
      </c>
      <c r="L23" s="193"/>
      <c r="M23" s="193"/>
      <c r="N23" s="193"/>
      <c r="O23" s="193"/>
      <c r="P23" s="193"/>
      <c r="Q23" s="193"/>
      <c r="R23" s="160">
        <f>SUM(L23:Q23)</f>
        <v>0</v>
      </c>
      <c r="S23" s="885">
        <f>ROUND(R24/5*R23,2)</f>
        <v>0</v>
      </c>
      <c r="T23" s="193"/>
      <c r="U23" s="193"/>
      <c r="V23" s="193"/>
      <c r="W23" s="193"/>
      <c r="X23" s="193"/>
      <c r="Y23" s="193"/>
      <c r="Z23" s="160">
        <f>SUM(T23:Y23)</f>
        <v>0</v>
      </c>
      <c r="AA23" s="885">
        <f>ROUND(Z24/6*Z23,2)</f>
        <v>0</v>
      </c>
      <c r="AB23" s="193"/>
      <c r="AC23" s="193"/>
      <c r="AD23" s="193"/>
      <c r="AE23" s="193"/>
      <c r="AF23" s="193"/>
      <c r="AG23" s="193"/>
      <c r="AH23" s="160">
        <f>SUM(AB23:AG23)</f>
        <v>0</v>
      </c>
      <c r="AI23" s="885">
        <f>ROUND(AH24/15*AH23,2)</f>
        <v>0</v>
      </c>
      <c r="AJ23" s="193"/>
      <c r="AK23" s="193"/>
      <c r="AL23" s="193"/>
      <c r="AM23" s="193"/>
      <c r="AN23" s="193"/>
      <c r="AO23" s="193"/>
      <c r="AP23" s="160">
        <f>SUM(AJ23:AO23)</f>
        <v>0</v>
      </c>
      <c r="AQ23" s="885">
        <f>ROUND(AP24/20*AP23,2)</f>
        <v>0</v>
      </c>
      <c r="AR23" s="193"/>
      <c r="AS23" s="193"/>
      <c r="AT23" s="193"/>
      <c r="AU23" s="193"/>
      <c r="AV23" s="193"/>
      <c r="AW23" s="193"/>
      <c r="AX23" s="162">
        <f>SUM(AR23:AW23)</f>
        <v>0</v>
      </c>
      <c r="AY23" s="885">
        <f>ROUND(AX24/25*AX23,2)</f>
        <v>0</v>
      </c>
      <c r="BA23" s="879">
        <f>ROUND(AY23+AQ23+AI23+AA23+S23+K23,1)</f>
        <v>0</v>
      </c>
      <c r="BB23" s="146" t="str">
        <f>IF(J23+R23=0,"×","○")</f>
        <v>×</v>
      </c>
      <c r="BC23" s="163">
        <f>SUM(J23,R23,Z23,AH23,AP23,AX23)</f>
        <v>0</v>
      </c>
    </row>
    <row r="24" spans="2:55" ht="18.75" customHeight="1">
      <c r="B24" s="888"/>
      <c r="C24" s="170" t="s">
        <v>144</v>
      </c>
      <c r="D24" s="165">
        <f t="shared" ref="D24:I24" si="48">D$4*D23</f>
        <v>0</v>
      </c>
      <c r="E24" s="165">
        <f t="shared" si="48"/>
        <v>0</v>
      </c>
      <c r="F24" s="165">
        <f t="shared" si="48"/>
        <v>0</v>
      </c>
      <c r="G24" s="165">
        <f t="shared" si="48"/>
        <v>0</v>
      </c>
      <c r="H24" s="165">
        <f t="shared" si="48"/>
        <v>0</v>
      </c>
      <c r="I24" s="165">
        <f t="shared" si="48"/>
        <v>0</v>
      </c>
      <c r="J24" s="166">
        <f>IFERROR(ROUND(SUM(D24:I24)/J23,3),0)</f>
        <v>0</v>
      </c>
      <c r="K24" s="886"/>
      <c r="L24" s="167">
        <f t="shared" ref="L24:Q24" si="49">L$4*L23</f>
        <v>0</v>
      </c>
      <c r="M24" s="165">
        <f t="shared" si="49"/>
        <v>0</v>
      </c>
      <c r="N24" s="165">
        <f t="shared" si="49"/>
        <v>0</v>
      </c>
      <c r="O24" s="165">
        <f t="shared" si="49"/>
        <v>0</v>
      </c>
      <c r="P24" s="165">
        <f t="shared" si="49"/>
        <v>0</v>
      </c>
      <c r="Q24" s="165">
        <f t="shared" si="49"/>
        <v>0</v>
      </c>
      <c r="R24" s="166">
        <f>IFERROR(ROUND(SUM(L24:Q24)/R23,3),0)</f>
        <v>0</v>
      </c>
      <c r="S24" s="886"/>
      <c r="T24" s="168">
        <f t="shared" ref="T24:Y24" si="50">T$4*T23</f>
        <v>0</v>
      </c>
      <c r="U24" s="165">
        <f t="shared" si="50"/>
        <v>0</v>
      </c>
      <c r="V24" s="165">
        <f t="shared" si="50"/>
        <v>0</v>
      </c>
      <c r="W24" s="165">
        <f t="shared" si="50"/>
        <v>0</v>
      </c>
      <c r="X24" s="165">
        <f t="shared" si="50"/>
        <v>0</v>
      </c>
      <c r="Y24" s="165">
        <f t="shared" si="50"/>
        <v>0</v>
      </c>
      <c r="Z24" s="166">
        <f>IFERROR(ROUND(SUM(T24:Y24)/Z23,3),0)</f>
        <v>0</v>
      </c>
      <c r="AA24" s="886"/>
      <c r="AB24" s="167">
        <f t="shared" ref="AB24:AG24" si="51">AB$4*AB23</f>
        <v>0</v>
      </c>
      <c r="AC24" s="165">
        <f t="shared" si="51"/>
        <v>0</v>
      </c>
      <c r="AD24" s="165">
        <f t="shared" si="51"/>
        <v>0</v>
      </c>
      <c r="AE24" s="165">
        <f t="shared" si="51"/>
        <v>0</v>
      </c>
      <c r="AF24" s="165">
        <f t="shared" si="51"/>
        <v>0</v>
      </c>
      <c r="AG24" s="165">
        <f t="shared" si="51"/>
        <v>0</v>
      </c>
      <c r="AH24" s="166">
        <f>IFERROR(ROUND(SUM(AB24:AG24)/AH23,3),0)</f>
        <v>0</v>
      </c>
      <c r="AI24" s="886"/>
      <c r="AJ24" s="168">
        <f t="shared" ref="AJ24:AO24" si="52">AJ$4*AJ23</f>
        <v>0</v>
      </c>
      <c r="AK24" s="165">
        <f t="shared" si="52"/>
        <v>0</v>
      </c>
      <c r="AL24" s="165">
        <f t="shared" si="52"/>
        <v>0</v>
      </c>
      <c r="AM24" s="165">
        <f t="shared" si="52"/>
        <v>0</v>
      </c>
      <c r="AN24" s="165">
        <f t="shared" si="52"/>
        <v>0</v>
      </c>
      <c r="AO24" s="165">
        <f t="shared" si="52"/>
        <v>0</v>
      </c>
      <c r="AP24" s="166">
        <f>IFERROR(ROUND(SUM(AJ24:AO24)/AP23,3),0)</f>
        <v>0</v>
      </c>
      <c r="AQ24" s="886"/>
      <c r="AR24" s="167">
        <f t="shared" ref="AR24:AW24" si="53">AR$4*AR23</f>
        <v>0</v>
      </c>
      <c r="AS24" s="165">
        <f t="shared" si="53"/>
        <v>0</v>
      </c>
      <c r="AT24" s="165">
        <f t="shared" si="53"/>
        <v>0</v>
      </c>
      <c r="AU24" s="165">
        <f t="shared" si="53"/>
        <v>0</v>
      </c>
      <c r="AV24" s="165">
        <f t="shared" si="53"/>
        <v>0</v>
      </c>
      <c r="AW24" s="165">
        <f t="shared" si="53"/>
        <v>0</v>
      </c>
      <c r="AX24" s="165">
        <f>IFERROR(ROUND(SUM(AR24:AW24)/AX23,3),0)</f>
        <v>0</v>
      </c>
      <c r="AY24" s="886"/>
      <c r="BA24" s="879"/>
      <c r="BB24" s="146"/>
      <c r="BC24" s="169"/>
    </row>
    <row r="25" spans="2:55" ht="18.75" customHeight="1">
      <c r="B25" s="883" t="s">
        <v>153</v>
      </c>
      <c r="C25" s="159" t="s">
        <v>143</v>
      </c>
      <c r="D25" s="193"/>
      <c r="E25" s="193"/>
      <c r="F25" s="193"/>
      <c r="G25" s="193"/>
      <c r="H25" s="193"/>
      <c r="I25" s="193"/>
      <c r="J25" s="161">
        <f>SUM(D25:I25)</f>
        <v>0</v>
      </c>
      <c r="K25" s="885">
        <f>ROUND(J26/3*J25,2)</f>
        <v>0</v>
      </c>
      <c r="L25" s="193"/>
      <c r="M25" s="193"/>
      <c r="N25" s="193"/>
      <c r="O25" s="193"/>
      <c r="P25" s="193"/>
      <c r="Q25" s="193"/>
      <c r="R25" s="161">
        <f>SUM(L25:Q25)</f>
        <v>0</v>
      </c>
      <c r="S25" s="885">
        <f>ROUND(R26/5*R25,2)</f>
        <v>0</v>
      </c>
      <c r="T25" s="193"/>
      <c r="U25" s="193"/>
      <c r="V25" s="193"/>
      <c r="W25" s="193"/>
      <c r="X25" s="193"/>
      <c r="Y25" s="193"/>
      <c r="Z25" s="161">
        <f>SUM(T25:Y25)</f>
        <v>0</v>
      </c>
      <c r="AA25" s="885">
        <f>ROUND(Z26/6*Z25,2)</f>
        <v>0</v>
      </c>
      <c r="AB25" s="193"/>
      <c r="AC25" s="193"/>
      <c r="AD25" s="193"/>
      <c r="AE25" s="193"/>
      <c r="AF25" s="193"/>
      <c r="AG25" s="193"/>
      <c r="AH25" s="161">
        <f>SUM(AB25:AG25)</f>
        <v>0</v>
      </c>
      <c r="AI25" s="885">
        <f>ROUND(AH26/15*AH25,2)</f>
        <v>0</v>
      </c>
      <c r="AJ25" s="193"/>
      <c r="AK25" s="193"/>
      <c r="AL25" s="193"/>
      <c r="AM25" s="193"/>
      <c r="AN25" s="193"/>
      <c r="AO25" s="193"/>
      <c r="AP25" s="161">
        <f>SUM(AJ25:AO25)</f>
        <v>0</v>
      </c>
      <c r="AQ25" s="885">
        <f>ROUND(AP26/20*AP25,2)</f>
        <v>0</v>
      </c>
      <c r="AR25" s="193"/>
      <c r="AS25" s="193"/>
      <c r="AT25" s="193"/>
      <c r="AU25" s="193"/>
      <c r="AV25" s="193"/>
      <c r="AW25" s="193"/>
      <c r="AX25" s="181">
        <f>SUM(AR25:AW25)</f>
        <v>0</v>
      </c>
      <c r="AY25" s="885">
        <f>ROUND(AX26/25*AX25,2)</f>
        <v>0</v>
      </c>
      <c r="BA25" s="879">
        <f>ROUND(AY25+AQ25+AI25+AA25+S25+K25,1)</f>
        <v>0</v>
      </c>
      <c r="BB25" s="146" t="str">
        <f>IF(J25+R25=0,"×","○")</f>
        <v>×</v>
      </c>
      <c r="BC25" s="163">
        <f>SUM(J25,R25,Z25,AH25,AP25,AX25)</f>
        <v>0</v>
      </c>
    </row>
    <row r="26" spans="2:55" ht="18.75" customHeight="1">
      <c r="B26" s="888"/>
      <c r="C26" s="170" t="s">
        <v>144</v>
      </c>
      <c r="D26" s="165">
        <f t="shared" ref="D26:I26" si="54">D$4*D25</f>
        <v>0</v>
      </c>
      <c r="E26" s="165">
        <f t="shared" si="54"/>
        <v>0</v>
      </c>
      <c r="F26" s="165">
        <f t="shared" si="54"/>
        <v>0</v>
      </c>
      <c r="G26" s="165">
        <f t="shared" si="54"/>
        <v>0</v>
      </c>
      <c r="H26" s="165">
        <f t="shared" si="54"/>
        <v>0</v>
      </c>
      <c r="I26" s="165">
        <f t="shared" si="54"/>
        <v>0</v>
      </c>
      <c r="J26" s="166">
        <f>IFERROR(ROUND(SUM(D26:I26)/J25,3),0)</f>
        <v>0</v>
      </c>
      <c r="K26" s="886"/>
      <c r="L26" s="167">
        <f t="shared" ref="L26:Q26" si="55">L$4*L25</f>
        <v>0</v>
      </c>
      <c r="M26" s="165">
        <f t="shared" si="55"/>
        <v>0</v>
      </c>
      <c r="N26" s="165">
        <f t="shared" si="55"/>
        <v>0</v>
      </c>
      <c r="O26" s="165">
        <f t="shared" si="55"/>
        <v>0</v>
      </c>
      <c r="P26" s="165">
        <f t="shared" si="55"/>
        <v>0</v>
      </c>
      <c r="Q26" s="165">
        <f t="shared" si="55"/>
        <v>0</v>
      </c>
      <c r="R26" s="166">
        <f>IFERROR(ROUND(SUM(L26:Q26)/R25,3),0)</f>
        <v>0</v>
      </c>
      <c r="S26" s="886"/>
      <c r="T26" s="168">
        <f t="shared" ref="T26:Y26" si="56">T$4*T25</f>
        <v>0</v>
      </c>
      <c r="U26" s="165">
        <f t="shared" si="56"/>
        <v>0</v>
      </c>
      <c r="V26" s="165">
        <f t="shared" si="56"/>
        <v>0</v>
      </c>
      <c r="W26" s="165">
        <f t="shared" si="56"/>
        <v>0</v>
      </c>
      <c r="X26" s="165">
        <f t="shared" si="56"/>
        <v>0</v>
      </c>
      <c r="Y26" s="165">
        <f t="shared" si="56"/>
        <v>0</v>
      </c>
      <c r="Z26" s="166">
        <f>IFERROR(ROUND(SUM(T26:Y26)/Z25,3),0)</f>
        <v>0</v>
      </c>
      <c r="AA26" s="886"/>
      <c r="AB26" s="167">
        <f t="shared" ref="AB26:AG26" si="57">AB$4*AB25</f>
        <v>0</v>
      </c>
      <c r="AC26" s="165">
        <f t="shared" si="57"/>
        <v>0</v>
      </c>
      <c r="AD26" s="165">
        <f t="shared" si="57"/>
        <v>0</v>
      </c>
      <c r="AE26" s="165">
        <f t="shared" si="57"/>
        <v>0</v>
      </c>
      <c r="AF26" s="165">
        <f t="shared" si="57"/>
        <v>0</v>
      </c>
      <c r="AG26" s="165">
        <f t="shared" si="57"/>
        <v>0</v>
      </c>
      <c r="AH26" s="166">
        <f>IFERROR(ROUND(SUM(AB26:AG26)/AH25,3),0)</f>
        <v>0</v>
      </c>
      <c r="AI26" s="886"/>
      <c r="AJ26" s="168">
        <f t="shared" ref="AJ26:AO26" si="58">AJ$4*AJ25</f>
        <v>0</v>
      </c>
      <c r="AK26" s="165">
        <f t="shared" si="58"/>
        <v>0</v>
      </c>
      <c r="AL26" s="165">
        <f t="shared" si="58"/>
        <v>0</v>
      </c>
      <c r="AM26" s="165">
        <f t="shared" si="58"/>
        <v>0</v>
      </c>
      <c r="AN26" s="165">
        <f t="shared" si="58"/>
        <v>0</v>
      </c>
      <c r="AO26" s="165">
        <f t="shared" si="58"/>
        <v>0</v>
      </c>
      <c r="AP26" s="166">
        <f>IFERROR(ROUND(SUM(AJ26:AO26)/AP25,3),0)</f>
        <v>0</v>
      </c>
      <c r="AQ26" s="886"/>
      <c r="AR26" s="167">
        <f t="shared" ref="AR26:AW26" si="59">AR$4*AR25</f>
        <v>0</v>
      </c>
      <c r="AS26" s="165">
        <f t="shared" si="59"/>
        <v>0</v>
      </c>
      <c r="AT26" s="165">
        <f t="shared" si="59"/>
        <v>0</v>
      </c>
      <c r="AU26" s="165">
        <f t="shared" si="59"/>
        <v>0</v>
      </c>
      <c r="AV26" s="165">
        <f t="shared" si="59"/>
        <v>0</v>
      </c>
      <c r="AW26" s="165">
        <f t="shared" si="59"/>
        <v>0</v>
      </c>
      <c r="AX26" s="165">
        <f>IFERROR(ROUND(SUM(AR26:AW26)/AX25,3),0)</f>
        <v>0</v>
      </c>
      <c r="AY26" s="886"/>
      <c r="BA26" s="879"/>
      <c r="BB26" s="146"/>
      <c r="BC26" s="169"/>
    </row>
    <row r="27" spans="2:55" ht="18.75" customHeight="1">
      <c r="B27" s="883" t="s">
        <v>15</v>
      </c>
      <c r="C27" s="159" t="s">
        <v>143</v>
      </c>
      <c r="D27" s="193"/>
      <c r="E27" s="193"/>
      <c r="F27" s="193"/>
      <c r="G27" s="193"/>
      <c r="H27" s="193"/>
      <c r="I27" s="193"/>
      <c r="J27" s="160">
        <f>SUM(D27:I27)</f>
        <v>0</v>
      </c>
      <c r="K27" s="885">
        <f>ROUND(J28/3*J27,2)</f>
        <v>0</v>
      </c>
      <c r="L27" s="193"/>
      <c r="M27" s="193"/>
      <c r="N27" s="193"/>
      <c r="O27" s="193"/>
      <c r="P27" s="193"/>
      <c r="Q27" s="193"/>
      <c r="R27" s="160">
        <f>SUM(L27:Q27)</f>
        <v>0</v>
      </c>
      <c r="S27" s="885">
        <f>ROUND(R28/5*R27,2)</f>
        <v>0</v>
      </c>
      <c r="T27" s="193"/>
      <c r="U27" s="193"/>
      <c r="V27" s="193"/>
      <c r="W27" s="193"/>
      <c r="X27" s="193"/>
      <c r="Y27" s="193"/>
      <c r="Z27" s="160">
        <f>SUM(T27:Y27)</f>
        <v>0</v>
      </c>
      <c r="AA27" s="885">
        <f>ROUND(Z28/6*Z27,2)</f>
        <v>0</v>
      </c>
      <c r="AB27" s="193"/>
      <c r="AC27" s="193"/>
      <c r="AD27" s="193"/>
      <c r="AE27" s="193"/>
      <c r="AF27" s="193"/>
      <c r="AG27" s="193"/>
      <c r="AH27" s="160">
        <f>SUM(AB27:AG27)</f>
        <v>0</v>
      </c>
      <c r="AI27" s="885">
        <f>ROUND(AH28/15*AH27,2)</f>
        <v>0</v>
      </c>
      <c r="AJ27" s="193"/>
      <c r="AK27" s="193"/>
      <c r="AL27" s="193"/>
      <c r="AM27" s="193"/>
      <c r="AN27" s="193"/>
      <c r="AO27" s="193"/>
      <c r="AP27" s="160">
        <f>SUM(AJ27:AO27)</f>
        <v>0</v>
      </c>
      <c r="AQ27" s="885">
        <f>ROUND(AP28/20*AP27,2)</f>
        <v>0</v>
      </c>
      <c r="AR27" s="193"/>
      <c r="AS27" s="193"/>
      <c r="AT27" s="193"/>
      <c r="AU27" s="193"/>
      <c r="AV27" s="193"/>
      <c r="AW27" s="193"/>
      <c r="AX27" s="162">
        <f>SUM(AR27:AW27)</f>
        <v>0</v>
      </c>
      <c r="AY27" s="885">
        <f>ROUND(AX28/25*AX27,2)</f>
        <v>0</v>
      </c>
      <c r="BA27" s="879">
        <f>ROUND(AY27+AQ27+AI27+AA27+S27+K27,1)</f>
        <v>0</v>
      </c>
      <c r="BB27" s="146" t="str">
        <f>IF(J27+R27=0,"×","○")</f>
        <v>×</v>
      </c>
      <c r="BC27" s="163">
        <f>SUM(J27,R27,Z27,AH27,AP27,AX27)</f>
        <v>0</v>
      </c>
    </row>
    <row r="28" spans="2:55" ht="18.75" customHeight="1">
      <c r="B28" s="888"/>
      <c r="C28" s="170" t="s">
        <v>144</v>
      </c>
      <c r="D28" s="165">
        <f t="shared" ref="D28:I28" si="60">D$4*D27</f>
        <v>0</v>
      </c>
      <c r="E28" s="165">
        <f t="shared" si="60"/>
        <v>0</v>
      </c>
      <c r="F28" s="165">
        <f t="shared" si="60"/>
        <v>0</v>
      </c>
      <c r="G28" s="165">
        <f t="shared" si="60"/>
        <v>0</v>
      </c>
      <c r="H28" s="165">
        <f t="shared" si="60"/>
        <v>0</v>
      </c>
      <c r="I28" s="165">
        <f t="shared" si="60"/>
        <v>0</v>
      </c>
      <c r="J28" s="166">
        <f>IFERROR(ROUND(SUM(D28:I28)/J27,3),0)</f>
        <v>0</v>
      </c>
      <c r="K28" s="886"/>
      <c r="L28" s="167">
        <f t="shared" ref="L28:Q28" si="61">L$4*L27</f>
        <v>0</v>
      </c>
      <c r="M28" s="165">
        <f t="shared" si="61"/>
        <v>0</v>
      </c>
      <c r="N28" s="165">
        <f t="shared" si="61"/>
        <v>0</v>
      </c>
      <c r="O28" s="165">
        <f t="shared" si="61"/>
        <v>0</v>
      </c>
      <c r="P28" s="165">
        <f t="shared" si="61"/>
        <v>0</v>
      </c>
      <c r="Q28" s="165">
        <f t="shared" si="61"/>
        <v>0</v>
      </c>
      <c r="R28" s="166">
        <f>IFERROR(ROUND(SUM(L28:Q28)/R27,3),0)</f>
        <v>0</v>
      </c>
      <c r="S28" s="886"/>
      <c r="T28" s="168">
        <f t="shared" ref="T28:Y28" si="62">T$4*T27</f>
        <v>0</v>
      </c>
      <c r="U28" s="165">
        <f t="shared" si="62"/>
        <v>0</v>
      </c>
      <c r="V28" s="165">
        <f t="shared" si="62"/>
        <v>0</v>
      </c>
      <c r="W28" s="165">
        <f t="shared" si="62"/>
        <v>0</v>
      </c>
      <c r="X28" s="165">
        <f t="shared" si="62"/>
        <v>0</v>
      </c>
      <c r="Y28" s="165">
        <f t="shared" si="62"/>
        <v>0</v>
      </c>
      <c r="Z28" s="166">
        <f>IFERROR(ROUND(SUM(T28:Y28)/Z27,3),0)</f>
        <v>0</v>
      </c>
      <c r="AA28" s="886"/>
      <c r="AB28" s="167">
        <f t="shared" ref="AB28:AG28" si="63">AB$4*AB27</f>
        <v>0</v>
      </c>
      <c r="AC28" s="165">
        <f t="shared" si="63"/>
        <v>0</v>
      </c>
      <c r="AD28" s="165">
        <f t="shared" si="63"/>
        <v>0</v>
      </c>
      <c r="AE28" s="165">
        <f t="shared" si="63"/>
        <v>0</v>
      </c>
      <c r="AF28" s="165">
        <f t="shared" si="63"/>
        <v>0</v>
      </c>
      <c r="AG28" s="165">
        <f t="shared" si="63"/>
        <v>0</v>
      </c>
      <c r="AH28" s="166">
        <f>IFERROR(ROUND(SUM(AB28:AG28)/AH27,3),0)</f>
        <v>0</v>
      </c>
      <c r="AI28" s="886"/>
      <c r="AJ28" s="168">
        <f t="shared" ref="AJ28:AO28" si="64">AJ$4*AJ27</f>
        <v>0</v>
      </c>
      <c r="AK28" s="165">
        <f t="shared" si="64"/>
        <v>0</v>
      </c>
      <c r="AL28" s="165">
        <f t="shared" si="64"/>
        <v>0</v>
      </c>
      <c r="AM28" s="165">
        <f t="shared" si="64"/>
        <v>0</v>
      </c>
      <c r="AN28" s="165">
        <f t="shared" si="64"/>
        <v>0</v>
      </c>
      <c r="AO28" s="165">
        <f t="shared" si="64"/>
        <v>0</v>
      </c>
      <c r="AP28" s="166">
        <f>IFERROR(ROUND(SUM(AJ28:AO28)/AP27,3),0)</f>
        <v>0</v>
      </c>
      <c r="AQ28" s="886"/>
      <c r="AR28" s="167">
        <f t="shared" ref="AR28:AW28" si="65">AR$4*AR27</f>
        <v>0</v>
      </c>
      <c r="AS28" s="165">
        <f t="shared" si="65"/>
        <v>0</v>
      </c>
      <c r="AT28" s="165">
        <f t="shared" si="65"/>
        <v>0</v>
      </c>
      <c r="AU28" s="165">
        <f t="shared" si="65"/>
        <v>0</v>
      </c>
      <c r="AV28" s="165">
        <f t="shared" si="65"/>
        <v>0</v>
      </c>
      <c r="AW28" s="165">
        <f t="shared" si="65"/>
        <v>0</v>
      </c>
      <c r="AX28" s="165">
        <f>IFERROR(ROUND(SUM(AR28:AW28)/AX27,3),0)</f>
        <v>0</v>
      </c>
      <c r="AY28" s="886"/>
      <c r="BA28" s="879"/>
      <c r="BB28" s="146"/>
      <c r="BC28" s="169"/>
    </row>
    <row r="29" spans="2:55" ht="18.75" customHeight="1">
      <c r="B29" s="883" t="s">
        <v>154</v>
      </c>
      <c r="C29" s="195" t="s">
        <v>143</v>
      </c>
      <c r="D29" s="193"/>
      <c r="E29" s="193"/>
      <c r="F29" s="193"/>
      <c r="G29" s="193"/>
      <c r="H29" s="193"/>
      <c r="I29" s="193"/>
      <c r="J29" s="161">
        <f>SUM(D29:I29)</f>
        <v>0</v>
      </c>
      <c r="K29" s="885">
        <f>ROUND(J30/3*J29,2)</f>
        <v>0</v>
      </c>
      <c r="L29" s="193"/>
      <c r="M29" s="193"/>
      <c r="N29" s="193"/>
      <c r="O29" s="193"/>
      <c r="P29" s="193"/>
      <c r="Q29" s="193"/>
      <c r="R29" s="161">
        <f>SUM(L29:Q29)</f>
        <v>0</v>
      </c>
      <c r="S29" s="885">
        <f>ROUND(R30/5*R29,2)</f>
        <v>0</v>
      </c>
      <c r="T29" s="193"/>
      <c r="U29" s="193"/>
      <c r="V29" s="193"/>
      <c r="W29" s="193"/>
      <c r="X29" s="193"/>
      <c r="Y29" s="193"/>
      <c r="Z29" s="161">
        <f>SUM(T29:Y29)</f>
        <v>0</v>
      </c>
      <c r="AA29" s="885">
        <f>ROUND(Z30/6*Z29,2)</f>
        <v>0</v>
      </c>
      <c r="AB29" s="193"/>
      <c r="AC29" s="193"/>
      <c r="AD29" s="193"/>
      <c r="AE29" s="193"/>
      <c r="AF29" s="193"/>
      <c r="AG29" s="193"/>
      <c r="AH29" s="161">
        <f>SUM(AB29:AG29)</f>
        <v>0</v>
      </c>
      <c r="AI29" s="885">
        <f>ROUND(AH30/15*AH29,2)</f>
        <v>0</v>
      </c>
      <c r="AJ29" s="193"/>
      <c r="AK29" s="193"/>
      <c r="AL29" s="193"/>
      <c r="AM29" s="193"/>
      <c r="AN29" s="193"/>
      <c r="AO29" s="193"/>
      <c r="AP29" s="161">
        <f>SUM(AJ29:AO29)</f>
        <v>0</v>
      </c>
      <c r="AQ29" s="885">
        <f>ROUND(AP30/20*AP29,2)</f>
        <v>0</v>
      </c>
      <c r="AR29" s="193"/>
      <c r="AS29" s="193"/>
      <c r="AT29" s="193"/>
      <c r="AU29" s="193"/>
      <c r="AV29" s="193"/>
      <c r="AW29" s="193"/>
      <c r="AX29" s="181">
        <f>SUM(AR29:AW29)</f>
        <v>0</v>
      </c>
      <c r="AY29" s="885">
        <f>ROUND(AX30/25*AX29,2)</f>
        <v>0</v>
      </c>
      <c r="BA29" s="879">
        <f>ROUND(AY29+AQ29+AI29+AA29+S29+K29,1)</f>
        <v>0</v>
      </c>
      <c r="BB29" s="146" t="str">
        <f>IF(J29+R29=0,"×","○")</f>
        <v>×</v>
      </c>
      <c r="BC29" s="163">
        <f>SUM(J29,R29,Z29,AH29,AP29,AX29)</f>
        <v>0</v>
      </c>
    </row>
    <row r="30" spans="2:55" ht="18.75" customHeight="1" thickBot="1">
      <c r="B30" s="884"/>
      <c r="C30" s="171" t="s">
        <v>144</v>
      </c>
      <c r="D30" s="172">
        <f t="shared" ref="D30:I30" si="66">D$4*D29</f>
        <v>0</v>
      </c>
      <c r="E30" s="172">
        <f t="shared" si="66"/>
        <v>0</v>
      </c>
      <c r="F30" s="172">
        <f t="shared" si="66"/>
        <v>0</v>
      </c>
      <c r="G30" s="172">
        <f t="shared" si="66"/>
        <v>0</v>
      </c>
      <c r="H30" s="172">
        <f t="shared" si="66"/>
        <v>0</v>
      </c>
      <c r="I30" s="172">
        <f t="shared" si="66"/>
        <v>0</v>
      </c>
      <c r="J30" s="173">
        <f>IFERROR(ROUND(SUM(D30:I30)/J29,3),0)</f>
        <v>0</v>
      </c>
      <c r="K30" s="886"/>
      <c r="L30" s="174">
        <f t="shared" ref="L30:Q30" si="67">L$4*L29</f>
        <v>0</v>
      </c>
      <c r="M30" s="172">
        <f t="shared" si="67"/>
        <v>0</v>
      </c>
      <c r="N30" s="172">
        <f t="shared" si="67"/>
        <v>0</v>
      </c>
      <c r="O30" s="172">
        <f t="shared" si="67"/>
        <v>0</v>
      </c>
      <c r="P30" s="172">
        <f t="shared" si="67"/>
        <v>0</v>
      </c>
      <c r="Q30" s="172">
        <f t="shared" si="67"/>
        <v>0</v>
      </c>
      <c r="R30" s="173">
        <f>IFERROR(ROUND(SUM(L30:Q30)/R29,3),0)</f>
        <v>0</v>
      </c>
      <c r="S30" s="886"/>
      <c r="T30" s="175">
        <f t="shared" ref="T30:Y30" si="68">T$4*T29</f>
        <v>0</v>
      </c>
      <c r="U30" s="172">
        <f t="shared" si="68"/>
        <v>0</v>
      </c>
      <c r="V30" s="172">
        <f t="shared" si="68"/>
        <v>0</v>
      </c>
      <c r="W30" s="172">
        <f t="shared" si="68"/>
        <v>0</v>
      </c>
      <c r="X30" s="172">
        <f t="shared" si="68"/>
        <v>0</v>
      </c>
      <c r="Y30" s="172">
        <f t="shared" si="68"/>
        <v>0</v>
      </c>
      <c r="Z30" s="173">
        <f>IFERROR(ROUND(SUM(T30:Y30)/Z29,3),0)</f>
        <v>0</v>
      </c>
      <c r="AA30" s="886"/>
      <c r="AB30" s="174">
        <f t="shared" ref="AB30:AG30" si="69">AB$4*AB29</f>
        <v>0</v>
      </c>
      <c r="AC30" s="172">
        <f t="shared" si="69"/>
        <v>0</v>
      </c>
      <c r="AD30" s="172">
        <f t="shared" si="69"/>
        <v>0</v>
      </c>
      <c r="AE30" s="172">
        <f t="shared" si="69"/>
        <v>0</v>
      </c>
      <c r="AF30" s="172">
        <f t="shared" si="69"/>
        <v>0</v>
      </c>
      <c r="AG30" s="172">
        <f t="shared" si="69"/>
        <v>0</v>
      </c>
      <c r="AH30" s="173">
        <f>IFERROR(ROUND(SUM(AB30:AG30)/AH29,3),0)</f>
        <v>0</v>
      </c>
      <c r="AI30" s="886"/>
      <c r="AJ30" s="175">
        <f t="shared" ref="AJ30:AO30" si="70">AJ$4*AJ29</f>
        <v>0</v>
      </c>
      <c r="AK30" s="172">
        <f t="shared" si="70"/>
        <v>0</v>
      </c>
      <c r="AL30" s="172">
        <f t="shared" si="70"/>
        <v>0</v>
      </c>
      <c r="AM30" s="172">
        <f t="shared" si="70"/>
        <v>0</v>
      </c>
      <c r="AN30" s="172">
        <f t="shared" si="70"/>
        <v>0</v>
      </c>
      <c r="AO30" s="172">
        <f t="shared" si="70"/>
        <v>0</v>
      </c>
      <c r="AP30" s="173">
        <f>IFERROR(ROUND(SUM(AJ30:AO30)/AP29,3),0)</f>
        <v>0</v>
      </c>
      <c r="AQ30" s="886"/>
      <c r="AR30" s="174">
        <f t="shared" ref="AR30:AW30" si="71">AR$4*AR29</f>
        <v>0</v>
      </c>
      <c r="AS30" s="172">
        <f t="shared" si="71"/>
        <v>0</v>
      </c>
      <c r="AT30" s="172">
        <f t="shared" si="71"/>
        <v>0</v>
      </c>
      <c r="AU30" s="172">
        <f t="shared" si="71"/>
        <v>0</v>
      </c>
      <c r="AV30" s="172">
        <f t="shared" si="71"/>
        <v>0</v>
      </c>
      <c r="AW30" s="172">
        <f t="shared" si="71"/>
        <v>0</v>
      </c>
      <c r="AX30" s="182">
        <f>IFERROR(ROUND(SUM(AR30:AW30)/AX29,3),0)</f>
        <v>0</v>
      </c>
      <c r="AY30" s="886"/>
      <c r="BA30" s="879"/>
    </row>
    <row r="31" spans="2:55" ht="20.25" customHeight="1">
      <c r="B31" s="880" t="s">
        <v>155</v>
      </c>
      <c r="C31" s="195" t="s">
        <v>143</v>
      </c>
      <c r="D31" s="226">
        <f>ROUND(SUM(D7,D9,D11,D13,D15,D17,D19,D21,D23,D25,D27,D29)/12,0)</f>
        <v>0</v>
      </c>
      <c r="E31" s="227">
        <f>ROUND(SUM(E7,E9,E11,E13,E15,E17,E19,E21,E23,E25,E27,E29)/12,0)</f>
        <v>0</v>
      </c>
      <c r="F31" s="227">
        <f t="shared" ref="F31:H31" si="72">ROUND(SUM(F7,F9,F11,F13,F15,F17,F19,F21,F23,F25,F27,F29)/12,0)</f>
        <v>0</v>
      </c>
      <c r="G31" s="227">
        <f t="shared" si="72"/>
        <v>0</v>
      </c>
      <c r="H31" s="227">
        <f t="shared" si="72"/>
        <v>0</v>
      </c>
      <c r="I31" s="227">
        <f>ROUND(SUM(I7,I9,I11,I13,I15,I17,I19,I21,I23,I25,I27,I29)/12,0)</f>
        <v>0</v>
      </c>
      <c r="J31" s="227">
        <f>SUM(D31:I31)</f>
        <v>0</v>
      </c>
      <c r="K31" s="885">
        <f>ROUND(J32/3*J31,2)</f>
        <v>0</v>
      </c>
      <c r="L31" s="226">
        <f t="shared" ref="L31:Q31" si="73">ROUND(SUM(L7,L9,L11,L13,L15,L17,L19,L21,L23,L25,L27,L29)/12,0)</f>
        <v>0</v>
      </c>
      <c r="M31" s="227">
        <f t="shared" si="73"/>
        <v>0</v>
      </c>
      <c r="N31" s="227">
        <f t="shared" si="73"/>
        <v>0</v>
      </c>
      <c r="O31" s="227">
        <f t="shared" si="73"/>
        <v>0</v>
      </c>
      <c r="P31" s="227">
        <f t="shared" si="73"/>
        <v>0</v>
      </c>
      <c r="Q31" s="227">
        <f t="shared" si="73"/>
        <v>0</v>
      </c>
      <c r="R31" s="227">
        <f>SUM(L31:Q31)</f>
        <v>0</v>
      </c>
      <c r="S31" s="885">
        <f>ROUND(R32/5*R31,2)</f>
        <v>0</v>
      </c>
      <c r="T31" s="226">
        <f>ROUND(SUM(T7,T9,T11,T13,T15,T17,T19,T21,T23,T25,T27,T29)/12,0)</f>
        <v>0</v>
      </c>
      <c r="U31" s="227">
        <f>ROUND(SUM(U7,U9,U11,U13,U15,U17,U19,U21,U23,U25,U27,U29)/12,0)</f>
        <v>0</v>
      </c>
      <c r="V31" s="227">
        <f t="shared" ref="V31:Y31" si="74">ROUND(SUM(V7,V9,V11,V13,V15,V17,V19,V21,V23,V25,V27,V29)/12,0)</f>
        <v>0</v>
      </c>
      <c r="W31" s="227">
        <f t="shared" si="74"/>
        <v>0</v>
      </c>
      <c r="X31" s="227">
        <f t="shared" si="74"/>
        <v>0</v>
      </c>
      <c r="Y31" s="227">
        <f t="shared" si="74"/>
        <v>0</v>
      </c>
      <c r="Z31" s="227">
        <f>SUM(T31:Y31)</f>
        <v>0</v>
      </c>
      <c r="AA31" s="885">
        <f>ROUND(Z32/6*Z31,2)</f>
        <v>0</v>
      </c>
      <c r="AB31" s="226">
        <f>ROUND(SUM(AB7,AB9,AB11,AB13,AB15,AB17,AB19,AB21,AB23,AB25,AB27,AB29)/12,0)</f>
        <v>0</v>
      </c>
      <c r="AC31" s="227">
        <f>ROUND(SUM(AC7,AC9,AC11,AC13,AC15,AC17,AC19,AC21,AC23,AC25,AC27,AC29)/12,0)</f>
        <v>0</v>
      </c>
      <c r="AD31" s="227">
        <f t="shared" ref="AD31:AG31" si="75">ROUND(SUM(AD7,AD9,AD11,AD13,AD15,AD17,AD19,AD21,AD23,AD25,AD27,AD29)/12,0)</f>
        <v>0</v>
      </c>
      <c r="AE31" s="227">
        <f t="shared" si="75"/>
        <v>0</v>
      </c>
      <c r="AF31" s="227">
        <f t="shared" si="75"/>
        <v>0</v>
      </c>
      <c r="AG31" s="227">
        <f t="shared" si="75"/>
        <v>0</v>
      </c>
      <c r="AH31" s="227">
        <f>SUM(AB31:AG31)</f>
        <v>0</v>
      </c>
      <c r="AI31" s="885">
        <f>ROUND(AH32/15*AH31,2)</f>
        <v>0</v>
      </c>
      <c r="AJ31" s="226">
        <f>ROUND(SUM(AJ7,AJ9,AJ11,AJ13,AJ15,AJ17,AJ19,AJ21,AJ23,AJ25,AJ27,AJ29)/12,0)</f>
        <v>0</v>
      </c>
      <c r="AK31" s="227">
        <f>ROUND(SUM(AK7,AK9,AK11,AK13,AK15,AK17,AK19,AK21,AK23,AK25,AK27,AK29)/12,0)</f>
        <v>0</v>
      </c>
      <c r="AL31" s="227">
        <f>ROUND(SUM(AL7,AL9,AL11,AL13,AL15,AL17,AL19,AL21,AL23,AL25,AL27,AL29)/12,0)</f>
        <v>0</v>
      </c>
      <c r="AM31" s="227">
        <f t="shared" ref="AM31:AO31" si="76">ROUND(SUM(AM7,AM9,AM11,AM13,AM15,AM17,AM19,AM21,AM23,AM25,AM27,AM29)/12,0)</f>
        <v>0</v>
      </c>
      <c r="AN31" s="227">
        <f t="shared" si="76"/>
        <v>0</v>
      </c>
      <c r="AO31" s="227">
        <f t="shared" si="76"/>
        <v>0</v>
      </c>
      <c r="AP31" s="227">
        <f>SUM(AJ31:AO31)</f>
        <v>0</v>
      </c>
      <c r="AQ31" s="885">
        <f>ROUND(AP32/20*AP31,2)</f>
        <v>0</v>
      </c>
      <c r="AR31" s="226">
        <f>ROUND(SUM(AR7,AR9,AR11,AR13,AR15,AR17,AR19,AR21,AR23,AR25,AR27,AR29)/12,0)</f>
        <v>0</v>
      </c>
      <c r="AS31" s="227">
        <f>ROUND(SUM(AS7,AS9,AS11,AS13,AS15,AS17,AS19,AS21,AS23,AS25,AS27,AS29)/12,0)</f>
        <v>0</v>
      </c>
      <c r="AT31" s="227">
        <f t="shared" ref="AT31:AW31" si="77">ROUND(SUM(AT7,AT9,AT11,AT13,AT15,AT17,AT19,AT21,AT23,AT25,AT27,AT29)/12,0)</f>
        <v>0</v>
      </c>
      <c r="AU31" s="227">
        <f t="shared" si="77"/>
        <v>0</v>
      </c>
      <c r="AV31" s="227">
        <f t="shared" si="77"/>
        <v>0</v>
      </c>
      <c r="AW31" s="227">
        <f t="shared" si="77"/>
        <v>0</v>
      </c>
      <c r="AX31" s="227">
        <f>SUM(AR31:AW31)</f>
        <v>0</v>
      </c>
      <c r="AY31" s="885">
        <f>ROUND(AX32/25*AX31,2)</f>
        <v>0</v>
      </c>
      <c r="BA31" s="879">
        <f>ROUND(AY31+AQ31+AI31+AA31+S31+K31,1)</f>
        <v>0</v>
      </c>
      <c r="BB31" s="200" t="str">
        <f>IF(J31+R31=0,"×","○")</f>
        <v>×</v>
      </c>
      <c r="BC31" s="163">
        <f>SUM(J31,R31,Z31,AH31,AP31,AX31)</f>
        <v>0</v>
      </c>
    </row>
    <row r="32" spans="2:55" ht="20.25" customHeight="1" thickBot="1">
      <c r="B32" s="881"/>
      <c r="C32" s="177" t="s">
        <v>144</v>
      </c>
      <c r="D32" s="179">
        <f>D$4*D31</f>
        <v>0</v>
      </c>
      <c r="E32" s="176">
        <f t="shared" ref="E32:H32" si="78">E$4*E31</f>
        <v>0</v>
      </c>
      <c r="F32" s="176">
        <f t="shared" si="78"/>
        <v>0</v>
      </c>
      <c r="G32" s="176">
        <f t="shared" si="78"/>
        <v>0</v>
      </c>
      <c r="H32" s="176">
        <f t="shared" si="78"/>
        <v>0</v>
      </c>
      <c r="I32" s="176">
        <f>I$4*I31</f>
        <v>0</v>
      </c>
      <c r="J32" s="178">
        <f>IFERROR(ROUND(SUM(D32:I32)/J31,3),0)</f>
        <v>0</v>
      </c>
      <c r="K32" s="887"/>
      <c r="L32" s="179">
        <f>L$4*L31</f>
        <v>0</v>
      </c>
      <c r="M32" s="176">
        <f>M$4*M31</f>
        <v>0</v>
      </c>
      <c r="N32" s="176">
        <f t="shared" ref="N32:Q32" si="79">N$4*N31</f>
        <v>0</v>
      </c>
      <c r="O32" s="176">
        <f t="shared" si="79"/>
        <v>0</v>
      </c>
      <c r="P32" s="176">
        <f t="shared" si="79"/>
        <v>0</v>
      </c>
      <c r="Q32" s="176">
        <f t="shared" si="79"/>
        <v>0</v>
      </c>
      <c r="R32" s="178">
        <f>IFERROR(ROUND(SUM(L32:Q32)/R31,3),0)</f>
        <v>0</v>
      </c>
      <c r="S32" s="887"/>
      <c r="T32" s="179">
        <f>T$4*T31</f>
        <v>0</v>
      </c>
      <c r="U32" s="176">
        <f>U$4*U31</f>
        <v>0</v>
      </c>
      <c r="V32" s="176">
        <f t="shared" ref="V32:Y32" si="80">V$4*V31</f>
        <v>0</v>
      </c>
      <c r="W32" s="176">
        <f t="shared" si="80"/>
        <v>0</v>
      </c>
      <c r="X32" s="176">
        <f t="shared" si="80"/>
        <v>0</v>
      </c>
      <c r="Y32" s="176">
        <f t="shared" si="80"/>
        <v>0</v>
      </c>
      <c r="Z32" s="178">
        <f>IFERROR(ROUND(SUM(T32:Y32)/Z31,3),0)</f>
        <v>0</v>
      </c>
      <c r="AA32" s="887"/>
      <c r="AB32" s="179">
        <f>AB$4*AB31</f>
        <v>0</v>
      </c>
      <c r="AC32" s="176">
        <f>AC$4*AC31</f>
        <v>0</v>
      </c>
      <c r="AD32" s="176">
        <f t="shared" ref="AD32:AG32" si="81">AD$4*AD31</f>
        <v>0</v>
      </c>
      <c r="AE32" s="176">
        <f t="shared" si="81"/>
        <v>0</v>
      </c>
      <c r="AF32" s="176">
        <f t="shared" si="81"/>
        <v>0</v>
      </c>
      <c r="AG32" s="176">
        <f t="shared" si="81"/>
        <v>0</v>
      </c>
      <c r="AH32" s="178">
        <f>IFERROR(ROUND(SUM(AB32:AG32)/AH31,3),0)</f>
        <v>0</v>
      </c>
      <c r="AI32" s="887"/>
      <c r="AJ32" s="179">
        <f>AJ$4*AJ31</f>
        <v>0</v>
      </c>
      <c r="AK32" s="176">
        <f>AK$4*AK31</f>
        <v>0</v>
      </c>
      <c r="AL32" s="176">
        <f t="shared" ref="AL32:AO32" si="82">AL$4*AL31</f>
        <v>0</v>
      </c>
      <c r="AM32" s="176">
        <f t="shared" si="82"/>
        <v>0</v>
      </c>
      <c r="AN32" s="176">
        <f t="shared" si="82"/>
        <v>0</v>
      </c>
      <c r="AO32" s="176">
        <f t="shared" si="82"/>
        <v>0</v>
      </c>
      <c r="AP32" s="178">
        <f>IFERROR(ROUND(SUM(AJ32:AO32)/AP31,3),0)</f>
        <v>0</v>
      </c>
      <c r="AQ32" s="887"/>
      <c r="AR32" s="179">
        <f>AR$4*AR31</f>
        <v>0</v>
      </c>
      <c r="AS32" s="176">
        <f>AS$4*AS31</f>
        <v>0</v>
      </c>
      <c r="AT32" s="176">
        <f t="shared" ref="AT32:AW32" si="83">AT$4*AT31</f>
        <v>0</v>
      </c>
      <c r="AU32" s="176">
        <f t="shared" si="83"/>
        <v>0</v>
      </c>
      <c r="AV32" s="176">
        <f t="shared" si="83"/>
        <v>0</v>
      </c>
      <c r="AW32" s="176">
        <f t="shared" si="83"/>
        <v>0</v>
      </c>
      <c r="AX32" s="178">
        <f>IFERROR(ROUND(SUM(AR32:AW32)/AX31,3),0)</f>
        <v>0</v>
      </c>
      <c r="AY32" s="887"/>
      <c r="BA32" s="879"/>
    </row>
    <row r="33" spans="2:3" ht="20.25" customHeight="1">
      <c r="B33" s="882"/>
      <c r="C33" s="882"/>
    </row>
  </sheetData>
  <sheetProtection algorithmName="SHA-512" hashValue="2EtYcG8owkJzp5xXwwYR1ff4z7c9PfUnk7ys3K11bY/Rlo5Q2oXvIwcTOKgU6GjY0MmwG6mrAdHRrZp/66NvKw==" saltValue="O4rCT3Qu/Gk4T4hR6S2A1w==" spinCount="100000" sheet="1" objects="1" scenarios="1"/>
  <mergeCells count="116">
    <mergeCell ref="A1:D2"/>
    <mergeCell ref="B5:C6"/>
    <mergeCell ref="D5:K5"/>
    <mergeCell ref="L5:S5"/>
    <mergeCell ref="T5:Z5"/>
    <mergeCell ref="AB5:AI5"/>
    <mergeCell ref="F1:X2"/>
    <mergeCell ref="AJ5:AQ5"/>
    <mergeCell ref="AR5:AY5"/>
    <mergeCell ref="BB5:BB6"/>
    <mergeCell ref="BC5:BC6"/>
    <mergeCell ref="B7:B8"/>
    <mergeCell ref="K7:K8"/>
    <mergeCell ref="S7:S8"/>
    <mergeCell ref="AA7:AA8"/>
    <mergeCell ref="AI7:AI8"/>
    <mergeCell ref="AQ7:AQ8"/>
    <mergeCell ref="AY7:AY8"/>
    <mergeCell ref="BA7:BA8"/>
    <mergeCell ref="B9:B10"/>
    <mergeCell ref="K9:K10"/>
    <mergeCell ref="S9:S10"/>
    <mergeCell ref="AA9:AA10"/>
    <mergeCell ref="AI9:AI10"/>
    <mergeCell ref="AQ9:AQ10"/>
    <mergeCell ref="AY9:AY10"/>
    <mergeCell ref="BA9:BA10"/>
    <mergeCell ref="B11:B12"/>
    <mergeCell ref="K11:K12"/>
    <mergeCell ref="S11:S12"/>
    <mergeCell ref="AA11:AA12"/>
    <mergeCell ref="AI11:AI12"/>
    <mergeCell ref="AQ11:AQ12"/>
    <mergeCell ref="AY11:AY12"/>
    <mergeCell ref="BA11:BA12"/>
    <mergeCell ref="B13:B14"/>
    <mergeCell ref="K13:K14"/>
    <mergeCell ref="S13:S14"/>
    <mergeCell ref="AA13:AA14"/>
    <mergeCell ref="AI13:AI14"/>
    <mergeCell ref="AQ13:AQ14"/>
    <mergeCell ref="AY13:AY14"/>
    <mergeCell ref="BA13:BA14"/>
    <mergeCell ref="B15:B16"/>
    <mergeCell ref="K15:K16"/>
    <mergeCell ref="S15:S16"/>
    <mergeCell ref="AA15:AA16"/>
    <mergeCell ref="AI15:AI16"/>
    <mergeCell ref="AQ15:AQ16"/>
    <mergeCell ref="AY15:AY16"/>
    <mergeCell ref="BA15:BA16"/>
    <mergeCell ref="B17:B18"/>
    <mergeCell ref="K17:K18"/>
    <mergeCell ref="S17:S18"/>
    <mergeCell ref="AA17:AA18"/>
    <mergeCell ref="AI17:AI18"/>
    <mergeCell ref="AQ17:AQ18"/>
    <mergeCell ref="AY17:AY18"/>
    <mergeCell ref="BA17:BA18"/>
    <mergeCell ref="B19:B20"/>
    <mergeCell ref="K19:K20"/>
    <mergeCell ref="S19:S20"/>
    <mergeCell ref="AA19:AA20"/>
    <mergeCell ref="AI19:AI20"/>
    <mergeCell ref="AQ19:AQ20"/>
    <mergeCell ref="AY19:AY20"/>
    <mergeCell ref="BA19:BA20"/>
    <mergeCell ref="B21:B22"/>
    <mergeCell ref="K21:K22"/>
    <mergeCell ref="S21:S22"/>
    <mergeCell ref="AA21:AA22"/>
    <mergeCell ref="AI21:AI22"/>
    <mergeCell ref="AQ21:AQ22"/>
    <mergeCell ref="AY21:AY22"/>
    <mergeCell ref="BA21:BA22"/>
    <mergeCell ref="B23:B24"/>
    <mergeCell ref="K23:K24"/>
    <mergeCell ref="S23:S24"/>
    <mergeCell ref="AA23:AA24"/>
    <mergeCell ref="AI23:AI24"/>
    <mergeCell ref="AQ23:AQ24"/>
    <mergeCell ref="AY23:AY24"/>
    <mergeCell ref="BA23:BA24"/>
    <mergeCell ref="B25:B26"/>
    <mergeCell ref="K25:K26"/>
    <mergeCell ref="S25:S26"/>
    <mergeCell ref="AA25:AA26"/>
    <mergeCell ref="AI25:AI26"/>
    <mergeCell ref="AQ25:AQ26"/>
    <mergeCell ref="AY25:AY26"/>
    <mergeCell ref="BA25:BA26"/>
    <mergeCell ref="AY29:AY30"/>
    <mergeCell ref="BA29:BA30"/>
    <mergeCell ref="B27:B28"/>
    <mergeCell ref="K27:K28"/>
    <mergeCell ref="S27:S28"/>
    <mergeCell ref="AA27:AA28"/>
    <mergeCell ref="AI27:AI28"/>
    <mergeCell ref="AQ27:AQ28"/>
    <mergeCell ref="B31:B32"/>
    <mergeCell ref="B33:C33"/>
    <mergeCell ref="AY27:AY28"/>
    <mergeCell ref="BA27:BA28"/>
    <mergeCell ref="B29:B30"/>
    <mergeCell ref="K29:K30"/>
    <mergeCell ref="S29:S30"/>
    <mergeCell ref="AA29:AA30"/>
    <mergeCell ref="AI29:AI30"/>
    <mergeCell ref="AQ29:AQ30"/>
    <mergeCell ref="AQ31:AQ32"/>
    <mergeCell ref="K31:K32"/>
    <mergeCell ref="S31:S32"/>
    <mergeCell ref="AA31:AA32"/>
    <mergeCell ref="AI31:AI32"/>
    <mergeCell ref="AY31:AY32"/>
    <mergeCell ref="BA31:BA32"/>
  </mergeCells>
  <phoneticPr fontId="2"/>
  <pageMargins left="0.7" right="0.7" top="0.75" bottom="0.75" header="0.3" footer="0.3"/>
  <pageSetup paperSize="9" scale="22"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V91"/>
  <sheetViews>
    <sheetView view="pageBreakPreview" zoomScale="60" zoomScaleNormal="100" workbookViewId="0">
      <selection activeCell="B8" sqref="B8:C8"/>
    </sheetView>
  </sheetViews>
  <sheetFormatPr defaultRowHeight="13.5"/>
  <cols>
    <col min="1" max="1" width="4.5" style="1" customWidth="1"/>
    <col min="2" max="2" width="17.25" style="1" customWidth="1"/>
    <col min="3" max="3" width="14.875" style="1" customWidth="1"/>
    <col min="4" max="6" width="10.625" style="1" customWidth="1"/>
    <col min="7" max="18" width="9.25" style="1" customWidth="1"/>
    <col min="19" max="19" width="4.25" style="1" customWidth="1"/>
    <col min="20" max="21" width="8.375" style="1" customWidth="1"/>
    <col min="22" max="29" width="7.25" style="1" customWidth="1"/>
    <col min="30" max="30" width="10.375" style="1" customWidth="1"/>
    <col min="31" max="31" width="17.375" style="1" customWidth="1"/>
    <col min="32" max="16384" width="9" style="1"/>
  </cols>
  <sheetData>
    <row r="1" spans="1:19" ht="18" customHeight="1" thickBot="1">
      <c r="A1" s="8"/>
      <c r="B1" s="142" t="s">
        <v>120</v>
      </c>
      <c r="C1" s="234">
        <f>様式１!C1</f>
        <v>0</v>
      </c>
      <c r="D1" s="9"/>
      <c r="E1" s="9"/>
      <c r="F1" s="9"/>
      <c r="G1" s="11"/>
      <c r="H1" s="13"/>
      <c r="I1" s="13"/>
      <c r="J1" s="13"/>
      <c r="K1" s="13"/>
      <c r="M1" s="14"/>
      <c r="N1" s="15"/>
      <c r="O1" s="14"/>
      <c r="P1" s="14"/>
    </row>
    <row r="2" spans="1:19" ht="21.95" customHeight="1" thickTop="1" thickBot="1">
      <c r="A2" s="91"/>
      <c r="B2" s="91" t="s">
        <v>106</v>
      </c>
      <c r="C2" s="924">
        <f>様式１!C2</f>
        <v>0</v>
      </c>
      <c r="D2" s="925"/>
      <c r="E2" s="925"/>
      <c r="F2" s="926"/>
      <c r="G2" s="105"/>
      <c r="H2" s="92"/>
      <c r="I2" s="92"/>
      <c r="J2" s="92"/>
      <c r="K2" s="93"/>
      <c r="L2" s="93"/>
      <c r="M2" s="93"/>
      <c r="N2" s="93"/>
      <c r="O2" s="93"/>
      <c r="P2" s="93"/>
      <c r="Q2" s="7"/>
      <c r="R2" s="7"/>
      <c r="S2" s="7"/>
    </row>
    <row r="3" spans="1:19" ht="43.5" customHeight="1" thickTop="1">
      <c r="A3" s="91"/>
      <c r="B3" s="91"/>
      <c r="C3" s="93"/>
      <c r="D3" s="93"/>
      <c r="E3" s="93"/>
      <c r="F3" s="93"/>
      <c r="G3" s="92"/>
      <c r="H3" s="92"/>
      <c r="I3" s="94"/>
      <c r="J3" s="92"/>
      <c r="K3" s="93"/>
      <c r="L3" s="93"/>
      <c r="M3" s="93"/>
      <c r="N3" s="93"/>
      <c r="O3" s="93"/>
      <c r="P3" s="93"/>
      <c r="Q3" s="7"/>
      <c r="R3" s="7"/>
      <c r="S3" s="7"/>
    </row>
    <row r="4" spans="1:19" ht="78.75" customHeight="1">
      <c r="A4" s="16"/>
      <c r="B4" s="16"/>
      <c r="C4" s="16"/>
      <c r="D4" s="16"/>
      <c r="E4" s="16"/>
      <c r="F4" s="16"/>
      <c r="G4" s="927"/>
      <c r="H4" s="927"/>
      <c r="I4" s="77"/>
      <c r="J4" s="927"/>
      <c r="K4" s="927"/>
      <c r="L4" s="77"/>
      <c r="M4" s="7"/>
      <c r="N4" s="7"/>
      <c r="O4" s="7"/>
      <c r="P4" s="7"/>
      <c r="Q4" s="7"/>
      <c r="R4" s="7"/>
      <c r="S4" s="7"/>
    </row>
    <row r="5" spans="1:19" ht="24.75" customHeight="1" thickBot="1">
      <c r="A5" s="309" t="s">
        <v>235</v>
      </c>
      <c r="B5" s="18"/>
      <c r="C5" s="19"/>
      <c r="D5" s="19"/>
      <c r="E5" s="19"/>
      <c r="F5" s="19"/>
      <c r="S5" s="77"/>
    </row>
    <row r="6" spans="1:19" ht="28.5" customHeight="1">
      <c r="A6" s="915" t="s">
        <v>13</v>
      </c>
      <c r="B6" s="917" t="s">
        <v>100</v>
      </c>
      <c r="C6" s="918"/>
      <c r="D6" s="911" t="s">
        <v>101</v>
      </c>
      <c r="E6" s="910"/>
      <c r="F6" s="910"/>
      <c r="G6" s="921" t="s">
        <v>102</v>
      </c>
      <c r="H6" s="922"/>
      <c r="I6" s="922"/>
      <c r="J6" s="922"/>
      <c r="K6" s="922"/>
      <c r="L6" s="922"/>
      <c r="M6" s="922"/>
      <c r="N6" s="922"/>
      <c r="O6" s="922"/>
      <c r="P6" s="922"/>
      <c r="Q6" s="922"/>
      <c r="R6" s="923"/>
      <c r="S6" s="7"/>
    </row>
    <row r="7" spans="1:19" ht="56.25">
      <c r="A7" s="916"/>
      <c r="B7" s="919"/>
      <c r="C7" s="920"/>
      <c r="D7" s="202" t="s">
        <v>236</v>
      </c>
      <c r="E7" s="203" t="s">
        <v>105</v>
      </c>
      <c r="F7" s="108" t="s">
        <v>103</v>
      </c>
      <c r="G7" s="90">
        <v>4</v>
      </c>
      <c r="H7" s="88">
        <v>5</v>
      </c>
      <c r="I7" s="88">
        <v>6</v>
      </c>
      <c r="J7" s="88">
        <v>7</v>
      </c>
      <c r="K7" s="88">
        <v>8</v>
      </c>
      <c r="L7" s="88">
        <v>9</v>
      </c>
      <c r="M7" s="88">
        <v>10</v>
      </c>
      <c r="N7" s="88">
        <v>11</v>
      </c>
      <c r="O7" s="88">
        <v>12</v>
      </c>
      <c r="P7" s="88">
        <v>1</v>
      </c>
      <c r="Q7" s="88">
        <v>2</v>
      </c>
      <c r="R7" s="89">
        <v>3</v>
      </c>
      <c r="S7" s="7"/>
    </row>
    <row r="8" spans="1:19" ht="22.5" customHeight="1">
      <c r="A8" s="21">
        <v>1</v>
      </c>
      <c r="B8" s="913"/>
      <c r="C8" s="914"/>
      <c r="D8" s="96"/>
      <c r="E8" s="97"/>
      <c r="F8" s="109"/>
      <c r="G8" s="98"/>
      <c r="H8" s="99"/>
      <c r="I8" s="100"/>
      <c r="J8" s="99"/>
      <c r="K8" s="100"/>
      <c r="L8" s="99"/>
      <c r="M8" s="100"/>
      <c r="N8" s="99"/>
      <c r="O8" s="100"/>
      <c r="P8" s="99"/>
      <c r="Q8" s="100"/>
      <c r="R8" s="101"/>
      <c r="S8" s="7"/>
    </row>
    <row r="9" spans="1:19" ht="22.5" customHeight="1">
      <c r="A9" s="21">
        <v>2</v>
      </c>
      <c r="B9" s="913"/>
      <c r="C9" s="914"/>
      <c r="D9" s="96"/>
      <c r="E9" s="97"/>
      <c r="F9" s="109"/>
      <c r="G9" s="98"/>
      <c r="H9" s="99"/>
      <c r="I9" s="100"/>
      <c r="J9" s="99"/>
      <c r="K9" s="100"/>
      <c r="L9" s="99"/>
      <c r="M9" s="100"/>
      <c r="N9" s="99"/>
      <c r="O9" s="100"/>
      <c r="P9" s="99"/>
      <c r="Q9" s="100"/>
      <c r="R9" s="101"/>
      <c r="S9" s="7"/>
    </row>
    <row r="10" spans="1:19" ht="22.5" customHeight="1">
      <c r="A10" s="21">
        <v>3</v>
      </c>
      <c r="B10" s="913"/>
      <c r="C10" s="914"/>
      <c r="D10" s="96"/>
      <c r="E10" s="97"/>
      <c r="F10" s="109"/>
      <c r="G10" s="98"/>
      <c r="H10" s="99"/>
      <c r="I10" s="100"/>
      <c r="J10" s="99"/>
      <c r="K10" s="100"/>
      <c r="L10" s="99"/>
      <c r="M10" s="100"/>
      <c r="N10" s="99"/>
      <c r="O10" s="100"/>
      <c r="P10" s="99"/>
      <c r="Q10" s="100"/>
      <c r="R10" s="101"/>
      <c r="S10" s="7"/>
    </row>
    <row r="11" spans="1:19" ht="22.5" customHeight="1">
      <c r="A11" s="21">
        <v>4</v>
      </c>
      <c r="B11" s="913"/>
      <c r="C11" s="914"/>
      <c r="D11" s="96"/>
      <c r="E11" s="97"/>
      <c r="F11" s="109"/>
      <c r="G11" s="98"/>
      <c r="H11" s="99"/>
      <c r="I11" s="100"/>
      <c r="J11" s="99"/>
      <c r="K11" s="100"/>
      <c r="L11" s="99"/>
      <c r="M11" s="100"/>
      <c r="N11" s="99"/>
      <c r="O11" s="100"/>
      <c r="P11" s="99"/>
      <c r="Q11" s="100"/>
      <c r="R11" s="101"/>
      <c r="S11" s="7"/>
    </row>
    <row r="12" spans="1:19" ht="22.5" customHeight="1">
      <c r="A12" s="21">
        <v>5</v>
      </c>
      <c r="B12" s="913"/>
      <c r="C12" s="914"/>
      <c r="D12" s="96"/>
      <c r="E12" s="97"/>
      <c r="F12" s="109"/>
      <c r="G12" s="98"/>
      <c r="H12" s="99"/>
      <c r="I12" s="100"/>
      <c r="J12" s="99"/>
      <c r="K12" s="100"/>
      <c r="L12" s="99"/>
      <c r="M12" s="100"/>
      <c r="N12" s="99"/>
      <c r="O12" s="100"/>
      <c r="P12" s="99"/>
      <c r="Q12" s="100"/>
      <c r="R12" s="101"/>
      <c r="S12" s="7"/>
    </row>
    <row r="13" spans="1:19" ht="22.5" customHeight="1">
      <c r="A13" s="21">
        <v>6</v>
      </c>
      <c r="B13" s="913"/>
      <c r="C13" s="914"/>
      <c r="D13" s="96"/>
      <c r="E13" s="97"/>
      <c r="F13" s="109"/>
      <c r="G13" s="98"/>
      <c r="H13" s="99"/>
      <c r="I13" s="100"/>
      <c r="J13" s="99"/>
      <c r="K13" s="100"/>
      <c r="L13" s="99"/>
      <c r="M13" s="100"/>
      <c r="N13" s="99"/>
      <c r="O13" s="100"/>
      <c r="P13" s="99"/>
      <c r="Q13" s="100"/>
      <c r="R13" s="101"/>
      <c r="S13" s="7"/>
    </row>
    <row r="14" spans="1:19" ht="22.5" customHeight="1">
      <c r="A14" s="21">
        <v>7</v>
      </c>
      <c r="B14" s="913"/>
      <c r="C14" s="914"/>
      <c r="D14" s="96"/>
      <c r="E14" s="97"/>
      <c r="F14" s="109"/>
      <c r="G14" s="98"/>
      <c r="H14" s="99"/>
      <c r="I14" s="100"/>
      <c r="J14" s="99"/>
      <c r="K14" s="100"/>
      <c r="L14" s="99"/>
      <c r="M14" s="100"/>
      <c r="N14" s="99"/>
      <c r="O14" s="100"/>
      <c r="P14" s="99"/>
      <c r="Q14" s="100"/>
      <c r="R14" s="101"/>
      <c r="S14" s="7"/>
    </row>
    <row r="15" spans="1:19" ht="22.5" customHeight="1">
      <c r="A15" s="21">
        <v>8</v>
      </c>
      <c r="B15" s="913"/>
      <c r="C15" s="914"/>
      <c r="D15" s="96"/>
      <c r="E15" s="97"/>
      <c r="F15" s="109"/>
      <c r="G15" s="98"/>
      <c r="H15" s="99"/>
      <c r="I15" s="100"/>
      <c r="J15" s="99"/>
      <c r="K15" s="100"/>
      <c r="L15" s="99"/>
      <c r="M15" s="100"/>
      <c r="N15" s="99"/>
      <c r="O15" s="100"/>
      <c r="P15" s="99"/>
      <c r="Q15" s="100"/>
      <c r="R15" s="101"/>
      <c r="S15" s="7"/>
    </row>
    <row r="16" spans="1:19" ht="22.5" customHeight="1">
      <c r="A16" s="21">
        <v>9</v>
      </c>
      <c r="B16" s="913"/>
      <c r="C16" s="914"/>
      <c r="D16" s="96"/>
      <c r="E16" s="97"/>
      <c r="F16" s="109"/>
      <c r="G16" s="98"/>
      <c r="H16" s="99"/>
      <c r="I16" s="100"/>
      <c r="J16" s="99"/>
      <c r="K16" s="100"/>
      <c r="L16" s="99"/>
      <c r="M16" s="100"/>
      <c r="N16" s="99"/>
      <c r="O16" s="100"/>
      <c r="P16" s="99"/>
      <c r="Q16" s="100"/>
      <c r="R16" s="101"/>
      <c r="S16" s="7"/>
    </row>
    <row r="17" spans="1:19" ht="22.5" customHeight="1">
      <c r="A17" s="21">
        <v>10</v>
      </c>
      <c r="B17" s="913"/>
      <c r="C17" s="914"/>
      <c r="D17" s="96"/>
      <c r="E17" s="97"/>
      <c r="F17" s="109"/>
      <c r="G17" s="98"/>
      <c r="H17" s="99"/>
      <c r="I17" s="100"/>
      <c r="J17" s="99"/>
      <c r="K17" s="100"/>
      <c r="L17" s="99"/>
      <c r="M17" s="100"/>
      <c r="N17" s="99"/>
      <c r="O17" s="100"/>
      <c r="P17" s="99"/>
      <c r="Q17" s="100"/>
      <c r="R17" s="101"/>
      <c r="S17" s="7"/>
    </row>
    <row r="18" spans="1:19" ht="22.5" customHeight="1">
      <c r="A18" s="21">
        <v>11</v>
      </c>
      <c r="B18" s="913"/>
      <c r="C18" s="914"/>
      <c r="D18" s="96"/>
      <c r="E18" s="97"/>
      <c r="F18" s="109"/>
      <c r="G18" s="98"/>
      <c r="H18" s="99"/>
      <c r="I18" s="100"/>
      <c r="J18" s="99"/>
      <c r="K18" s="100"/>
      <c r="L18" s="99"/>
      <c r="M18" s="100"/>
      <c r="N18" s="99"/>
      <c r="O18" s="100"/>
      <c r="P18" s="99"/>
      <c r="Q18" s="100"/>
      <c r="R18" s="101"/>
      <c r="S18" s="7"/>
    </row>
    <row r="19" spans="1:19" ht="22.5" customHeight="1">
      <c r="A19" s="21">
        <v>12</v>
      </c>
      <c r="B19" s="913"/>
      <c r="C19" s="914"/>
      <c r="D19" s="96"/>
      <c r="E19" s="97"/>
      <c r="F19" s="109"/>
      <c r="G19" s="98"/>
      <c r="H19" s="99"/>
      <c r="I19" s="100"/>
      <c r="J19" s="99"/>
      <c r="K19" s="100"/>
      <c r="L19" s="99"/>
      <c r="M19" s="100"/>
      <c r="N19" s="99"/>
      <c r="O19" s="100"/>
      <c r="P19" s="99"/>
      <c r="Q19" s="100"/>
      <c r="R19" s="101"/>
      <c r="S19" s="7"/>
    </row>
    <row r="20" spans="1:19" ht="22.5" customHeight="1">
      <c r="A20" s="21">
        <v>13</v>
      </c>
      <c r="B20" s="913"/>
      <c r="C20" s="914"/>
      <c r="D20" s="96"/>
      <c r="E20" s="97"/>
      <c r="F20" s="109"/>
      <c r="G20" s="98"/>
      <c r="H20" s="99"/>
      <c r="I20" s="100"/>
      <c r="J20" s="99"/>
      <c r="K20" s="100"/>
      <c r="L20" s="99"/>
      <c r="M20" s="100"/>
      <c r="N20" s="99"/>
      <c r="O20" s="100"/>
      <c r="P20" s="99"/>
      <c r="Q20" s="100"/>
      <c r="R20" s="101"/>
      <c r="S20" s="7"/>
    </row>
    <row r="21" spans="1:19" ht="22.5" customHeight="1">
      <c r="A21" s="21">
        <v>14</v>
      </c>
      <c r="B21" s="913"/>
      <c r="C21" s="914"/>
      <c r="D21" s="96"/>
      <c r="E21" s="97"/>
      <c r="F21" s="109"/>
      <c r="G21" s="98"/>
      <c r="H21" s="99"/>
      <c r="I21" s="100"/>
      <c r="J21" s="99"/>
      <c r="K21" s="100"/>
      <c r="L21" s="99"/>
      <c r="M21" s="100"/>
      <c r="N21" s="99"/>
      <c r="O21" s="100"/>
      <c r="P21" s="99"/>
      <c r="Q21" s="100"/>
      <c r="R21" s="101"/>
      <c r="S21" s="7"/>
    </row>
    <row r="22" spans="1:19" ht="22.5" customHeight="1">
      <c r="A22" s="21">
        <v>15</v>
      </c>
      <c r="B22" s="913"/>
      <c r="C22" s="914"/>
      <c r="D22" s="96"/>
      <c r="E22" s="97"/>
      <c r="F22" s="109"/>
      <c r="G22" s="98"/>
      <c r="H22" s="99"/>
      <c r="I22" s="100"/>
      <c r="J22" s="99"/>
      <c r="K22" s="100"/>
      <c r="L22" s="99"/>
      <c r="M22" s="100"/>
      <c r="N22" s="99"/>
      <c r="O22" s="100"/>
      <c r="P22" s="99"/>
      <c r="Q22" s="100"/>
      <c r="R22" s="101"/>
      <c r="S22" s="7"/>
    </row>
    <row r="23" spans="1:19" ht="22.5" customHeight="1">
      <c r="A23" s="21">
        <v>16</v>
      </c>
      <c r="B23" s="913"/>
      <c r="C23" s="914"/>
      <c r="D23" s="96"/>
      <c r="E23" s="97"/>
      <c r="F23" s="109"/>
      <c r="G23" s="98"/>
      <c r="H23" s="99"/>
      <c r="I23" s="100"/>
      <c r="J23" s="99"/>
      <c r="K23" s="100"/>
      <c r="L23" s="99"/>
      <c r="M23" s="100"/>
      <c r="N23" s="99"/>
      <c r="O23" s="100"/>
      <c r="P23" s="99"/>
      <c r="Q23" s="100"/>
      <c r="R23" s="101"/>
      <c r="S23" s="7"/>
    </row>
    <row r="24" spans="1:19" ht="22.5" customHeight="1">
      <c r="A24" s="21">
        <v>17</v>
      </c>
      <c r="B24" s="913"/>
      <c r="C24" s="914"/>
      <c r="D24" s="96"/>
      <c r="E24" s="97"/>
      <c r="F24" s="109"/>
      <c r="G24" s="98"/>
      <c r="H24" s="99"/>
      <c r="I24" s="100"/>
      <c r="J24" s="99"/>
      <c r="K24" s="100"/>
      <c r="L24" s="99"/>
      <c r="M24" s="100"/>
      <c r="N24" s="99"/>
      <c r="O24" s="100"/>
      <c r="P24" s="99"/>
      <c r="Q24" s="100"/>
      <c r="R24" s="101"/>
      <c r="S24" s="7"/>
    </row>
    <row r="25" spans="1:19" ht="22.5" customHeight="1">
      <c r="A25" s="21">
        <v>18</v>
      </c>
      <c r="B25" s="913"/>
      <c r="C25" s="914"/>
      <c r="D25" s="96"/>
      <c r="E25" s="97"/>
      <c r="F25" s="109"/>
      <c r="G25" s="98"/>
      <c r="H25" s="99"/>
      <c r="I25" s="100"/>
      <c r="J25" s="99"/>
      <c r="K25" s="100"/>
      <c r="L25" s="99"/>
      <c r="M25" s="100"/>
      <c r="N25" s="99"/>
      <c r="O25" s="100"/>
      <c r="P25" s="99"/>
      <c r="Q25" s="100"/>
      <c r="R25" s="101"/>
      <c r="S25" s="7"/>
    </row>
    <row r="26" spans="1:19" ht="22.5" customHeight="1">
      <c r="A26" s="21">
        <v>19</v>
      </c>
      <c r="B26" s="913"/>
      <c r="C26" s="914"/>
      <c r="D26" s="96"/>
      <c r="E26" s="97"/>
      <c r="F26" s="109"/>
      <c r="G26" s="98"/>
      <c r="H26" s="99"/>
      <c r="I26" s="100"/>
      <c r="J26" s="99"/>
      <c r="K26" s="100"/>
      <c r="L26" s="99"/>
      <c r="M26" s="100"/>
      <c r="N26" s="99"/>
      <c r="O26" s="100"/>
      <c r="P26" s="99"/>
      <c r="Q26" s="100"/>
      <c r="R26" s="101"/>
      <c r="S26" s="7"/>
    </row>
    <row r="27" spans="1:19" ht="22.5" customHeight="1">
      <c r="A27" s="21">
        <v>20</v>
      </c>
      <c r="B27" s="913"/>
      <c r="C27" s="914"/>
      <c r="D27" s="96"/>
      <c r="E27" s="97"/>
      <c r="F27" s="109"/>
      <c r="G27" s="98"/>
      <c r="H27" s="99"/>
      <c r="I27" s="100"/>
      <c r="J27" s="99"/>
      <c r="K27" s="100"/>
      <c r="L27" s="99"/>
      <c r="M27" s="100"/>
      <c r="N27" s="99"/>
      <c r="O27" s="100"/>
      <c r="P27" s="99"/>
      <c r="Q27" s="100"/>
      <c r="R27" s="101"/>
      <c r="S27" s="7"/>
    </row>
    <row r="28" spans="1:19" ht="22.5" customHeight="1">
      <c r="A28" s="21">
        <v>21</v>
      </c>
      <c r="B28" s="913"/>
      <c r="C28" s="914"/>
      <c r="D28" s="96"/>
      <c r="E28" s="97"/>
      <c r="F28" s="109"/>
      <c r="G28" s="98"/>
      <c r="H28" s="99"/>
      <c r="I28" s="100"/>
      <c r="J28" s="99"/>
      <c r="K28" s="100"/>
      <c r="L28" s="99"/>
      <c r="M28" s="100"/>
      <c r="N28" s="99"/>
      <c r="O28" s="100"/>
      <c r="P28" s="99"/>
      <c r="Q28" s="100"/>
      <c r="R28" s="101"/>
      <c r="S28" s="7"/>
    </row>
    <row r="29" spans="1:19" ht="22.5" customHeight="1">
      <c r="A29" s="21">
        <v>22</v>
      </c>
      <c r="B29" s="913"/>
      <c r="C29" s="914"/>
      <c r="D29" s="96"/>
      <c r="E29" s="97"/>
      <c r="F29" s="109"/>
      <c r="G29" s="98"/>
      <c r="H29" s="99"/>
      <c r="I29" s="100"/>
      <c r="J29" s="99"/>
      <c r="K29" s="100"/>
      <c r="L29" s="99"/>
      <c r="M29" s="100"/>
      <c r="N29" s="99"/>
      <c r="O29" s="100"/>
      <c r="P29" s="99"/>
      <c r="Q29" s="100"/>
      <c r="R29" s="101"/>
      <c r="S29" s="7"/>
    </row>
    <row r="30" spans="1:19" ht="22.5" customHeight="1">
      <c r="A30" s="21">
        <v>23</v>
      </c>
      <c r="B30" s="913"/>
      <c r="C30" s="914"/>
      <c r="D30" s="96"/>
      <c r="E30" s="97"/>
      <c r="F30" s="109"/>
      <c r="G30" s="98"/>
      <c r="H30" s="99"/>
      <c r="I30" s="100"/>
      <c r="J30" s="99"/>
      <c r="K30" s="100"/>
      <c r="L30" s="99"/>
      <c r="M30" s="100"/>
      <c r="N30" s="99"/>
      <c r="O30" s="100"/>
      <c r="P30" s="99"/>
      <c r="Q30" s="100"/>
      <c r="R30" s="101"/>
      <c r="S30" s="7"/>
    </row>
    <row r="31" spans="1:19" ht="22.5" customHeight="1">
      <c r="A31" s="21">
        <v>24</v>
      </c>
      <c r="B31" s="913"/>
      <c r="C31" s="914"/>
      <c r="D31" s="96"/>
      <c r="E31" s="97"/>
      <c r="F31" s="109"/>
      <c r="G31" s="98"/>
      <c r="H31" s="99"/>
      <c r="I31" s="100"/>
      <c r="J31" s="99"/>
      <c r="K31" s="100"/>
      <c r="L31" s="99"/>
      <c r="M31" s="100"/>
      <c r="N31" s="99"/>
      <c r="O31" s="100"/>
      <c r="P31" s="99"/>
      <c r="Q31" s="100"/>
      <c r="R31" s="101"/>
      <c r="S31" s="7"/>
    </row>
    <row r="32" spans="1:19" ht="22.5" customHeight="1">
      <c r="A32" s="21">
        <v>25</v>
      </c>
      <c r="B32" s="913"/>
      <c r="C32" s="914"/>
      <c r="D32" s="96"/>
      <c r="E32" s="97"/>
      <c r="F32" s="109"/>
      <c r="G32" s="98"/>
      <c r="H32" s="99"/>
      <c r="I32" s="100"/>
      <c r="J32" s="99"/>
      <c r="K32" s="100"/>
      <c r="L32" s="99"/>
      <c r="M32" s="100"/>
      <c r="N32" s="99"/>
      <c r="O32" s="100"/>
      <c r="P32" s="99"/>
      <c r="Q32" s="100"/>
      <c r="R32" s="101"/>
      <c r="S32" s="7"/>
    </row>
    <row r="33" spans="1:19" ht="22.5" customHeight="1">
      <c r="A33" s="21">
        <v>26</v>
      </c>
      <c r="B33" s="913"/>
      <c r="C33" s="914"/>
      <c r="D33" s="96"/>
      <c r="E33" s="97"/>
      <c r="F33" s="109"/>
      <c r="G33" s="98"/>
      <c r="H33" s="99"/>
      <c r="I33" s="100"/>
      <c r="J33" s="99"/>
      <c r="K33" s="100"/>
      <c r="L33" s="99"/>
      <c r="M33" s="100"/>
      <c r="N33" s="99"/>
      <c r="O33" s="100"/>
      <c r="P33" s="99"/>
      <c r="Q33" s="100"/>
      <c r="R33" s="101"/>
      <c r="S33" s="7"/>
    </row>
    <row r="34" spans="1:19" ht="22.5" customHeight="1">
      <c r="A34" s="21">
        <v>27</v>
      </c>
      <c r="B34" s="913"/>
      <c r="C34" s="914"/>
      <c r="D34" s="96"/>
      <c r="E34" s="97"/>
      <c r="F34" s="109"/>
      <c r="G34" s="98"/>
      <c r="H34" s="99"/>
      <c r="I34" s="100"/>
      <c r="J34" s="99"/>
      <c r="K34" s="100"/>
      <c r="L34" s="99"/>
      <c r="M34" s="100"/>
      <c r="N34" s="99"/>
      <c r="O34" s="100"/>
      <c r="P34" s="99"/>
      <c r="Q34" s="100"/>
      <c r="R34" s="101"/>
      <c r="S34" s="7"/>
    </row>
    <row r="35" spans="1:19" ht="22.5" customHeight="1">
      <c r="A35" s="21">
        <v>28</v>
      </c>
      <c r="B35" s="913"/>
      <c r="C35" s="914"/>
      <c r="D35" s="96"/>
      <c r="E35" s="97"/>
      <c r="F35" s="109"/>
      <c r="G35" s="98"/>
      <c r="H35" s="99"/>
      <c r="I35" s="100"/>
      <c r="J35" s="99"/>
      <c r="K35" s="100"/>
      <c r="L35" s="99"/>
      <c r="M35" s="100"/>
      <c r="N35" s="99"/>
      <c r="O35" s="100"/>
      <c r="P35" s="99"/>
      <c r="Q35" s="100"/>
      <c r="R35" s="101"/>
      <c r="S35" s="7"/>
    </row>
    <row r="36" spans="1:19" ht="22.5" customHeight="1">
      <c r="A36" s="21">
        <v>29</v>
      </c>
      <c r="B36" s="913"/>
      <c r="C36" s="914"/>
      <c r="D36" s="96"/>
      <c r="E36" s="97"/>
      <c r="F36" s="109"/>
      <c r="G36" s="98"/>
      <c r="H36" s="99"/>
      <c r="I36" s="100"/>
      <c r="J36" s="99"/>
      <c r="K36" s="100"/>
      <c r="L36" s="99"/>
      <c r="M36" s="100"/>
      <c r="N36" s="99"/>
      <c r="O36" s="100"/>
      <c r="P36" s="99"/>
      <c r="Q36" s="100"/>
      <c r="R36" s="101"/>
      <c r="S36" s="7"/>
    </row>
    <row r="37" spans="1:19" ht="22.5" customHeight="1">
      <c r="A37" s="21">
        <v>30</v>
      </c>
      <c r="B37" s="913"/>
      <c r="C37" s="914"/>
      <c r="D37" s="96"/>
      <c r="E37" s="97"/>
      <c r="F37" s="109"/>
      <c r="G37" s="98"/>
      <c r="H37" s="99"/>
      <c r="I37" s="100"/>
      <c r="J37" s="99"/>
      <c r="K37" s="100"/>
      <c r="L37" s="99"/>
      <c r="M37" s="100"/>
      <c r="N37" s="99"/>
      <c r="O37" s="100"/>
      <c r="P37" s="99"/>
      <c r="Q37" s="100"/>
      <c r="R37" s="101"/>
      <c r="S37" s="7"/>
    </row>
    <row r="38" spans="1:19" ht="22.5" customHeight="1">
      <c r="A38" s="21">
        <v>31</v>
      </c>
      <c r="B38" s="913"/>
      <c r="C38" s="914"/>
      <c r="D38" s="96"/>
      <c r="E38" s="97"/>
      <c r="F38" s="109"/>
      <c r="G38" s="98"/>
      <c r="H38" s="99"/>
      <c r="I38" s="100"/>
      <c r="J38" s="99"/>
      <c r="K38" s="100"/>
      <c r="L38" s="99"/>
      <c r="M38" s="100"/>
      <c r="N38" s="99"/>
      <c r="O38" s="100"/>
      <c r="P38" s="99"/>
      <c r="Q38" s="100"/>
      <c r="R38" s="101"/>
      <c r="S38" s="7"/>
    </row>
    <row r="39" spans="1:19" ht="22.5" customHeight="1">
      <c r="A39" s="21">
        <v>32</v>
      </c>
      <c r="B39" s="913"/>
      <c r="C39" s="914"/>
      <c r="D39" s="96"/>
      <c r="E39" s="97"/>
      <c r="F39" s="109"/>
      <c r="G39" s="98"/>
      <c r="H39" s="99"/>
      <c r="I39" s="100"/>
      <c r="J39" s="99"/>
      <c r="K39" s="100"/>
      <c r="L39" s="99"/>
      <c r="M39" s="100"/>
      <c r="N39" s="99"/>
      <c r="O39" s="100"/>
      <c r="P39" s="99"/>
      <c r="Q39" s="100"/>
      <c r="R39" s="101"/>
      <c r="S39" s="7"/>
    </row>
    <row r="40" spans="1:19" ht="22.5" customHeight="1">
      <c r="A40" s="21">
        <v>33</v>
      </c>
      <c r="B40" s="913"/>
      <c r="C40" s="914"/>
      <c r="D40" s="96"/>
      <c r="E40" s="97"/>
      <c r="F40" s="109"/>
      <c r="G40" s="98"/>
      <c r="H40" s="99"/>
      <c r="I40" s="100"/>
      <c r="J40" s="99"/>
      <c r="K40" s="100"/>
      <c r="L40" s="99"/>
      <c r="M40" s="100"/>
      <c r="N40" s="99"/>
      <c r="O40" s="100"/>
      <c r="P40" s="99"/>
      <c r="Q40" s="100"/>
      <c r="R40" s="101"/>
      <c r="S40" s="7"/>
    </row>
    <row r="41" spans="1:19" ht="22.5" customHeight="1">
      <c r="A41" s="21">
        <v>34</v>
      </c>
      <c r="B41" s="913"/>
      <c r="C41" s="914"/>
      <c r="D41" s="96"/>
      <c r="E41" s="97"/>
      <c r="F41" s="109"/>
      <c r="G41" s="98"/>
      <c r="H41" s="99"/>
      <c r="I41" s="100"/>
      <c r="J41" s="99"/>
      <c r="K41" s="100"/>
      <c r="L41" s="99"/>
      <c r="M41" s="100"/>
      <c r="N41" s="99"/>
      <c r="O41" s="100"/>
      <c r="P41" s="99"/>
      <c r="Q41" s="100"/>
      <c r="R41" s="101"/>
      <c r="S41" s="7"/>
    </row>
    <row r="42" spans="1:19" ht="22.5" customHeight="1">
      <c r="A42" s="21">
        <v>35</v>
      </c>
      <c r="B42" s="913"/>
      <c r="C42" s="914"/>
      <c r="D42" s="96"/>
      <c r="E42" s="97"/>
      <c r="F42" s="109"/>
      <c r="G42" s="98"/>
      <c r="H42" s="99"/>
      <c r="I42" s="100"/>
      <c r="J42" s="99"/>
      <c r="K42" s="100"/>
      <c r="L42" s="99"/>
      <c r="M42" s="100"/>
      <c r="N42" s="99"/>
      <c r="O42" s="100"/>
      <c r="P42" s="99"/>
      <c r="Q42" s="100"/>
      <c r="R42" s="101"/>
      <c r="S42" s="7"/>
    </row>
    <row r="43" spans="1:19" ht="22.5" customHeight="1">
      <c r="A43" s="21">
        <v>36</v>
      </c>
      <c r="B43" s="913"/>
      <c r="C43" s="914"/>
      <c r="D43" s="96"/>
      <c r="E43" s="97"/>
      <c r="F43" s="109"/>
      <c r="G43" s="98"/>
      <c r="H43" s="99"/>
      <c r="I43" s="100"/>
      <c r="J43" s="99"/>
      <c r="K43" s="100"/>
      <c r="L43" s="99"/>
      <c r="M43" s="100"/>
      <c r="N43" s="99"/>
      <c r="O43" s="100"/>
      <c r="P43" s="99"/>
      <c r="Q43" s="100"/>
      <c r="R43" s="101"/>
      <c r="S43" s="7"/>
    </row>
    <row r="44" spans="1:19" ht="22.5" customHeight="1">
      <c r="A44" s="21">
        <v>37</v>
      </c>
      <c r="B44" s="913"/>
      <c r="C44" s="914"/>
      <c r="D44" s="96"/>
      <c r="E44" s="97"/>
      <c r="F44" s="109"/>
      <c r="G44" s="98"/>
      <c r="H44" s="99"/>
      <c r="I44" s="100"/>
      <c r="J44" s="99"/>
      <c r="K44" s="100"/>
      <c r="L44" s="99"/>
      <c r="M44" s="100"/>
      <c r="N44" s="99"/>
      <c r="O44" s="100"/>
      <c r="P44" s="99"/>
      <c r="Q44" s="100"/>
      <c r="R44" s="101"/>
      <c r="S44" s="7"/>
    </row>
    <row r="45" spans="1:19" ht="22.5" customHeight="1">
      <c r="A45" s="21">
        <v>38</v>
      </c>
      <c r="B45" s="913"/>
      <c r="C45" s="914"/>
      <c r="D45" s="96"/>
      <c r="E45" s="97"/>
      <c r="F45" s="109"/>
      <c r="G45" s="98"/>
      <c r="H45" s="99"/>
      <c r="I45" s="100"/>
      <c r="J45" s="99"/>
      <c r="K45" s="100"/>
      <c r="L45" s="99"/>
      <c r="M45" s="100"/>
      <c r="N45" s="99"/>
      <c r="O45" s="100"/>
      <c r="P45" s="99"/>
      <c r="Q45" s="100"/>
      <c r="R45" s="101"/>
      <c r="S45" s="7"/>
    </row>
    <row r="46" spans="1:19" ht="22.5" customHeight="1">
      <c r="A46" s="21">
        <v>39</v>
      </c>
      <c r="B46" s="913"/>
      <c r="C46" s="914"/>
      <c r="D46" s="96"/>
      <c r="E46" s="97"/>
      <c r="F46" s="109"/>
      <c r="G46" s="98"/>
      <c r="H46" s="99"/>
      <c r="I46" s="100"/>
      <c r="J46" s="99"/>
      <c r="K46" s="100"/>
      <c r="L46" s="99"/>
      <c r="M46" s="100"/>
      <c r="N46" s="99"/>
      <c r="O46" s="100"/>
      <c r="P46" s="99"/>
      <c r="Q46" s="100"/>
      <c r="R46" s="101"/>
      <c r="S46" s="7"/>
    </row>
    <row r="47" spans="1:19" ht="22.5" customHeight="1">
      <c r="A47" s="21">
        <v>40</v>
      </c>
      <c r="B47" s="913"/>
      <c r="C47" s="914"/>
      <c r="D47" s="96"/>
      <c r="E47" s="97"/>
      <c r="F47" s="109"/>
      <c r="G47" s="98"/>
      <c r="H47" s="99"/>
      <c r="I47" s="100"/>
      <c r="J47" s="99"/>
      <c r="K47" s="100"/>
      <c r="L47" s="99"/>
      <c r="M47" s="100"/>
      <c r="N47" s="99"/>
      <c r="O47" s="100"/>
      <c r="P47" s="99"/>
      <c r="Q47" s="100"/>
      <c r="R47" s="101"/>
      <c r="S47" s="7"/>
    </row>
    <row r="48" spans="1:19" ht="22.5" customHeight="1">
      <c r="A48" s="21">
        <v>41</v>
      </c>
      <c r="B48" s="913"/>
      <c r="C48" s="914"/>
      <c r="D48" s="96"/>
      <c r="E48" s="97"/>
      <c r="F48" s="109"/>
      <c r="G48" s="98"/>
      <c r="H48" s="99"/>
      <c r="I48" s="100"/>
      <c r="J48" s="99"/>
      <c r="K48" s="100"/>
      <c r="L48" s="99"/>
      <c r="M48" s="100"/>
      <c r="N48" s="99"/>
      <c r="O48" s="100"/>
      <c r="P48" s="99"/>
      <c r="Q48" s="100"/>
      <c r="R48" s="101"/>
      <c r="S48" s="7"/>
    </row>
    <row r="49" spans="1:22" ht="22.5" customHeight="1">
      <c r="A49" s="21">
        <v>42</v>
      </c>
      <c r="B49" s="913"/>
      <c r="C49" s="914"/>
      <c r="D49" s="96"/>
      <c r="E49" s="97"/>
      <c r="F49" s="109"/>
      <c r="G49" s="98"/>
      <c r="H49" s="99"/>
      <c r="I49" s="100"/>
      <c r="J49" s="99"/>
      <c r="K49" s="100"/>
      <c r="L49" s="99"/>
      <c r="M49" s="100"/>
      <c r="N49" s="99"/>
      <c r="O49" s="100"/>
      <c r="P49" s="99"/>
      <c r="Q49" s="100"/>
      <c r="R49" s="101"/>
      <c r="S49" s="7"/>
    </row>
    <row r="50" spans="1:22" ht="22.5" customHeight="1">
      <c r="A50" s="21">
        <v>43</v>
      </c>
      <c r="B50" s="913"/>
      <c r="C50" s="914"/>
      <c r="D50" s="96"/>
      <c r="E50" s="97"/>
      <c r="F50" s="109"/>
      <c r="G50" s="98"/>
      <c r="H50" s="99"/>
      <c r="I50" s="100"/>
      <c r="J50" s="99"/>
      <c r="K50" s="100"/>
      <c r="L50" s="99"/>
      <c r="M50" s="100"/>
      <c r="N50" s="99"/>
      <c r="O50" s="100"/>
      <c r="P50" s="99"/>
      <c r="Q50" s="100"/>
      <c r="R50" s="101"/>
      <c r="S50" s="7"/>
    </row>
    <row r="51" spans="1:22" ht="22.5" customHeight="1">
      <c r="A51" s="21">
        <v>44</v>
      </c>
      <c r="B51" s="913"/>
      <c r="C51" s="914"/>
      <c r="D51" s="96"/>
      <c r="E51" s="97"/>
      <c r="F51" s="109"/>
      <c r="G51" s="98"/>
      <c r="H51" s="99"/>
      <c r="I51" s="100"/>
      <c r="J51" s="99"/>
      <c r="K51" s="100"/>
      <c r="L51" s="99"/>
      <c r="M51" s="100"/>
      <c r="N51" s="99"/>
      <c r="O51" s="100"/>
      <c r="P51" s="99"/>
      <c r="Q51" s="100"/>
      <c r="R51" s="101"/>
      <c r="S51" s="7"/>
    </row>
    <row r="52" spans="1:22" ht="22.5" customHeight="1">
      <c r="A52" s="21">
        <v>45</v>
      </c>
      <c r="B52" s="913"/>
      <c r="C52" s="914"/>
      <c r="D52" s="96"/>
      <c r="E52" s="97"/>
      <c r="F52" s="109"/>
      <c r="G52" s="98"/>
      <c r="H52" s="99"/>
      <c r="I52" s="100"/>
      <c r="J52" s="99"/>
      <c r="K52" s="100"/>
      <c r="L52" s="99"/>
      <c r="M52" s="100"/>
      <c r="N52" s="99"/>
      <c r="O52" s="100"/>
      <c r="P52" s="99"/>
      <c r="Q52" s="100"/>
      <c r="R52" s="101"/>
      <c r="S52" s="7"/>
    </row>
    <row r="53" spans="1:22" ht="22.5" customHeight="1">
      <c r="A53" s="21">
        <v>46</v>
      </c>
      <c r="B53" s="913"/>
      <c r="C53" s="914"/>
      <c r="D53" s="96"/>
      <c r="E53" s="97"/>
      <c r="F53" s="109"/>
      <c r="G53" s="98"/>
      <c r="H53" s="99"/>
      <c r="I53" s="100"/>
      <c r="J53" s="99"/>
      <c r="K53" s="100"/>
      <c r="L53" s="99"/>
      <c r="M53" s="100"/>
      <c r="N53" s="99"/>
      <c r="O53" s="100"/>
      <c r="P53" s="99"/>
      <c r="Q53" s="100"/>
      <c r="R53" s="101"/>
      <c r="S53" s="7"/>
    </row>
    <row r="54" spans="1:22" ht="22.5" customHeight="1">
      <c r="A54" s="21">
        <v>47</v>
      </c>
      <c r="B54" s="913"/>
      <c r="C54" s="914"/>
      <c r="D54" s="96"/>
      <c r="E54" s="97"/>
      <c r="F54" s="109"/>
      <c r="G54" s="98"/>
      <c r="H54" s="99"/>
      <c r="I54" s="100"/>
      <c r="J54" s="99"/>
      <c r="K54" s="100"/>
      <c r="L54" s="99"/>
      <c r="M54" s="100"/>
      <c r="N54" s="99"/>
      <c r="O54" s="100"/>
      <c r="P54" s="99"/>
      <c r="Q54" s="100"/>
      <c r="R54" s="101"/>
      <c r="S54" s="7"/>
    </row>
    <row r="55" spans="1:22" ht="22.5" customHeight="1">
      <c r="A55" s="21">
        <v>48</v>
      </c>
      <c r="B55" s="913"/>
      <c r="C55" s="914"/>
      <c r="D55" s="96"/>
      <c r="E55" s="97"/>
      <c r="F55" s="109"/>
      <c r="G55" s="98"/>
      <c r="H55" s="99"/>
      <c r="I55" s="100"/>
      <c r="J55" s="99"/>
      <c r="K55" s="100"/>
      <c r="L55" s="99"/>
      <c r="M55" s="100"/>
      <c r="N55" s="99"/>
      <c r="O55" s="100"/>
      <c r="P55" s="99"/>
      <c r="Q55" s="100"/>
      <c r="R55" s="101"/>
      <c r="S55" s="7"/>
    </row>
    <row r="56" spans="1:22" ht="22.5" customHeight="1">
      <c r="A56" s="21">
        <v>49</v>
      </c>
      <c r="B56" s="913"/>
      <c r="C56" s="914"/>
      <c r="D56" s="96"/>
      <c r="E56" s="97"/>
      <c r="F56" s="109"/>
      <c r="G56" s="98"/>
      <c r="H56" s="99"/>
      <c r="I56" s="100"/>
      <c r="J56" s="99"/>
      <c r="K56" s="100"/>
      <c r="L56" s="99"/>
      <c r="M56" s="100"/>
      <c r="N56" s="99"/>
      <c r="O56" s="100"/>
      <c r="P56" s="99"/>
      <c r="Q56" s="100"/>
      <c r="R56" s="101"/>
      <c r="S56" s="7"/>
    </row>
    <row r="57" spans="1:22" ht="22.5" customHeight="1" thickBot="1">
      <c r="A57" s="106">
        <v>50</v>
      </c>
      <c r="B57" s="928"/>
      <c r="C57" s="929"/>
      <c r="D57" s="96"/>
      <c r="E57" s="97"/>
      <c r="F57" s="109"/>
      <c r="G57" s="102"/>
      <c r="H57" s="103"/>
      <c r="I57" s="104"/>
      <c r="J57" s="103"/>
      <c r="K57" s="104"/>
      <c r="L57" s="103"/>
      <c r="M57" s="104"/>
      <c r="N57" s="103"/>
      <c r="O57" s="104"/>
      <c r="P57" s="103"/>
      <c r="Q57" s="104"/>
      <c r="R57" s="125"/>
      <c r="S57" s="7"/>
    </row>
    <row r="58" spans="1:22" ht="26.1" customHeight="1" thickBot="1">
      <c r="A58" s="908" t="s">
        <v>104</v>
      </c>
      <c r="B58" s="909"/>
      <c r="C58" s="909"/>
      <c r="D58" s="909"/>
      <c r="E58" s="910"/>
      <c r="F58" s="910"/>
      <c r="G58" s="110">
        <f>COUNTIF(G8:G57,"○")</f>
        <v>0</v>
      </c>
      <c r="H58" s="453">
        <f t="shared" ref="H58:R58" si="0">COUNTIF(H8:H57,"○")</f>
        <v>0</v>
      </c>
      <c r="I58" s="453">
        <f t="shared" si="0"/>
        <v>0</v>
      </c>
      <c r="J58" s="453">
        <f t="shared" si="0"/>
        <v>0</v>
      </c>
      <c r="K58" s="453">
        <f t="shared" si="0"/>
        <v>0</v>
      </c>
      <c r="L58" s="453">
        <f t="shared" si="0"/>
        <v>0</v>
      </c>
      <c r="M58" s="453">
        <f t="shared" si="0"/>
        <v>0</v>
      </c>
      <c r="N58" s="453">
        <f t="shared" si="0"/>
        <v>0</v>
      </c>
      <c r="O58" s="453">
        <f t="shared" si="0"/>
        <v>0</v>
      </c>
      <c r="P58" s="453">
        <f t="shared" si="0"/>
        <v>0</v>
      </c>
      <c r="Q58" s="453">
        <f t="shared" si="0"/>
        <v>0</v>
      </c>
      <c r="R58" s="454">
        <f t="shared" si="0"/>
        <v>0</v>
      </c>
      <c r="S58" s="7"/>
    </row>
    <row r="59" spans="1:22" ht="23.25" customHeight="1">
      <c r="A59" s="114"/>
      <c r="B59" s="114"/>
      <c r="C59" s="114"/>
      <c r="D59" s="114"/>
      <c r="E59" s="114"/>
      <c r="F59" s="114"/>
      <c r="G59" s="114"/>
      <c r="H59" s="114"/>
      <c r="I59" s="114"/>
      <c r="J59" s="114"/>
      <c r="K59" s="114"/>
      <c r="L59" s="114"/>
      <c r="M59" s="114"/>
      <c r="N59" s="114"/>
      <c r="O59" s="114"/>
      <c r="P59" s="114"/>
      <c r="Q59" s="114"/>
      <c r="R59" s="114"/>
      <c r="S59" s="115"/>
      <c r="T59" s="114"/>
      <c r="U59" s="114"/>
    </row>
    <row r="60" spans="1:22" ht="35.25" customHeight="1">
      <c r="A60" s="114"/>
      <c r="B60" s="114"/>
      <c r="C60" s="114"/>
      <c r="D60" s="114"/>
      <c r="E60" s="114"/>
      <c r="F60" s="114"/>
      <c r="G60" s="114"/>
      <c r="H60" s="114"/>
      <c r="I60" s="114"/>
      <c r="J60" s="114"/>
      <c r="K60" s="114"/>
      <c r="L60" s="114"/>
      <c r="M60" s="114"/>
      <c r="N60" s="114"/>
      <c r="O60" s="114"/>
      <c r="P60" s="114"/>
      <c r="Q60" s="114"/>
      <c r="R60" s="114"/>
      <c r="S60" s="115"/>
      <c r="T60" s="114"/>
      <c r="U60" s="114"/>
      <c r="V60" s="107"/>
    </row>
    <row r="61" spans="1:22" ht="23.25" customHeight="1">
      <c r="A61" s="114"/>
      <c r="B61" s="114"/>
      <c r="C61" s="114"/>
      <c r="D61" s="114"/>
      <c r="E61" s="114"/>
      <c r="F61" s="114"/>
      <c r="G61" s="114"/>
      <c r="H61" s="114"/>
      <c r="I61" s="114"/>
      <c r="J61" s="114"/>
      <c r="K61" s="114"/>
      <c r="L61" s="114"/>
      <c r="M61" s="114"/>
      <c r="N61" s="114"/>
      <c r="O61" s="114"/>
      <c r="P61" s="114"/>
      <c r="Q61" s="114"/>
      <c r="R61" s="114"/>
      <c r="S61" s="115"/>
      <c r="T61" s="114"/>
      <c r="U61" s="114"/>
    </row>
    <row r="62" spans="1:22" ht="23.25" customHeight="1" thickBot="1">
      <c r="A62" s="116" t="s">
        <v>107</v>
      </c>
      <c r="B62" s="114"/>
      <c r="C62" s="114"/>
      <c r="D62" s="114"/>
      <c r="E62" s="114"/>
      <c r="F62" s="114"/>
      <c r="G62" s="114"/>
      <c r="H62" s="114"/>
      <c r="I62" s="114"/>
      <c r="J62" s="114"/>
      <c r="K62" s="114"/>
      <c r="L62" s="114"/>
      <c r="M62" s="114"/>
      <c r="N62" s="114"/>
      <c r="O62" s="114"/>
      <c r="P62" s="114"/>
      <c r="Q62" s="114"/>
      <c r="R62" s="114"/>
      <c r="S62" s="115"/>
      <c r="T62" s="114"/>
      <c r="U62" s="114"/>
    </row>
    <row r="63" spans="1:22" ht="23.25" customHeight="1">
      <c r="A63" s="915" t="s">
        <v>13</v>
      </c>
      <c r="B63" s="917" t="s">
        <v>108</v>
      </c>
      <c r="C63" s="918"/>
      <c r="D63" s="911" t="s">
        <v>101</v>
      </c>
      <c r="E63" s="910"/>
      <c r="F63" s="910"/>
      <c r="G63" s="921" t="s">
        <v>102</v>
      </c>
      <c r="H63" s="922"/>
      <c r="I63" s="922"/>
      <c r="J63" s="922"/>
      <c r="K63" s="922"/>
      <c r="L63" s="922"/>
      <c r="M63" s="922"/>
      <c r="N63" s="922"/>
      <c r="O63" s="922"/>
      <c r="P63" s="922"/>
      <c r="Q63" s="922"/>
      <c r="R63" s="923"/>
      <c r="S63" s="115"/>
      <c r="T63" s="930" t="s">
        <v>109</v>
      </c>
      <c r="U63" s="930"/>
    </row>
    <row r="64" spans="1:22" ht="23.25" customHeight="1">
      <c r="A64" s="916"/>
      <c r="B64" s="919"/>
      <c r="C64" s="920"/>
      <c r="D64" s="111" t="s">
        <v>110</v>
      </c>
      <c r="E64" s="95" t="s">
        <v>111</v>
      </c>
      <c r="F64" s="108" t="s">
        <v>112</v>
      </c>
      <c r="G64" s="430">
        <v>4</v>
      </c>
      <c r="H64" s="429">
        <v>5</v>
      </c>
      <c r="I64" s="429">
        <v>6</v>
      </c>
      <c r="J64" s="429">
        <v>7</v>
      </c>
      <c r="K64" s="429">
        <v>8</v>
      </c>
      <c r="L64" s="429">
        <v>9</v>
      </c>
      <c r="M64" s="429">
        <v>10</v>
      </c>
      <c r="N64" s="429">
        <v>11</v>
      </c>
      <c r="O64" s="429">
        <v>12</v>
      </c>
      <c r="P64" s="429">
        <v>1</v>
      </c>
      <c r="Q64" s="429">
        <v>2</v>
      </c>
      <c r="R64" s="431">
        <v>3</v>
      </c>
      <c r="S64" s="115"/>
      <c r="T64" s="930"/>
      <c r="U64" s="930"/>
    </row>
    <row r="65" spans="1:21" ht="23.25" customHeight="1">
      <c r="A65" s="21">
        <v>1</v>
      </c>
      <c r="B65" s="913"/>
      <c r="C65" s="914"/>
      <c r="D65" s="96"/>
      <c r="E65" s="97"/>
      <c r="F65" s="109"/>
      <c r="G65" s="98"/>
      <c r="H65" s="99"/>
      <c r="I65" s="100"/>
      <c r="J65" s="99"/>
      <c r="K65" s="100"/>
      <c r="L65" s="99"/>
      <c r="M65" s="100"/>
      <c r="N65" s="99"/>
      <c r="O65" s="100"/>
      <c r="P65" s="99"/>
      <c r="Q65" s="100"/>
      <c r="R65" s="101"/>
      <c r="S65" s="115"/>
      <c r="T65" s="930"/>
      <c r="U65" s="930"/>
    </row>
    <row r="66" spans="1:21" ht="23.25" customHeight="1">
      <c r="A66" s="21">
        <v>2</v>
      </c>
      <c r="B66" s="913"/>
      <c r="C66" s="914"/>
      <c r="D66" s="96"/>
      <c r="E66" s="97"/>
      <c r="F66" s="109"/>
      <c r="G66" s="98"/>
      <c r="H66" s="99"/>
      <c r="I66" s="100"/>
      <c r="J66" s="99"/>
      <c r="K66" s="100"/>
      <c r="L66" s="99"/>
      <c r="M66" s="100"/>
      <c r="N66" s="99"/>
      <c r="O66" s="100"/>
      <c r="P66" s="99"/>
      <c r="Q66" s="100"/>
      <c r="R66" s="101"/>
      <c r="S66" s="115"/>
      <c r="T66" s="117">
        <f>'様式３（非専従の常勤＋非常勤）'!L39</f>
        <v>0</v>
      </c>
      <c r="U66" s="118" t="s">
        <v>21</v>
      </c>
    </row>
    <row r="67" spans="1:21" ht="23.25" customHeight="1">
      <c r="A67" s="21">
        <v>3</v>
      </c>
      <c r="B67" s="913"/>
      <c r="C67" s="914"/>
      <c r="D67" s="96"/>
      <c r="E67" s="97"/>
      <c r="F67" s="109"/>
      <c r="G67" s="98"/>
      <c r="H67" s="99"/>
      <c r="I67" s="100"/>
      <c r="J67" s="99"/>
      <c r="K67" s="100"/>
      <c r="L67" s="99"/>
      <c r="M67" s="100"/>
      <c r="N67" s="99"/>
      <c r="O67" s="100"/>
      <c r="P67" s="99"/>
      <c r="Q67" s="100"/>
      <c r="R67" s="101"/>
      <c r="S67" s="115"/>
      <c r="T67" s="114"/>
      <c r="U67" s="114"/>
    </row>
    <row r="68" spans="1:21" ht="23.25" customHeight="1">
      <c r="A68" s="21">
        <v>4</v>
      </c>
      <c r="B68" s="913"/>
      <c r="C68" s="914"/>
      <c r="D68" s="96"/>
      <c r="E68" s="97"/>
      <c r="F68" s="109"/>
      <c r="G68" s="98"/>
      <c r="H68" s="99"/>
      <c r="I68" s="100"/>
      <c r="J68" s="99"/>
      <c r="K68" s="100"/>
      <c r="L68" s="99"/>
      <c r="M68" s="100"/>
      <c r="N68" s="99"/>
      <c r="O68" s="100"/>
      <c r="P68" s="99"/>
      <c r="Q68" s="100"/>
      <c r="R68" s="101"/>
      <c r="S68" s="115"/>
      <c r="T68" s="114"/>
      <c r="U68" s="114"/>
    </row>
    <row r="69" spans="1:21" ht="23.25" customHeight="1">
      <c r="A69" s="21">
        <v>5</v>
      </c>
      <c r="B69" s="913"/>
      <c r="C69" s="914"/>
      <c r="D69" s="96"/>
      <c r="E69" s="97"/>
      <c r="F69" s="109"/>
      <c r="G69" s="98"/>
      <c r="H69" s="99"/>
      <c r="I69" s="100"/>
      <c r="J69" s="99"/>
      <c r="K69" s="100"/>
      <c r="L69" s="99"/>
      <c r="M69" s="100"/>
      <c r="N69" s="99"/>
      <c r="O69" s="100"/>
      <c r="P69" s="99"/>
      <c r="Q69" s="100"/>
      <c r="R69" s="101"/>
      <c r="S69" s="115"/>
      <c r="T69" s="114"/>
      <c r="U69" s="114"/>
    </row>
    <row r="70" spans="1:21" ht="23.25" customHeight="1">
      <c r="A70" s="908" t="s">
        <v>113</v>
      </c>
      <c r="B70" s="909"/>
      <c r="C70" s="909"/>
      <c r="D70" s="909"/>
      <c r="E70" s="910"/>
      <c r="F70" s="910"/>
      <c r="G70" s="443">
        <f>COUNTIF(G65:G69,"&gt;0")</f>
        <v>0</v>
      </c>
      <c r="H70" s="444">
        <f t="shared" ref="H70:R70" si="1">COUNTIF(H65:H69,"&gt;0")</f>
        <v>0</v>
      </c>
      <c r="I70" s="444">
        <f t="shared" si="1"/>
        <v>0</v>
      </c>
      <c r="J70" s="444">
        <f t="shared" si="1"/>
        <v>0</v>
      </c>
      <c r="K70" s="444">
        <f t="shared" si="1"/>
        <v>0</v>
      </c>
      <c r="L70" s="444">
        <f t="shared" si="1"/>
        <v>0</v>
      </c>
      <c r="M70" s="444">
        <f t="shared" si="1"/>
        <v>0</v>
      </c>
      <c r="N70" s="444">
        <f t="shared" si="1"/>
        <v>0</v>
      </c>
      <c r="O70" s="444">
        <f t="shared" si="1"/>
        <v>0</v>
      </c>
      <c r="P70" s="444">
        <f t="shared" si="1"/>
        <v>0</v>
      </c>
      <c r="Q70" s="444">
        <f t="shared" si="1"/>
        <v>0</v>
      </c>
      <c r="R70" s="449">
        <f t="shared" si="1"/>
        <v>0</v>
      </c>
      <c r="S70" s="119"/>
      <c r="T70" s="119"/>
      <c r="U70" s="119"/>
    </row>
    <row r="71" spans="1:21" ht="23.25" customHeight="1">
      <c r="A71" s="908" t="s">
        <v>258</v>
      </c>
      <c r="B71" s="909"/>
      <c r="C71" s="909"/>
      <c r="D71" s="909"/>
      <c r="E71" s="910"/>
      <c r="F71" s="910"/>
      <c r="G71" s="445">
        <f>IFERROR(SUM(G65:G69)/$T$66,0)</f>
        <v>0</v>
      </c>
      <c r="H71" s="446">
        <f t="shared" ref="H71:R71" si="2">IFERROR(SUM(H65:H69)/$T$66,0)</f>
        <v>0</v>
      </c>
      <c r="I71" s="446">
        <f t="shared" si="2"/>
        <v>0</v>
      </c>
      <c r="J71" s="446">
        <f t="shared" si="2"/>
        <v>0</v>
      </c>
      <c r="K71" s="446">
        <f t="shared" si="2"/>
        <v>0</v>
      </c>
      <c r="L71" s="446">
        <f t="shared" si="2"/>
        <v>0</v>
      </c>
      <c r="M71" s="446">
        <f t="shared" si="2"/>
        <v>0</v>
      </c>
      <c r="N71" s="446">
        <f t="shared" si="2"/>
        <v>0</v>
      </c>
      <c r="O71" s="446">
        <f t="shared" si="2"/>
        <v>0</v>
      </c>
      <c r="P71" s="446">
        <f t="shared" si="2"/>
        <v>0</v>
      </c>
      <c r="Q71" s="446">
        <f t="shared" si="2"/>
        <v>0</v>
      </c>
      <c r="R71" s="450">
        <f t="shared" si="2"/>
        <v>0</v>
      </c>
      <c r="S71" s="115"/>
      <c r="T71" s="114"/>
      <c r="U71" s="114"/>
    </row>
    <row r="72" spans="1:21" ht="23.25" customHeight="1">
      <c r="A72" s="931" t="s">
        <v>293</v>
      </c>
      <c r="B72" s="932"/>
      <c r="C72" s="932"/>
      <c r="D72" s="932"/>
      <c r="E72" s="934"/>
      <c r="F72" s="934"/>
      <c r="G72" s="344">
        <f>IF(G71&gt;=1,1,G71)</f>
        <v>0</v>
      </c>
      <c r="H72" s="345">
        <f t="shared" ref="H72:R72" si="3">IF(H71&gt;=1,1,H71)</f>
        <v>0</v>
      </c>
      <c r="I72" s="345">
        <f t="shared" si="3"/>
        <v>0</v>
      </c>
      <c r="J72" s="345">
        <f t="shared" si="3"/>
        <v>0</v>
      </c>
      <c r="K72" s="345">
        <f t="shared" si="3"/>
        <v>0</v>
      </c>
      <c r="L72" s="345">
        <f t="shared" si="3"/>
        <v>0</v>
      </c>
      <c r="M72" s="345">
        <f t="shared" si="3"/>
        <v>0</v>
      </c>
      <c r="N72" s="345">
        <f t="shared" si="3"/>
        <v>0</v>
      </c>
      <c r="O72" s="345">
        <f t="shared" si="3"/>
        <v>0</v>
      </c>
      <c r="P72" s="345">
        <f t="shared" si="3"/>
        <v>0</v>
      </c>
      <c r="Q72" s="345">
        <f t="shared" si="3"/>
        <v>0</v>
      </c>
      <c r="R72" s="346">
        <f t="shared" si="3"/>
        <v>0</v>
      </c>
      <c r="S72" s="115"/>
      <c r="T72" s="114"/>
      <c r="U72" s="114"/>
    </row>
    <row r="73" spans="1:21" ht="23.25" customHeight="1">
      <c r="A73" s="931" t="s">
        <v>292</v>
      </c>
      <c r="B73" s="932"/>
      <c r="C73" s="932"/>
      <c r="D73" s="932"/>
      <c r="E73" s="932"/>
      <c r="F73" s="933"/>
      <c r="G73" s="356">
        <f>IF(G71-1&lt;0,0,IF(G71-1&gt;=1,1,G71-1))</f>
        <v>0</v>
      </c>
      <c r="H73" s="447">
        <f t="shared" ref="H73:R73" si="4">IF(H71-1&lt;0,0,IF(H71-1&gt;=1,1,H71-1))</f>
        <v>0</v>
      </c>
      <c r="I73" s="447">
        <f t="shared" si="4"/>
        <v>0</v>
      </c>
      <c r="J73" s="447">
        <f t="shared" si="4"/>
        <v>0</v>
      </c>
      <c r="K73" s="447">
        <f t="shared" si="4"/>
        <v>0</v>
      </c>
      <c r="L73" s="447">
        <f t="shared" si="4"/>
        <v>0</v>
      </c>
      <c r="M73" s="447">
        <f t="shared" si="4"/>
        <v>0</v>
      </c>
      <c r="N73" s="447">
        <f t="shared" si="4"/>
        <v>0</v>
      </c>
      <c r="O73" s="447">
        <f t="shared" si="4"/>
        <v>0</v>
      </c>
      <c r="P73" s="447">
        <f t="shared" si="4"/>
        <v>0</v>
      </c>
      <c r="Q73" s="447">
        <f t="shared" si="4"/>
        <v>0</v>
      </c>
      <c r="R73" s="451">
        <f t="shared" si="4"/>
        <v>0</v>
      </c>
      <c r="S73" s="115"/>
      <c r="T73" s="114"/>
      <c r="U73" s="114"/>
    </row>
    <row r="74" spans="1:21" ht="26.25" customHeight="1" thickBot="1">
      <c r="A74" s="316"/>
      <c r="B74" s="316"/>
      <c r="C74" s="316"/>
      <c r="D74" s="316"/>
      <c r="E74" s="316"/>
      <c r="F74" s="316"/>
      <c r="G74" s="317" t="str">
        <f>IF(OR(AND(様式１!$E9&lt;=3,G72&gt;0),AND(様式１!$N9&lt;=3,G73&gt;0)),"注","")</f>
        <v/>
      </c>
      <c r="H74" s="448" t="str">
        <f>IF(OR(AND(様式１!$E12&lt;=3,H72&gt;0),AND(様式１!$N12&lt;=3,H73&gt;0)),"注","")</f>
        <v/>
      </c>
      <c r="I74" s="448" t="str">
        <f>IF(OR(AND(様式１!$E15&lt;=3,I72&gt;0),AND(様式１!$N15&lt;=3,I73&gt;0)),"注","")</f>
        <v/>
      </c>
      <c r="J74" s="448" t="str">
        <f>IF(OR(AND(様式１!$E18&lt;=3,J72&gt;0),AND(様式１!$N18&lt;=3,J73&gt;0)),"注","")</f>
        <v/>
      </c>
      <c r="K74" s="448" t="str">
        <f>IF(OR(AND(様式１!$E21&lt;=3,K72&gt;0),AND(様式１!$N21&lt;=3,K73&gt;0)),"注","")</f>
        <v/>
      </c>
      <c r="L74" s="448" t="str">
        <f>IF(OR(AND(様式１!$E24&lt;=3,L72&gt;0),AND(様式１!$N24&lt;=3,L73&gt;0)),"注","")</f>
        <v/>
      </c>
      <c r="M74" s="448" t="str">
        <f>IF(OR(AND(様式１!$E27&lt;=3,M72&gt;0),AND(様式１!$N27&lt;=3,M73&gt;0)),"注","")</f>
        <v/>
      </c>
      <c r="N74" s="448" t="str">
        <f>IF(OR(AND(様式１!$E30&lt;=3,N72&gt;0),AND(様式１!$N30&lt;=3,N73&gt;0)),"注","")</f>
        <v/>
      </c>
      <c r="O74" s="448" t="str">
        <f>IF(OR(AND(様式１!$E33&lt;=3,O72&gt;0),AND(様式１!$N33&lt;=3,O73&gt;0)),"注","")</f>
        <v/>
      </c>
      <c r="P74" s="448" t="str">
        <f>IF(OR(AND(様式１!$E36&lt;=3,P72&gt;0),AND(様式１!$N36&lt;=3,P73&gt;0)),"注","")</f>
        <v/>
      </c>
      <c r="Q74" s="448" t="str">
        <f>IF(OR(AND(様式１!$E39&lt;=3,Q72&gt;0),AND(様式１!$N39&lt;=3,Q73&gt;0)),"注","")</f>
        <v/>
      </c>
      <c r="R74" s="452" t="str">
        <f>IF(OR(AND(様式１!$E42&lt;=3,R72&gt;0),AND(様式１!$N42&lt;=3,R73&gt;0)),"注","")</f>
        <v/>
      </c>
      <c r="S74" s="115"/>
      <c r="T74" s="114"/>
      <c r="U74" s="114"/>
    </row>
    <row r="75" spans="1:21" ht="96.75" customHeight="1">
      <c r="A75"/>
      <c r="B75"/>
      <c r="C75"/>
      <c r="D75"/>
      <c r="E75"/>
      <c r="F75"/>
      <c r="G75"/>
      <c r="H75"/>
      <c r="I75"/>
      <c r="J75"/>
      <c r="K75"/>
      <c r="L75"/>
      <c r="M75"/>
      <c r="N75"/>
      <c r="O75"/>
      <c r="P75"/>
      <c r="Q75"/>
      <c r="R75"/>
      <c r="S75" s="7"/>
    </row>
    <row r="76" spans="1:21" ht="23.25" customHeight="1" thickBot="1">
      <c r="A76" s="116" t="s">
        <v>385</v>
      </c>
      <c r="B76" s="114"/>
      <c r="C76" s="114"/>
      <c r="D76" s="114"/>
      <c r="E76" s="114"/>
      <c r="F76" s="114"/>
      <c r="G76" s="114"/>
      <c r="H76" s="114"/>
      <c r="I76" s="114"/>
      <c r="J76" s="114"/>
      <c r="K76" s="114"/>
      <c r="L76" s="114"/>
      <c r="M76" s="114"/>
      <c r="N76" s="114"/>
      <c r="O76" s="114"/>
      <c r="P76" s="114"/>
      <c r="Q76" s="114"/>
      <c r="R76" s="114"/>
      <c r="S76" s="115"/>
      <c r="T76" s="114"/>
      <c r="U76" s="114"/>
    </row>
    <row r="77" spans="1:21" ht="23.25" customHeight="1">
      <c r="A77" s="915" t="s">
        <v>13</v>
      </c>
      <c r="B77" s="917" t="s">
        <v>108</v>
      </c>
      <c r="C77" s="918"/>
      <c r="D77" s="911" t="s">
        <v>101</v>
      </c>
      <c r="E77" s="912"/>
      <c r="F77" s="455"/>
      <c r="G77" s="921" t="s">
        <v>102</v>
      </c>
      <c r="H77" s="922"/>
      <c r="I77" s="922"/>
      <c r="J77" s="922"/>
      <c r="K77" s="922"/>
      <c r="L77" s="922"/>
      <c r="M77" s="922"/>
      <c r="N77" s="922"/>
      <c r="O77" s="922"/>
      <c r="P77" s="922"/>
      <c r="Q77" s="922"/>
      <c r="R77" s="923"/>
      <c r="S77" s="115"/>
      <c r="T77" s="438"/>
      <c r="U77" s="438"/>
    </row>
    <row r="78" spans="1:21" ht="23.25" customHeight="1">
      <c r="A78" s="916"/>
      <c r="B78" s="919"/>
      <c r="C78" s="920"/>
      <c r="D78" s="441" t="s">
        <v>386</v>
      </c>
      <c r="E78" s="442" t="s">
        <v>387</v>
      </c>
      <c r="F78" s="456"/>
      <c r="G78" s="430">
        <v>4</v>
      </c>
      <c r="H78" s="429">
        <v>5</v>
      </c>
      <c r="I78" s="429">
        <v>6</v>
      </c>
      <c r="J78" s="429">
        <v>7</v>
      </c>
      <c r="K78" s="429">
        <v>8</v>
      </c>
      <c r="L78" s="429">
        <v>9</v>
      </c>
      <c r="M78" s="429">
        <v>10</v>
      </c>
      <c r="N78" s="429">
        <v>11</v>
      </c>
      <c r="O78" s="429">
        <v>12</v>
      </c>
      <c r="P78" s="429">
        <v>1</v>
      </c>
      <c r="Q78" s="429">
        <v>2</v>
      </c>
      <c r="R78" s="431">
        <v>3</v>
      </c>
      <c r="S78" s="115"/>
      <c r="T78" s="438"/>
      <c r="U78" s="438"/>
    </row>
    <row r="79" spans="1:21" ht="23.25" customHeight="1">
      <c r="A79" s="198">
        <v>1</v>
      </c>
      <c r="B79" s="913"/>
      <c r="C79" s="914"/>
      <c r="D79" s="96"/>
      <c r="E79" s="109"/>
      <c r="F79" s="471"/>
      <c r="G79" s="98"/>
      <c r="H79" s="99"/>
      <c r="I79" s="100"/>
      <c r="J79" s="99"/>
      <c r="K79" s="100"/>
      <c r="L79" s="99"/>
      <c r="M79" s="100"/>
      <c r="N79" s="99"/>
      <c r="O79" s="100"/>
      <c r="P79" s="99"/>
      <c r="Q79" s="100"/>
      <c r="R79" s="101"/>
      <c r="S79" s="115"/>
      <c r="T79" s="438"/>
      <c r="U79" s="438"/>
    </row>
    <row r="80" spans="1:21" ht="23.25" customHeight="1">
      <c r="A80" s="198">
        <v>2</v>
      </c>
      <c r="B80" s="913"/>
      <c r="C80" s="914"/>
      <c r="D80" s="96"/>
      <c r="E80" s="109"/>
      <c r="F80" s="471"/>
      <c r="G80" s="98"/>
      <c r="H80" s="99"/>
      <c r="I80" s="100"/>
      <c r="J80" s="99"/>
      <c r="K80" s="100"/>
      <c r="L80" s="99"/>
      <c r="M80" s="100"/>
      <c r="N80" s="99"/>
      <c r="O80" s="100"/>
      <c r="P80" s="99"/>
      <c r="Q80" s="100"/>
      <c r="R80" s="101"/>
      <c r="S80" s="115"/>
      <c r="T80" s="439"/>
      <c r="U80" s="440"/>
    </row>
    <row r="81" spans="1:21" ht="23.25" customHeight="1">
      <c r="A81" s="198">
        <v>3</v>
      </c>
      <c r="B81" s="913"/>
      <c r="C81" s="914"/>
      <c r="D81" s="96"/>
      <c r="E81" s="109"/>
      <c r="F81" s="471"/>
      <c r="G81" s="98"/>
      <c r="H81" s="99"/>
      <c r="I81" s="100"/>
      <c r="J81" s="99"/>
      <c r="K81" s="100"/>
      <c r="L81" s="99"/>
      <c r="M81" s="100"/>
      <c r="N81" s="99"/>
      <c r="O81" s="100"/>
      <c r="P81" s="99"/>
      <c r="Q81" s="100"/>
      <c r="R81" s="101"/>
      <c r="S81" s="115"/>
      <c r="T81" s="440"/>
      <c r="U81" s="440"/>
    </row>
    <row r="82" spans="1:21" ht="23.25" customHeight="1">
      <c r="A82" s="198">
        <v>4</v>
      </c>
      <c r="B82" s="913"/>
      <c r="C82" s="914"/>
      <c r="D82" s="96"/>
      <c r="E82" s="109"/>
      <c r="F82" s="471"/>
      <c r="G82" s="98"/>
      <c r="H82" s="99"/>
      <c r="I82" s="100"/>
      <c r="J82" s="99"/>
      <c r="K82" s="100"/>
      <c r="L82" s="99"/>
      <c r="M82" s="100"/>
      <c r="N82" s="99"/>
      <c r="O82" s="100"/>
      <c r="P82" s="99"/>
      <c r="Q82" s="100"/>
      <c r="R82" s="101"/>
      <c r="S82" s="115"/>
      <c r="T82" s="114"/>
      <c r="U82" s="114"/>
    </row>
    <row r="83" spans="1:21" ht="23.25" customHeight="1">
      <c r="A83" s="198">
        <v>5</v>
      </c>
      <c r="B83" s="913"/>
      <c r="C83" s="914"/>
      <c r="D83" s="96"/>
      <c r="E83" s="109"/>
      <c r="F83" s="471"/>
      <c r="G83" s="98"/>
      <c r="H83" s="99"/>
      <c r="I83" s="100"/>
      <c r="J83" s="99"/>
      <c r="K83" s="100"/>
      <c r="L83" s="99"/>
      <c r="M83" s="100"/>
      <c r="N83" s="99"/>
      <c r="O83" s="100"/>
      <c r="P83" s="99"/>
      <c r="Q83" s="100"/>
      <c r="R83" s="101"/>
      <c r="S83" s="115"/>
      <c r="T83" s="114"/>
      <c r="U83" s="114"/>
    </row>
    <row r="84" spans="1:21" ht="23.25" customHeight="1">
      <c r="A84" s="908" t="s">
        <v>113</v>
      </c>
      <c r="B84" s="909"/>
      <c r="C84" s="909"/>
      <c r="D84" s="909"/>
      <c r="E84" s="910"/>
      <c r="F84" s="910"/>
      <c r="G84" s="112">
        <f>COUNTIF(G79:G83,"&gt;0")</f>
        <v>0</v>
      </c>
      <c r="H84" s="444">
        <f t="shared" ref="H84:R84" si="5">COUNTIF(H79:H83,"&gt;0")</f>
        <v>0</v>
      </c>
      <c r="I84" s="444">
        <f t="shared" si="5"/>
        <v>0</v>
      </c>
      <c r="J84" s="444">
        <f t="shared" si="5"/>
        <v>0</v>
      </c>
      <c r="K84" s="444">
        <f t="shared" si="5"/>
        <v>0</v>
      </c>
      <c r="L84" s="444">
        <f t="shared" si="5"/>
        <v>0</v>
      </c>
      <c r="M84" s="444">
        <f t="shared" si="5"/>
        <v>0</v>
      </c>
      <c r="N84" s="444">
        <f t="shared" si="5"/>
        <v>0</v>
      </c>
      <c r="O84" s="444">
        <f t="shared" si="5"/>
        <v>0</v>
      </c>
      <c r="P84" s="444">
        <f t="shared" si="5"/>
        <v>0</v>
      </c>
      <c r="Q84" s="444">
        <f t="shared" si="5"/>
        <v>0</v>
      </c>
      <c r="R84" s="457">
        <f t="shared" si="5"/>
        <v>0</v>
      </c>
      <c r="S84" s="119"/>
      <c r="T84" s="119"/>
      <c r="U84" s="119"/>
    </row>
    <row r="85" spans="1:21" ht="23.25" customHeight="1" thickBot="1">
      <c r="A85" s="908" t="s">
        <v>388</v>
      </c>
      <c r="B85" s="909"/>
      <c r="C85" s="909"/>
      <c r="D85" s="909"/>
      <c r="E85" s="910"/>
      <c r="F85" s="910"/>
      <c r="G85" s="437">
        <f>IFERROR(SUM(G79:G83)/$T$66,0)</f>
        <v>0</v>
      </c>
      <c r="H85" s="459">
        <f t="shared" ref="H85:Q85" si="6">IFERROR(SUM(H79:H83)/$T$66,0)</f>
        <v>0</v>
      </c>
      <c r="I85" s="459">
        <f t="shared" si="6"/>
        <v>0</v>
      </c>
      <c r="J85" s="459">
        <f t="shared" si="6"/>
        <v>0</v>
      </c>
      <c r="K85" s="459">
        <f t="shared" si="6"/>
        <v>0</v>
      </c>
      <c r="L85" s="459">
        <f t="shared" si="6"/>
        <v>0</v>
      </c>
      <c r="M85" s="459">
        <f t="shared" si="6"/>
        <v>0</v>
      </c>
      <c r="N85" s="459">
        <f t="shared" si="6"/>
        <v>0</v>
      </c>
      <c r="O85" s="459">
        <f t="shared" si="6"/>
        <v>0</v>
      </c>
      <c r="P85" s="459">
        <f t="shared" si="6"/>
        <v>0</v>
      </c>
      <c r="Q85" s="459">
        <f t="shared" si="6"/>
        <v>0</v>
      </c>
      <c r="R85" s="458">
        <f>IFERROR(SUM(R79:R83)/$T$66,0)</f>
        <v>0</v>
      </c>
      <c r="S85" s="115"/>
      <c r="T85" s="114"/>
      <c r="U85" s="114"/>
    </row>
    <row r="86" spans="1:21">
      <c r="C86" s="107"/>
      <c r="D86" s="107"/>
      <c r="E86" s="107"/>
      <c r="F86" s="107"/>
      <c r="G86" s="107"/>
      <c r="H86" s="107"/>
      <c r="I86" s="107"/>
      <c r="J86" s="107"/>
      <c r="K86" s="107"/>
      <c r="L86" s="107"/>
      <c r="M86" s="107"/>
      <c r="N86" s="107"/>
      <c r="O86" s="107"/>
      <c r="P86" s="107"/>
      <c r="Q86" s="107"/>
      <c r="R86" s="107"/>
      <c r="S86" s="107"/>
      <c r="T86" s="107"/>
      <c r="U86" s="107"/>
    </row>
    <row r="87" spans="1:21">
      <c r="S87" s="7"/>
    </row>
    <row r="88" spans="1:21">
      <c r="S88" s="7"/>
    </row>
    <row r="89" spans="1:21">
      <c r="S89" s="7"/>
    </row>
    <row r="90" spans="1:21">
      <c r="S90" s="7"/>
    </row>
    <row r="91" spans="1:21">
      <c r="D91" s="1" t="s">
        <v>50</v>
      </c>
      <c r="G91" s="1" t="s">
        <v>50</v>
      </c>
    </row>
  </sheetData>
  <sheetProtection algorithmName="SHA-512" hashValue="x0DwPC/qSfTWTB2a8NeFIt8Ms2orMd/AX0fUnhzpKPhMIXwdxVZa/b1uYniU0FeBPxBLaekrGCvmj0mO946ZXg==" saltValue="I7xJgzADNZz/kKLIfbfIKw==" spinCount="100000" sheet="1" objects="1" scenarios="1"/>
  <mergeCells count="83">
    <mergeCell ref="A73:F73"/>
    <mergeCell ref="A72:F72"/>
    <mergeCell ref="B66:C66"/>
    <mergeCell ref="B67:C67"/>
    <mergeCell ref="B68:C68"/>
    <mergeCell ref="B69:C69"/>
    <mergeCell ref="A70:F70"/>
    <mergeCell ref="A71:F71"/>
    <mergeCell ref="A63:A64"/>
    <mergeCell ref="B63:C64"/>
    <mergeCell ref="D63:F63"/>
    <mergeCell ref="G63:R63"/>
    <mergeCell ref="T63:U65"/>
    <mergeCell ref="B65:C65"/>
    <mergeCell ref="B42:C42"/>
    <mergeCell ref="B43:C43"/>
    <mergeCell ref="B44:C44"/>
    <mergeCell ref="B45:C45"/>
    <mergeCell ref="A58:F58"/>
    <mergeCell ref="B52:C52"/>
    <mergeCell ref="B53:C53"/>
    <mergeCell ref="B54:C54"/>
    <mergeCell ref="B55:C55"/>
    <mergeCell ref="B56:C56"/>
    <mergeCell ref="B57:C57"/>
    <mergeCell ref="B46:C46"/>
    <mergeCell ref="B47:C47"/>
    <mergeCell ref="B48:C48"/>
    <mergeCell ref="B49:C49"/>
    <mergeCell ref="B50:C50"/>
    <mergeCell ref="B36:C36"/>
    <mergeCell ref="B37:C37"/>
    <mergeCell ref="B38:C38"/>
    <mergeCell ref="B39:C39"/>
    <mergeCell ref="B40:C40"/>
    <mergeCell ref="B8:C8"/>
    <mergeCell ref="B9:C9"/>
    <mergeCell ref="B10:C10"/>
    <mergeCell ref="B11:C11"/>
    <mergeCell ref="B27:C27"/>
    <mergeCell ref="B12:C12"/>
    <mergeCell ref="B13:C13"/>
    <mergeCell ref="B14:C14"/>
    <mergeCell ref="B15:C15"/>
    <mergeCell ref="B16:C16"/>
    <mergeCell ref="B17:C17"/>
    <mergeCell ref="B18:C18"/>
    <mergeCell ref="B19:C19"/>
    <mergeCell ref="B20:C20"/>
    <mergeCell ref="B21:C21"/>
    <mergeCell ref="B22:C22"/>
    <mergeCell ref="C2:F2"/>
    <mergeCell ref="G4:H4"/>
    <mergeCell ref="J4:K4"/>
    <mergeCell ref="A6:A7"/>
    <mergeCell ref="B6:C7"/>
    <mergeCell ref="D6:F6"/>
    <mergeCell ref="G6:R6"/>
    <mergeCell ref="G77:R77"/>
    <mergeCell ref="B79:C79"/>
    <mergeCell ref="B23:C23"/>
    <mergeCell ref="B24:C24"/>
    <mergeCell ref="B25:C25"/>
    <mergeCell ref="B26:C26"/>
    <mergeCell ref="B41:C41"/>
    <mergeCell ref="B34:C34"/>
    <mergeCell ref="B28:C28"/>
    <mergeCell ref="B29:C29"/>
    <mergeCell ref="B30:C30"/>
    <mergeCell ref="B31:C31"/>
    <mergeCell ref="B32:C32"/>
    <mergeCell ref="B33:C33"/>
    <mergeCell ref="B51:C51"/>
    <mergeCell ref="B35:C35"/>
    <mergeCell ref="A85:F85"/>
    <mergeCell ref="D77:E77"/>
    <mergeCell ref="B80:C80"/>
    <mergeCell ref="B81:C81"/>
    <mergeCell ref="B82:C82"/>
    <mergeCell ref="B83:C83"/>
    <mergeCell ref="A84:F84"/>
    <mergeCell ref="A77:A78"/>
    <mergeCell ref="B77:C78"/>
  </mergeCells>
  <phoneticPr fontId="2"/>
  <dataValidations count="3">
    <dataValidation type="list" allowBlank="1" showInputMessage="1" showErrorMessage="1" sqref="D8:F57" xr:uid="{00000000-0002-0000-0300-000000000000}">
      <formula1>$D$91:$D$91</formula1>
    </dataValidation>
    <dataValidation type="list" allowBlank="1" showInputMessage="1" showErrorMessage="1" sqref="G8:R57" xr:uid="{00000000-0002-0000-0300-000001000000}">
      <formula1>$G$91</formula1>
    </dataValidation>
    <dataValidation type="list" allowBlank="1" showInputMessage="1" showErrorMessage="1" sqref="D65:F69 D79:E83" xr:uid="{00000000-0002-0000-0300-000002000000}">
      <formula1>$D$91</formula1>
    </dataValidation>
  </dataValidations>
  <pageMargins left="0.62992125984251968" right="0.31496062992125984" top="0.82677165354330717" bottom="0.43307086614173229" header="0.51181102362204722" footer="0.27559055118110237"/>
  <pageSetup paperSize="9" scale="38" pageOrder="overThenDown" orientation="portrait" cellComments="asDisplayed" r:id="rId1"/>
  <headerFooter alignWithMargins="0">
    <oddHeader>&amp;L&amp;"ＭＳ Ｐゴシック,太字"&amp;22 令和６年度　保育施設職員配置状況確認書（様式２（常勤保育士等））</oddHeader>
  </headerFooter>
  <rowBreaks count="1" manualBreakCount="1">
    <brk id="74" max="17"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AL75"/>
  <sheetViews>
    <sheetView view="pageBreakPreview" zoomScale="60" zoomScaleNormal="100" workbookViewId="0">
      <selection activeCell="B8" sqref="B8"/>
    </sheetView>
  </sheetViews>
  <sheetFormatPr defaultRowHeight="13.5"/>
  <cols>
    <col min="1" max="1" width="4.5" style="1" customWidth="1"/>
    <col min="2" max="2" width="17.5" style="1" customWidth="1"/>
    <col min="3" max="3" width="8.25" style="1" customWidth="1"/>
    <col min="4" max="4" width="2.75" style="1" customWidth="1"/>
    <col min="5" max="5" width="3.125" style="1" customWidth="1"/>
    <col min="6" max="6" width="2.75" style="1" customWidth="1"/>
    <col min="7" max="7" width="3.125" style="1" customWidth="1"/>
    <col min="8" max="8" width="5.25" style="1" customWidth="1"/>
    <col min="9" max="9" width="2.75" style="1" customWidth="1"/>
    <col min="10" max="10" width="3.125" style="1" customWidth="1"/>
    <col min="11" max="11" width="2.75" style="1" customWidth="1"/>
    <col min="12" max="12" width="7.625" style="1" customWidth="1"/>
    <col min="13" max="13" width="3.625" style="1" customWidth="1"/>
    <col min="14" max="14" width="7.625" style="1" customWidth="1"/>
    <col min="15" max="15" width="5.125" style="1" customWidth="1"/>
    <col min="16" max="16" width="7.625" style="1" customWidth="1"/>
    <col min="17" max="17" width="5.125" style="1" customWidth="1"/>
    <col min="18" max="18" width="7.625" style="1" customWidth="1"/>
    <col min="19" max="19" width="5.125" style="1" customWidth="1"/>
    <col min="20" max="20" width="7.625" style="1" customWidth="1"/>
    <col min="21" max="21" width="5.125" style="1" customWidth="1"/>
    <col min="22" max="22" width="7.625" style="1" customWidth="1"/>
    <col min="23" max="23" width="5.125" style="1" customWidth="1"/>
    <col min="24" max="24" width="7.625" style="1" customWidth="1"/>
    <col min="25" max="25" width="5.125" style="1" customWidth="1"/>
    <col min="26" max="26" width="7.625" style="1" customWidth="1"/>
    <col min="27" max="27" width="5.125" style="1" customWidth="1"/>
    <col min="28" max="28" width="7.625" style="1" customWidth="1"/>
    <col min="29" max="29" width="5.125" style="1" customWidth="1"/>
    <col min="30" max="30" width="7.625" style="1" customWidth="1"/>
    <col min="31" max="31" width="5.125" style="1" customWidth="1"/>
    <col min="32" max="32" width="7.625" style="1" customWidth="1"/>
    <col min="33" max="33" width="5.125" style="1" customWidth="1"/>
    <col min="34" max="34" width="7.625" style="1" customWidth="1"/>
    <col min="35" max="35" width="5.125" style="1" customWidth="1"/>
    <col min="36" max="36" width="7.625" style="1" customWidth="1"/>
    <col min="37" max="37" width="5.125" style="1" customWidth="1"/>
    <col min="38" max="38" width="8.125" style="1" customWidth="1"/>
    <col min="39" max="48" width="7.25" style="1" customWidth="1"/>
    <col min="49" max="49" width="10.375" style="1" customWidth="1"/>
    <col min="50" max="50" width="17.375" style="1" customWidth="1"/>
    <col min="51" max="16384" width="9" style="1"/>
  </cols>
  <sheetData>
    <row r="1" spans="1:38" ht="18" customHeight="1" thickBot="1">
      <c r="A1" s="8"/>
      <c r="B1" s="143" t="s">
        <v>120</v>
      </c>
      <c r="C1" s="144">
        <f>様式１!C1</f>
        <v>0</v>
      </c>
      <c r="D1" s="10"/>
      <c r="E1" s="10"/>
      <c r="F1" s="10"/>
      <c r="G1" s="10"/>
      <c r="H1" s="10"/>
      <c r="I1" s="10"/>
      <c r="J1" s="10"/>
      <c r="K1" s="10"/>
      <c r="N1" s="11"/>
      <c r="O1" s="12"/>
      <c r="P1" s="13"/>
      <c r="Q1" s="13"/>
      <c r="R1" s="13"/>
      <c r="S1" s="13"/>
      <c r="T1" s="13"/>
      <c r="U1" s="13"/>
      <c r="V1" s="13"/>
      <c r="W1" s="13"/>
      <c r="Z1" s="14"/>
      <c r="AA1" s="14"/>
      <c r="AB1" s="15"/>
      <c r="AC1" s="15"/>
      <c r="AD1" s="14"/>
      <c r="AE1" s="12"/>
      <c r="AF1" s="14"/>
      <c r="AG1" s="12"/>
    </row>
    <row r="2" spans="1:38" ht="21.95" customHeight="1" thickTop="1" thickBot="1">
      <c r="A2" s="935" t="s">
        <v>97</v>
      </c>
      <c r="B2" s="936"/>
      <c r="C2" s="937">
        <f>様式１!C2</f>
        <v>0</v>
      </c>
      <c r="D2" s="937"/>
      <c r="E2" s="937"/>
      <c r="F2" s="937"/>
      <c r="G2" s="937"/>
      <c r="H2" s="937"/>
      <c r="I2" s="937"/>
      <c r="J2" s="937"/>
      <c r="K2" s="937"/>
      <c r="L2" s="937"/>
      <c r="M2" s="938"/>
      <c r="N2" s="43"/>
      <c r="O2" s="44"/>
      <c r="P2" s="44"/>
      <c r="Q2" s="44"/>
      <c r="R2" s="22"/>
      <c r="S2" s="22"/>
      <c r="T2" s="927"/>
      <c r="U2" s="927"/>
      <c r="V2" s="927"/>
      <c r="W2" s="927"/>
      <c r="X2" s="22"/>
      <c r="Y2" s="22"/>
      <c r="Z2" s="7"/>
      <c r="AA2" s="7"/>
      <c r="AB2" s="7"/>
      <c r="AC2" s="7"/>
      <c r="AD2" s="7"/>
      <c r="AE2" s="44"/>
      <c r="AF2" s="7"/>
      <c r="AG2" s="44"/>
      <c r="AH2" s="7"/>
      <c r="AI2" s="7"/>
      <c r="AJ2" s="7"/>
      <c r="AK2" s="7"/>
      <c r="AL2" s="7"/>
    </row>
    <row r="3" spans="1:38" ht="66" customHeight="1" thickTop="1">
      <c r="A3" s="16"/>
      <c r="B3" s="16"/>
      <c r="C3" s="16"/>
      <c r="D3" s="16"/>
      <c r="E3" s="16"/>
      <c r="F3" s="16"/>
      <c r="G3" s="16"/>
      <c r="H3" s="16"/>
      <c r="I3" s="16"/>
      <c r="J3" s="16"/>
      <c r="K3" s="16"/>
      <c r="N3" s="927"/>
      <c r="O3" s="927"/>
      <c r="P3" s="927"/>
      <c r="Q3" s="927"/>
      <c r="R3" s="77"/>
      <c r="S3" s="77"/>
      <c r="T3" s="927"/>
      <c r="U3" s="927"/>
      <c r="V3" s="927"/>
      <c r="W3" s="927"/>
      <c r="X3" s="77"/>
      <c r="Y3" s="77"/>
      <c r="Z3" s="7"/>
      <c r="AA3" s="7"/>
      <c r="AB3" s="7"/>
      <c r="AC3" s="7"/>
      <c r="AD3" s="7"/>
      <c r="AE3" s="7"/>
      <c r="AF3" s="7"/>
      <c r="AG3" s="7"/>
      <c r="AH3" s="7"/>
      <c r="AI3" s="7"/>
      <c r="AJ3" s="7"/>
      <c r="AK3" s="7"/>
      <c r="AL3" s="7"/>
    </row>
    <row r="4" spans="1:38" ht="24.75" customHeight="1" thickBot="1">
      <c r="A4" s="308" t="s">
        <v>233</v>
      </c>
      <c r="B4" s="19"/>
      <c r="C4" s="20"/>
      <c r="D4" s="20"/>
      <c r="E4" s="20"/>
      <c r="F4" s="20"/>
      <c r="G4" s="20"/>
      <c r="H4" s="20"/>
      <c r="I4" s="20"/>
      <c r="J4" s="20"/>
      <c r="K4" s="20"/>
    </row>
    <row r="5" spans="1:38" ht="28.5" customHeight="1">
      <c r="A5" s="915" t="s">
        <v>13</v>
      </c>
      <c r="B5" s="944" t="s">
        <v>98</v>
      </c>
      <c r="C5" s="764" t="s">
        <v>45</v>
      </c>
      <c r="D5" s="764"/>
      <c r="E5" s="764"/>
      <c r="F5" s="764"/>
      <c r="G5" s="764"/>
      <c r="H5" s="764"/>
      <c r="I5" s="764"/>
      <c r="J5" s="764"/>
      <c r="K5" s="947"/>
      <c r="L5" s="951" t="s">
        <v>69</v>
      </c>
      <c r="M5" s="952"/>
      <c r="N5" s="921" t="s">
        <v>70</v>
      </c>
      <c r="O5" s="922"/>
      <c r="P5" s="922"/>
      <c r="Q5" s="922"/>
      <c r="R5" s="922"/>
      <c r="S5" s="922"/>
      <c r="T5" s="922"/>
      <c r="U5" s="922"/>
      <c r="V5" s="922"/>
      <c r="W5" s="922"/>
      <c r="X5" s="922"/>
      <c r="Y5" s="922"/>
      <c r="Z5" s="922"/>
      <c r="AA5" s="922"/>
      <c r="AB5" s="922"/>
      <c r="AC5" s="922"/>
      <c r="AD5" s="922"/>
      <c r="AE5" s="922"/>
      <c r="AF5" s="922"/>
      <c r="AG5" s="922"/>
      <c r="AH5" s="922"/>
      <c r="AI5" s="922"/>
      <c r="AJ5" s="922"/>
      <c r="AK5" s="923"/>
      <c r="AL5" s="79"/>
    </row>
    <row r="6" spans="1:38" ht="27" customHeight="1">
      <c r="A6" s="916"/>
      <c r="B6" s="945"/>
      <c r="C6" s="856"/>
      <c r="D6" s="856"/>
      <c r="E6" s="856"/>
      <c r="F6" s="856"/>
      <c r="G6" s="856"/>
      <c r="H6" s="856"/>
      <c r="I6" s="856"/>
      <c r="J6" s="856"/>
      <c r="K6" s="948"/>
      <c r="L6" s="953"/>
      <c r="M6" s="954"/>
      <c r="N6" s="940">
        <v>4</v>
      </c>
      <c r="O6" s="939"/>
      <c r="P6" s="939">
        <v>5</v>
      </c>
      <c r="Q6" s="939"/>
      <c r="R6" s="939">
        <v>6</v>
      </c>
      <c r="S6" s="939"/>
      <c r="T6" s="939">
        <v>7</v>
      </c>
      <c r="U6" s="939"/>
      <c r="V6" s="939">
        <v>8</v>
      </c>
      <c r="W6" s="939"/>
      <c r="X6" s="939">
        <v>9</v>
      </c>
      <c r="Y6" s="939"/>
      <c r="Z6" s="939">
        <v>10</v>
      </c>
      <c r="AA6" s="939"/>
      <c r="AB6" s="939">
        <v>11</v>
      </c>
      <c r="AC6" s="939"/>
      <c r="AD6" s="939">
        <v>12</v>
      </c>
      <c r="AE6" s="939"/>
      <c r="AF6" s="941">
        <v>1</v>
      </c>
      <c r="AG6" s="942"/>
      <c r="AH6" s="939">
        <v>2</v>
      </c>
      <c r="AI6" s="939"/>
      <c r="AJ6" s="939">
        <v>3</v>
      </c>
      <c r="AK6" s="955"/>
      <c r="AL6" s="79"/>
    </row>
    <row r="7" spans="1:38">
      <c r="A7" s="943"/>
      <c r="B7" s="946"/>
      <c r="C7" s="949"/>
      <c r="D7" s="949"/>
      <c r="E7" s="949"/>
      <c r="F7" s="949"/>
      <c r="G7" s="949"/>
      <c r="H7" s="949"/>
      <c r="I7" s="949"/>
      <c r="J7" s="949"/>
      <c r="K7" s="950"/>
      <c r="L7" s="26" t="s">
        <v>21</v>
      </c>
      <c r="M7" s="27" t="s">
        <v>22</v>
      </c>
      <c r="N7" s="80" t="s">
        <v>21</v>
      </c>
      <c r="O7" s="35" t="s">
        <v>22</v>
      </c>
      <c r="P7" s="36" t="s">
        <v>21</v>
      </c>
      <c r="Q7" s="81" t="s">
        <v>22</v>
      </c>
      <c r="R7" s="82" t="s">
        <v>21</v>
      </c>
      <c r="S7" s="35" t="s">
        <v>22</v>
      </c>
      <c r="T7" s="36" t="s">
        <v>21</v>
      </c>
      <c r="U7" s="81" t="s">
        <v>22</v>
      </c>
      <c r="V7" s="82" t="s">
        <v>21</v>
      </c>
      <c r="W7" s="35" t="s">
        <v>22</v>
      </c>
      <c r="X7" s="36" t="s">
        <v>21</v>
      </c>
      <c r="Y7" s="81" t="s">
        <v>22</v>
      </c>
      <c r="Z7" s="82" t="s">
        <v>21</v>
      </c>
      <c r="AA7" s="35" t="s">
        <v>22</v>
      </c>
      <c r="AB7" s="36" t="s">
        <v>21</v>
      </c>
      <c r="AC7" s="81" t="s">
        <v>22</v>
      </c>
      <c r="AD7" s="36" t="s">
        <v>21</v>
      </c>
      <c r="AE7" s="35" t="s">
        <v>22</v>
      </c>
      <c r="AF7" s="36" t="s">
        <v>21</v>
      </c>
      <c r="AG7" s="35" t="s">
        <v>22</v>
      </c>
      <c r="AH7" s="34" t="s">
        <v>21</v>
      </c>
      <c r="AI7" s="35" t="s">
        <v>22</v>
      </c>
      <c r="AJ7" s="36" t="s">
        <v>21</v>
      </c>
      <c r="AK7" s="47" t="s">
        <v>22</v>
      </c>
      <c r="AL7" s="7"/>
    </row>
    <row r="8" spans="1:38" ht="26.1" customHeight="1">
      <c r="A8" s="21">
        <v>1</v>
      </c>
      <c r="B8" s="2"/>
      <c r="C8" s="78"/>
      <c r="D8" s="83" t="s">
        <v>49</v>
      </c>
      <c r="E8" s="53"/>
      <c r="F8" s="83" t="s">
        <v>46</v>
      </c>
      <c r="G8" s="83" t="s">
        <v>95</v>
      </c>
      <c r="H8" s="78"/>
      <c r="I8" s="83" t="s">
        <v>49</v>
      </c>
      <c r="J8" s="53"/>
      <c r="K8" s="83" t="s">
        <v>48</v>
      </c>
      <c r="L8" s="28"/>
      <c r="M8" s="29"/>
      <c r="N8" s="126">
        <f>IF(AND($C8=$C$61,$E8=4),$L8,0)</f>
        <v>0</v>
      </c>
      <c r="O8" s="127">
        <f>IF(AND($C8=$C$61,$E8=4),$M8,0)</f>
        <v>0</v>
      </c>
      <c r="P8" s="128">
        <f>IF(AND($C8=$C$61,$E8&lt;=5,$H8=$C$61,$J8&gt;=5),$L8,IF(AND($C8=$C$61,$E8&lt;=5,$H8=$C$62,$J8&lt;=3),$L8,0))</f>
        <v>0</v>
      </c>
      <c r="Q8" s="129">
        <f>IF(AND($C8=$C$61,$E8&lt;=5,$H8=$C$61,$J8&gt;=5),$M8,IF(AND($C8=$C$61,$E8&lt;=5,$H8=$C$62,$J8&lt;=3),$M8,0))</f>
        <v>0</v>
      </c>
      <c r="R8" s="130">
        <f>IF(AND($C8=$C$61,$E8&lt;=6,$H8=$C$61,$J8&gt;=6),$L8,IF(AND($C8=$C$61,$E8&lt;=6,$H8=$C$62,$J8&lt;=3),$L8,0))</f>
        <v>0</v>
      </c>
      <c r="S8" s="131">
        <f>IF(AND($C8=$C$61,$E8&lt;=6,$H8=$C$61,$J8&gt;=6),$M8,IF(AND($C8=$C$61,$E8&lt;=6,$H8=$C$62,$J8&lt;=3),$M8,0))</f>
        <v>0</v>
      </c>
      <c r="T8" s="128">
        <f>IF(AND($C8=$C$61,$E8&lt;=7,$H8=$C$61,$J8&gt;=7),$L8,IF(AND($C8=$C$61,$E8&lt;=7,$H8=$C$62,$J8&lt;=3),$L8,0))</f>
        <v>0</v>
      </c>
      <c r="U8" s="129">
        <f>IF(AND($C8=$C$61,$E8&lt;=7,$H8=$C$61,$J8&gt;=7),$M8,IF(AND($C8=$C$61,$E8&lt;=7,$H8=$C$62,$J8&lt;=3),$M8,0))</f>
        <v>0</v>
      </c>
      <c r="V8" s="130">
        <f>IF(AND($C8=$C$61,$E8&lt;=8,$H8=$C$61,$J8&gt;=8),$L8,IF(AND($C8=$C$61,$E8&lt;=8,$H8=$C$62,$J8&lt;=3),$L8,0))</f>
        <v>0</v>
      </c>
      <c r="W8" s="131">
        <f>IF(AND($C8=$C$61,$E8&lt;=8,$H8=$C$61,$J8&gt;=8),$M8,IF(AND($C8=$C$61,$E8&lt;=8,$H8=$C$62,$J8&lt;=3),$M8,0))</f>
        <v>0</v>
      </c>
      <c r="X8" s="128">
        <f>IF(AND($C8=$C$61,$E8&lt;=9,$H8=$C$61,$J8&gt;=9),$L8,IF(AND($C8=$C$61,$E8&lt;=9,$H8=$C$62,$J8&lt;=3),$L8,0))</f>
        <v>0</v>
      </c>
      <c r="Y8" s="129">
        <f>IF(AND($C8=$C$61,$E8&lt;=9,$H8=$C$61,$J8&gt;=9),$M8,IF(AND($C8=$C$61,$E8&lt;=9,$H8=$C$62,$J8&lt;=3),$M8,0))</f>
        <v>0</v>
      </c>
      <c r="Z8" s="130">
        <f>IF(AND($C8=$C$61,$E8&lt;=10,$H8=$C$61,$J8&gt;=10),$L8,IF(AND($C8=$C$61,$E8&lt;=10,$H8=$C$62,$J8&lt;=3),$L8,0))</f>
        <v>0</v>
      </c>
      <c r="AA8" s="131">
        <f>IF(AND($C8=$C$61,$E8&lt;=10,$H8=$C$61,$J8&gt;=10),$M8,IF(AND($C8=$C$61,$E8&lt;=10,$H8=$C$62,$J8&lt;=3),$M8,0))</f>
        <v>0</v>
      </c>
      <c r="AB8" s="128">
        <f>IF(AND($C8=$C$61,$E8&lt;=11,$H8=$C$61,$J8&gt;=11),$L8,IF(AND($C8=$C$61,$E8&lt;=11,$H8=$C$62,$J8&lt;=3),$L8,0))</f>
        <v>0</v>
      </c>
      <c r="AC8" s="129">
        <f>IF(AND($C8=$C$61,$E8&lt;=11,$H8=$C$61,$J8&gt;=11),$M8,IF(AND($C8=$C$61,$E8&lt;=11,$H8=$C$62,$J8&lt;=3),$M8,0))</f>
        <v>0</v>
      </c>
      <c r="AD8" s="130">
        <f>IF(AND($C8=$C$61,$E8&lt;=12,$H8=$C$61,$J8=12),$L8,IF(AND($C8=$C$61,$E8&lt;=12,$H8=$C$62,$J8&lt;=3),$L8,0))</f>
        <v>0</v>
      </c>
      <c r="AE8" s="127">
        <f>IF(AND($C8=$C$61,$E8&lt;=12,$H8=$C$61,$J8&gt;=12),$M8,IF(AND($C8=$C$61,$E8&lt;=12,$H8=$C$62,$J8&lt;=3),$M8,0))</f>
        <v>0</v>
      </c>
      <c r="AF8" s="128">
        <f>IF(AND($C8=$C$61,$E8&lt;=12,$H8=$C$62,$J8&lt;=3),$L8,IF(AND($C8=$C$62,$E8&lt;=1,$H8=$C$62,$J8&lt;=3),$L8,0))</f>
        <v>0</v>
      </c>
      <c r="AG8" s="127">
        <f>IF(AND($C8=$C$61,$E8&lt;=12,$H8=$C$62,$J8&gt;=1),$M8,IF(AND($C8=$C$62,$E8&lt;=1,$H8=$C$62,$J8&lt;=3),$M8,0))</f>
        <v>0</v>
      </c>
      <c r="AH8" s="130">
        <f>IF(AND($C8=$C$61,$E8&lt;=12,$H8=$C$62,$J8&gt;=2),$L8,IF(AND($C8=$C$62,$E8&lt;=2,$H8=$C$62,$J8&gt;1),$L8,0))</f>
        <v>0</v>
      </c>
      <c r="AI8" s="131">
        <f>IF(AND($C8=$C$61,$E8&lt;=12,$H8=$C$62,$J8&gt;=2),$M8,IF(AND($C8=$C$62,$E8&lt;=2,$H8=$C$62,$J8&gt;1),$M8,0))</f>
        <v>0</v>
      </c>
      <c r="AJ8" s="128">
        <f>IF(AND($C8=$C$61,$E8&lt;=12,$H8=$C$62,$J8=3),$L8,IF(AND($C8=$C$62,$E8&lt;=3,$H8=$C$62,$J8=3),$L8,0))</f>
        <v>0</v>
      </c>
      <c r="AK8" s="132">
        <f>IF(AND($C8=$C$61,$E8&lt;=12,$H8=$C$62,$J8=3),$M8,IF(AND($C8=$C$62,$E8&lt;=3,$H8=$C$62,$J8=3),$M8,0))</f>
        <v>0</v>
      </c>
      <c r="AL8" s="7"/>
    </row>
    <row r="9" spans="1:38" ht="26.1" customHeight="1">
      <c r="A9" s="21">
        <v>2</v>
      </c>
      <c r="B9" s="2"/>
      <c r="C9" s="78"/>
      <c r="D9" s="83" t="s">
        <v>49</v>
      </c>
      <c r="E9" s="53"/>
      <c r="F9" s="83" t="s">
        <v>46</v>
      </c>
      <c r="G9" s="83" t="s">
        <v>95</v>
      </c>
      <c r="H9" s="78"/>
      <c r="I9" s="83" t="s">
        <v>49</v>
      </c>
      <c r="J9" s="53"/>
      <c r="K9" s="83" t="s">
        <v>48</v>
      </c>
      <c r="L9" s="28"/>
      <c r="M9" s="29"/>
      <c r="N9" s="126">
        <f t="shared" ref="N9:N37" si="0">IF(AND($C9=$C$61,$E9=4),$L9,0)</f>
        <v>0</v>
      </c>
      <c r="O9" s="127">
        <f t="shared" ref="O9:O37" si="1">IF(AND($C9=$C$61,$E9=4),$M9,0)</f>
        <v>0</v>
      </c>
      <c r="P9" s="128">
        <f t="shared" ref="P9:P37" si="2">IF(AND($C9=$C$61,$E9&lt;=5,$H9=$C$61,$J9&gt;=5),$L9,IF(AND($C9=$C$61,$E9&lt;=5,$H9=$C$62,$J9&lt;=3),$L9,0))</f>
        <v>0</v>
      </c>
      <c r="Q9" s="129">
        <f t="shared" ref="Q9:Q37" si="3">IF(AND($C9=$C$61,$E9&lt;=5,$H9=$C$61,$J9&gt;=5),$M9,IF(AND($C9=$C$61,$E9&lt;=5,$H9=$C$62,$J9&lt;=3),$M9,0))</f>
        <v>0</v>
      </c>
      <c r="R9" s="130">
        <f t="shared" ref="R9:R37" si="4">IF(AND($C9=$C$61,$E9&lt;=6,$H9=$C$61,$J9&gt;=6),$L9,IF(AND($C9=$C$61,$E9&lt;=6,$H9=$C$62,$J9&lt;=3),$L9,0))</f>
        <v>0</v>
      </c>
      <c r="S9" s="131">
        <f t="shared" ref="S9:S37" si="5">IF(AND($C9=$C$61,$E9&lt;=6,$H9=$C$61,$J9&gt;=6),$M9,IF(AND($C9=$C$61,$E9&lt;=6,$H9=$C$62,$J9&lt;=3),$M9,0))</f>
        <v>0</v>
      </c>
      <c r="T9" s="128">
        <f t="shared" ref="T9:T37" si="6">IF(AND($C9=$C$61,$E9&lt;=7,$H9=$C$61,$J9&gt;=7),$L9,IF(AND($C9=$C$61,$E9&lt;=7,$H9=$C$62,$J9&lt;=3),$L9,0))</f>
        <v>0</v>
      </c>
      <c r="U9" s="129">
        <f t="shared" ref="U9:U37" si="7">IF(AND($C9=$C$61,$E9&lt;=7,$H9=$C$61,$J9&gt;=7),$M9,IF(AND($C9=$C$61,$E9&lt;=7,$H9=$C$62,$J9&lt;=3),$M9,0))</f>
        <v>0</v>
      </c>
      <c r="V9" s="130">
        <f t="shared" ref="V9:V37" si="8">IF(AND($C9=$C$61,$E9&lt;=8,$H9=$C$61,$J9&gt;=8),$L9,IF(AND($C9=$C$61,$E9&lt;=8,$H9=$C$62,$J9&lt;=3),$L9,0))</f>
        <v>0</v>
      </c>
      <c r="W9" s="131">
        <f t="shared" ref="W9:W37" si="9">IF(AND($C9=$C$61,$E9&lt;=8,$H9=$C$61,$J9&gt;=8),$M9,IF(AND($C9=$C$61,$E9&lt;=8,$H9=$C$62,$J9&lt;=3),$M9,0))</f>
        <v>0</v>
      </c>
      <c r="X9" s="128">
        <f t="shared" ref="X9:X37" si="10">IF(AND($C9=$C$61,$E9&lt;=9,$H9=$C$61,$J9&gt;=9),$L9,IF(AND($C9=$C$61,$E9&lt;=9,$H9=$C$62,$J9&lt;=3),$L9,0))</f>
        <v>0</v>
      </c>
      <c r="Y9" s="129">
        <f t="shared" ref="Y9:Y37" si="11">IF(AND($C9=$C$61,$E9&lt;=9,$H9=$C$61,$J9&gt;=9),$M9,IF(AND($C9=$C$61,$E9&lt;=9,$H9=$C$62,$J9&lt;=3),$M9,0))</f>
        <v>0</v>
      </c>
      <c r="Z9" s="130">
        <f t="shared" ref="Z9:Z37" si="12">IF(AND($C9=$C$61,$E9&lt;=10,$H9=$C$61,$J9&gt;=10),$L9,IF(AND($C9=$C$61,$E9&lt;=10,$H9=$C$62,$J9&lt;=3),$L9,0))</f>
        <v>0</v>
      </c>
      <c r="AA9" s="131">
        <f t="shared" ref="AA9:AA37" si="13">IF(AND($C9=$C$61,$E9&lt;=10,$H9=$C$61,$J9&gt;=10),$M9,IF(AND($C9=$C$61,$E9&lt;=10,$H9=$C$62,$J9&lt;=3),$M9,0))</f>
        <v>0</v>
      </c>
      <c r="AB9" s="128">
        <f t="shared" ref="AB9:AB37" si="14">IF(AND($C9=$C$61,$E9&lt;=11,$H9=$C$61,$J9&gt;=11),$L9,IF(AND($C9=$C$61,$E9&lt;=11,$H9=$C$62,$J9&lt;=3),$L9,0))</f>
        <v>0</v>
      </c>
      <c r="AC9" s="129">
        <f t="shared" ref="AC9:AC37" si="15">IF(AND($C9=$C$61,$E9&lt;=11,$H9=$C$61,$J9&gt;=11),$M9,IF(AND($C9=$C$61,$E9&lt;=11,$H9=$C$62,$J9&lt;=3),$M9,0))</f>
        <v>0</v>
      </c>
      <c r="AD9" s="130">
        <f t="shared" ref="AD9:AD37" si="16">IF(AND($C9=$C$61,$E9&lt;=12,$H9=$C$61,$J9=12),$L9,IF(AND($C9=$C$61,$E9&lt;=12,$H9=$C$62,$J9&lt;=3),$L9,0))</f>
        <v>0</v>
      </c>
      <c r="AE9" s="127">
        <f t="shared" ref="AE9:AE37" si="17">IF(AND($C9=$C$61,$E9&lt;=12,$H9=$C$61,$J9&gt;=12),$M9,IF(AND($C9=$C$61,$E9&lt;=12,$H9=$C$62,$J9&lt;=3),$M9,0))</f>
        <v>0</v>
      </c>
      <c r="AF9" s="128">
        <f t="shared" ref="AF9:AF37" si="18">IF(AND($C9=$C$61,$E9&lt;=12,$H9=$C$62,$J9&lt;=3),$L9,IF(AND($C9=$C$62,$E9&lt;=1,$H9=$C$62,$J9&lt;=3),$L9,0))</f>
        <v>0</v>
      </c>
      <c r="AG9" s="127">
        <f t="shared" ref="AG9:AG37" si="19">IF(AND($C9=$C$61,$E9&lt;=12,$H9=$C$62,$J9&gt;=1),$M9,IF(AND($C9=$C$62,$E9&lt;=1,$H9=$C$62,$J9&lt;=3),$M9,0))</f>
        <v>0</v>
      </c>
      <c r="AH9" s="130">
        <f t="shared" ref="AH9:AH37" si="20">IF(AND($C9=$C$61,$E9&lt;=12,$H9=$C$62,$J9&gt;=2),$L9,IF(AND($C9=$C$62,$E9&lt;=2,$H9=$C$62,$J9&gt;1),$L9,0))</f>
        <v>0</v>
      </c>
      <c r="AI9" s="131">
        <f t="shared" ref="AI9:AI37" si="21">IF(AND($C9=$C$61,$E9&lt;=12,$H9=$C$62,$J9&gt;=2),$M9,IF(AND($C9=$C$62,$E9&lt;=2,$H9=$C$62,$J9&gt;1),$M9,0))</f>
        <v>0</v>
      </c>
      <c r="AJ9" s="128">
        <f t="shared" ref="AJ9:AJ37" si="22">IF(AND($C9=$C$61,$E9&lt;=12,$H9=$C$62,$J9=3),$L9,IF(AND($C9=$C$62,$E9&lt;=3,$H9=$C$62,$J9=3),$L9,0))</f>
        <v>0</v>
      </c>
      <c r="AK9" s="132">
        <f t="shared" ref="AK9:AK37" si="23">IF(AND($C9=$C$61,$E9&lt;=12,$H9=$C$62,$J9=3),$M9,IF(AND($C9=$C$62,$E9&lt;=3,$H9=$C$62,$J9=3),$M9,0))</f>
        <v>0</v>
      </c>
      <c r="AL9" s="7"/>
    </row>
    <row r="10" spans="1:38" ht="26.1" customHeight="1">
      <c r="A10" s="21">
        <v>3</v>
      </c>
      <c r="B10" s="2"/>
      <c r="C10" s="78"/>
      <c r="D10" s="83" t="s">
        <v>49</v>
      </c>
      <c r="E10" s="53"/>
      <c r="F10" s="83" t="s">
        <v>46</v>
      </c>
      <c r="G10" s="83" t="s">
        <v>95</v>
      </c>
      <c r="H10" s="78"/>
      <c r="I10" s="83" t="s">
        <v>49</v>
      </c>
      <c r="J10" s="53"/>
      <c r="K10" s="83" t="s">
        <v>48</v>
      </c>
      <c r="L10" s="28"/>
      <c r="M10" s="29"/>
      <c r="N10" s="126">
        <f t="shared" si="0"/>
        <v>0</v>
      </c>
      <c r="O10" s="127">
        <f t="shared" si="1"/>
        <v>0</v>
      </c>
      <c r="P10" s="128">
        <f t="shared" si="2"/>
        <v>0</v>
      </c>
      <c r="Q10" s="129">
        <f t="shared" si="3"/>
        <v>0</v>
      </c>
      <c r="R10" s="130">
        <f t="shared" si="4"/>
        <v>0</v>
      </c>
      <c r="S10" s="131">
        <f t="shared" si="5"/>
        <v>0</v>
      </c>
      <c r="T10" s="128">
        <f t="shared" si="6"/>
        <v>0</v>
      </c>
      <c r="U10" s="129">
        <f t="shared" si="7"/>
        <v>0</v>
      </c>
      <c r="V10" s="130">
        <f t="shared" si="8"/>
        <v>0</v>
      </c>
      <c r="W10" s="131">
        <f t="shared" si="9"/>
        <v>0</v>
      </c>
      <c r="X10" s="128">
        <f t="shared" si="10"/>
        <v>0</v>
      </c>
      <c r="Y10" s="129">
        <f t="shared" si="11"/>
        <v>0</v>
      </c>
      <c r="Z10" s="130">
        <f t="shared" si="12"/>
        <v>0</v>
      </c>
      <c r="AA10" s="131">
        <f t="shared" si="13"/>
        <v>0</v>
      </c>
      <c r="AB10" s="128">
        <f t="shared" si="14"/>
        <v>0</v>
      </c>
      <c r="AC10" s="129">
        <f t="shared" si="15"/>
        <v>0</v>
      </c>
      <c r="AD10" s="130">
        <f t="shared" si="16"/>
        <v>0</v>
      </c>
      <c r="AE10" s="127">
        <f t="shared" si="17"/>
        <v>0</v>
      </c>
      <c r="AF10" s="128">
        <f t="shared" si="18"/>
        <v>0</v>
      </c>
      <c r="AG10" s="127">
        <f t="shared" si="19"/>
        <v>0</v>
      </c>
      <c r="AH10" s="130">
        <f t="shared" si="20"/>
        <v>0</v>
      </c>
      <c r="AI10" s="131">
        <f t="shared" si="21"/>
        <v>0</v>
      </c>
      <c r="AJ10" s="128">
        <f t="shared" si="22"/>
        <v>0</v>
      </c>
      <c r="AK10" s="132">
        <f t="shared" si="23"/>
        <v>0</v>
      </c>
      <c r="AL10" s="7"/>
    </row>
    <row r="11" spans="1:38" ht="26.1" customHeight="1">
      <c r="A11" s="21">
        <v>4</v>
      </c>
      <c r="B11" s="2"/>
      <c r="C11" s="78"/>
      <c r="D11" s="83" t="s">
        <v>49</v>
      </c>
      <c r="E11" s="53"/>
      <c r="F11" s="83" t="s">
        <v>46</v>
      </c>
      <c r="G11" s="83" t="s">
        <v>95</v>
      </c>
      <c r="H11" s="78"/>
      <c r="I11" s="83" t="s">
        <v>49</v>
      </c>
      <c r="J11" s="53"/>
      <c r="K11" s="83" t="s">
        <v>48</v>
      </c>
      <c r="L11" s="28"/>
      <c r="M11" s="29"/>
      <c r="N11" s="126">
        <f t="shared" si="0"/>
        <v>0</v>
      </c>
      <c r="O11" s="127">
        <f t="shared" si="1"/>
        <v>0</v>
      </c>
      <c r="P11" s="128">
        <f t="shared" si="2"/>
        <v>0</v>
      </c>
      <c r="Q11" s="129">
        <f t="shared" si="3"/>
        <v>0</v>
      </c>
      <c r="R11" s="130">
        <f t="shared" si="4"/>
        <v>0</v>
      </c>
      <c r="S11" s="131">
        <f t="shared" si="5"/>
        <v>0</v>
      </c>
      <c r="T11" s="128">
        <f t="shared" si="6"/>
        <v>0</v>
      </c>
      <c r="U11" s="129">
        <f t="shared" si="7"/>
        <v>0</v>
      </c>
      <c r="V11" s="130">
        <f t="shared" si="8"/>
        <v>0</v>
      </c>
      <c r="W11" s="131">
        <f t="shared" si="9"/>
        <v>0</v>
      </c>
      <c r="X11" s="128">
        <f t="shared" si="10"/>
        <v>0</v>
      </c>
      <c r="Y11" s="129">
        <f t="shared" si="11"/>
        <v>0</v>
      </c>
      <c r="Z11" s="130">
        <f t="shared" si="12"/>
        <v>0</v>
      </c>
      <c r="AA11" s="131">
        <f t="shared" si="13"/>
        <v>0</v>
      </c>
      <c r="AB11" s="128">
        <f t="shared" si="14"/>
        <v>0</v>
      </c>
      <c r="AC11" s="129">
        <f t="shared" si="15"/>
        <v>0</v>
      </c>
      <c r="AD11" s="130">
        <f t="shared" si="16"/>
        <v>0</v>
      </c>
      <c r="AE11" s="127">
        <f t="shared" si="17"/>
        <v>0</v>
      </c>
      <c r="AF11" s="128">
        <f t="shared" si="18"/>
        <v>0</v>
      </c>
      <c r="AG11" s="127">
        <f t="shared" si="19"/>
        <v>0</v>
      </c>
      <c r="AH11" s="130">
        <f t="shared" si="20"/>
        <v>0</v>
      </c>
      <c r="AI11" s="131">
        <f t="shared" si="21"/>
        <v>0</v>
      </c>
      <c r="AJ11" s="128">
        <f t="shared" si="22"/>
        <v>0</v>
      </c>
      <c r="AK11" s="132">
        <f t="shared" si="23"/>
        <v>0</v>
      </c>
      <c r="AL11" s="7"/>
    </row>
    <row r="12" spans="1:38" ht="26.1" customHeight="1">
      <c r="A12" s="21">
        <v>5</v>
      </c>
      <c r="B12" s="2"/>
      <c r="C12" s="78"/>
      <c r="D12" s="83" t="s">
        <v>49</v>
      </c>
      <c r="E12" s="53"/>
      <c r="F12" s="83" t="s">
        <v>46</v>
      </c>
      <c r="G12" s="83" t="s">
        <v>95</v>
      </c>
      <c r="H12" s="78"/>
      <c r="I12" s="83" t="s">
        <v>49</v>
      </c>
      <c r="J12" s="53"/>
      <c r="K12" s="83" t="s">
        <v>48</v>
      </c>
      <c r="L12" s="28"/>
      <c r="M12" s="29"/>
      <c r="N12" s="126">
        <f t="shared" si="0"/>
        <v>0</v>
      </c>
      <c r="O12" s="127">
        <f t="shared" si="1"/>
        <v>0</v>
      </c>
      <c r="P12" s="128">
        <f t="shared" si="2"/>
        <v>0</v>
      </c>
      <c r="Q12" s="129">
        <f t="shared" si="3"/>
        <v>0</v>
      </c>
      <c r="R12" s="130">
        <f t="shared" si="4"/>
        <v>0</v>
      </c>
      <c r="S12" s="131">
        <f t="shared" si="5"/>
        <v>0</v>
      </c>
      <c r="T12" s="128">
        <f t="shared" si="6"/>
        <v>0</v>
      </c>
      <c r="U12" s="129">
        <f t="shared" si="7"/>
        <v>0</v>
      </c>
      <c r="V12" s="130">
        <f t="shared" si="8"/>
        <v>0</v>
      </c>
      <c r="W12" s="131">
        <f t="shared" si="9"/>
        <v>0</v>
      </c>
      <c r="X12" s="128">
        <f t="shared" si="10"/>
        <v>0</v>
      </c>
      <c r="Y12" s="129">
        <f t="shared" si="11"/>
        <v>0</v>
      </c>
      <c r="Z12" s="130">
        <f t="shared" si="12"/>
        <v>0</v>
      </c>
      <c r="AA12" s="131">
        <f t="shared" si="13"/>
        <v>0</v>
      </c>
      <c r="AB12" s="128">
        <f t="shared" si="14"/>
        <v>0</v>
      </c>
      <c r="AC12" s="129">
        <f t="shared" si="15"/>
        <v>0</v>
      </c>
      <c r="AD12" s="130">
        <f t="shared" si="16"/>
        <v>0</v>
      </c>
      <c r="AE12" s="127">
        <f t="shared" si="17"/>
        <v>0</v>
      </c>
      <c r="AF12" s="128">
        <f t="shared" si="18"/>
        <v>0</v>
      </c>
      <c r="AG12" s="127">
        <f t="shared" si="19"/>
        <v>0</v>
      </c>
      <c r="AH12" s="130">
        <f t="shared" si="20"/>
        <v>0</v>
      </c>
      <c r="AI12" s="131">
        <f t="shared" si="21"/>
        <v>0</v>
      </c>
      <c r="AJ12" s="128">
        <f t="shared" si="22"/>
        <v>0</v>
      </c>
      <c r="AK12" s="132">
        <f t="shared" si="23"/>
        <v>0</v>
      </c>
      <c r="AL12" s="7"/>
    </row>
    <row r="13" spans="1:38" ht="26.1" customHeight="1">
      <c r="A13" s="21">
        <v>6</v>
      </c>
      <c r="B13" s="2"/>
      <c r="C13" s="78"/>
      <c r="D13" s="83" t="s">
        <v>49</v>
      </c>
      <c r="E13" s="53"/>
      <c r="F13" s="83" t="s">
        <v>46</v>
      </c>
      <c r="G13" s="83" t="s">
        <v>95</v>
      </c>
      <c r="H13" s="78"/>
      <c r="I13" s="83" t="s">
        <v>49</v>
      </c>
      <c r="J13" s="53"/>
      <c r="K13" s="83" t="s">
        <v>48</v>
      </c>
      <c r="L13" s="28"/>
      <c r="M13" s="29"/>
      <c r="N13" s="126">
        <f t="shared" si="0"/>
        <v>0</v>
      </c>
      <c r="O13" s="127">
        <f t="shared" si="1"/>
        <v>0</v>
      </c>
      <c r="P13" s="128">
        <f t="shared" si="2"/>
        <v>0</v>
      </c>
      <c r="Q13" s="129">
        <f t="shared" si="3"/>
        <v>0</v>
      </c>
      <c r="R13" s="130">
        <f t="shared" si="4"/>
        <v>0</v>
      </c>
      <c r="S13" s="131">
        <f t="shared" si="5"/>
        <v>0</v>
      </c>
      <c r="T13" s="128">
        <f t="shared" si="6"/>
        <v>0</v>
      </c>
      <c r="U13" s="129">
        <f t="shared" si="7"/>
        <v>0</v>
      </c>
      <c r="V13" s="130">
        <f t="shared" si="8"/>
        <v>0</v>
      </c>
      <c r="W13" s="131">
        <f t="shared" si="9"/>
        <v>0</v>
      </c>
      <c r="X13" s="128">
        <f t="shared" si="10"/>
        <v>0</v>
      </c>
      <c r="Y13" s="129">
        <f t="shared" si="11"/>
        <v>0</v>
      </c>
      <c r="Z13" s="130">
        <f t="shared" si="12"/>
        <v>0</v>
      </c>
      <c r="AA13" s="131">
        <f t="shared" si="13"/>
        <v>0</v>
      </c>
      <c r="AB13" s="128">
        <f t="shared" si="14"/>
        <v>0</v>
      </c>
      <c r="AC13" s="129">
        <f t="shared" si="15"/>
        <v>0</v>
      </c>
      <c r="AD13" s="130">
        <f t="shared" si="16"/>
        <v>0</v>
      </c>
      <c r="AE13" s="127">
        <f t="shared" si="17"/>
        <v>0</v>
      </c>
      <c r="AF13" s="128">
        <f t="shared" si="18"/>
        <v>0</v>
      </c>
      <c r="AG13" s="127">
        <f t="shared" si="19"/>
        <v>0</v>
      </c>
      <c r="AH13" s="130">
        <f t="shared" si="20"/>
        <v>0</v>
      </c>
      <c r="AI13" s="131">
        <f t="shared" si="21"/>
        <v>0</v>
      </c>
      <c r="AJ13" s="128">
        <f t="shared" si="22"/>
        <v>0</v>
      </c>
      <c r="AK13" s="132">
        <f t="shared" si="23"/>
        <v>0</v>
      </c>
      <c r="AL13" s="7"/>
    </row>
    <row r="14" spans="1:38" ht="26.1" customHeight="1">
      <c r="A14" s="21">
        <v>7</v>
      </c>
      <c r="B14" s="2"/>
      <c r="C14" s="78"/>
      <c r="D14" s="83" t="s">
        <v>49</v>
      </c>
      <c r="E14" s="53"/>
      <c r="F14" s="83" t="s">
        <v>46</v>
      </c>
      <c r="G14" s="83" t="s">
        <v>95</v>
      </c>
      <c r="H14" s="78"/>
      <c r="I14" s="83" t="s">
        <v>49</v>
      </c>
      <c r="J14" s="53"/>
      <c r="K14" s="83" t="s">
        <v>48</v>
      </c>
      <c r="L14" s="28"/>
      <c r="M14" s="29"/>
      <c r="N14" s="126">
        <f t="shared" si="0"/>
        <v>0</v>
      </c>
      <c r="O14" s="127">
        <f t="shared" si="1"/>
        <v>0</v>
      </c>
      <c r="P14" s="128">
        <f t="shared" si="2"/>
        <v>0</v>
      </c>
      <c r="Q14" s="129">
        <f t="shared" si="3"/>
        <v>0</v>
      </c>
      <c r="R14" s="130">
        <f t="shared" si="4"/>
        <v>0</v>
      </c>
      <c r="S14" s="131">
        <f t="shared" si="5"/>
        <v>0</v>
      </c>
      <c r="T14" s="128">
        <f t="shared" si="6"/>
        <v>0</v>
      </c>
      <c r="U14" s="129">
        <f t="shared" si="7"/>
        <v>0</v>
      </c>
      <c r="V14" s="130">
        <f t="shared" si="8"/>
        <v>0</v>
      </c>
      <c r="W14" s="131">
        <f t="shared" si="9"/>
        <v>0</v>
      </c>
      <c r="X14" s="128">
        <f t="shared" si="10"/>
        <v>0</v>
      </c>
      <c r="Y14" s="129">
        <f t="shared" si="11"/>
        <v>0</v>
      </c>
      <c r="Z14" s="130">
        <f t="shared" si="12"/>
        <v>0</v>
      </c>
      <c r="AA14" s="131">
        <f t="shared" si="13"/>
        <v>0</v>
      </c>
      <c r="AB14" s="128">
        <f t="shared" si="14"/>
        <v>0</v>
      </c>
      <c r="AC14" s="129">
        <f t="shared" si="15"/>
        <v>0</v>
      </c>
      <c r="AD14" s="130">
        <f t="shared" si="16"/>
        <v>0</v>
      </c>
      <c r="AE14" s="127">
        <f t="shared" si="17"/>
        <v>0</v>
      </c>
      <c r="AF14" s="128">
        <f t="shared" si="18"/>
        <v>0</v>
      </c>
      <c r="AG14" s="127">
        <f t="shared" si="19"/>
        <v>0</v>
      </c>
      <c r="AH14" s="130">
        <f t="shared" si="20"/>
        <v>0</v>
      </c>
      <c r="AI14" s="131">
        <f t="shared" si="21"/>
        <v>0</v>
      </c>
      <c r="AJ14" s="128">
        <f t="shared" si="22"/>
        <v>0</v>
      </c>
      <c r="AK14" s="132">
        <f t="shared" si="23"/>
        <v>0</v>
      </c>
      <c r="AL14" s="7"/>
    </row>
    <row r="15" spans="1:38" ht="26.1" customHeight="1">
      <c r="A15" s="21">
        <v>8</v>
      </c>
      <c r="B15" s="2"/>
      <c r="C15" s="78"/>
      <c r="D15" s="83" t="s">
        <v>49</v>
      </c>
      <c r="E15" s="53"/>
      <c r="F15" s="83" t="s">
        <v>46</v>
      </c>
      <c r="G15" s="83" t="s">
        <v>95</v>
      </c>
      <c r="H15" s="78"/>
      <c r="I15" s="83" t="s">
        <v>49</v>
      </c>
      <c r="J15" s="53"/>
      <c r="K15" s="83" t="s">
        <v>48</v>
      </c>
      <c r="L15" s="28"/>
      <c r="M15" s="29"/>
      <c r="N15" s="126">
        <f t="shared" si="0"/>
        <v>0</v>
      </c>
      <c r="O15" s="127">
        <f t="shared" si="1"/>
        <v>0</v>
      </c>
      <c r="P15" s="128">
        <f t="shared" si="2"/>
        <v>0</v>
      </c>
      <c r="Q15" s="129">
        <f t="shared" si="3"/>
        <v>0</v>
      </c>
      <c r="R15" s="130">
        <f t="shared" si="4"/>
        <v>0</v>
      </c>
      <c r="S15" s="131">
        <f t="shared" si="5"/>
        <v>0</v>
      </c>
      <c r="T15" s="128">
        <f t="shared" si="6"/>
        <v>0</v>
      </c>
      <c r="U15" s="129">
        <f t="shared" si="7"/>
        <v>0</v>
      </c>
      <c r="V15" s="130">
        <f t="shared" si="8"/>
        <v>0</v>
      </c>
      <c r="W15" s="131">
        <f t="shared" si="9"/>
        <v>0</v>
      </c>
      <c r="X15" s="128">
        <f t="shared" si="10"/>
        <v>0</v>
      </c>
      <c r="Y15" s="129">
        <f t="shared" si="11"/>
        <v>0</v>
      </c>
      <c r="Z15" s="130">
        <f t="shared" si="12"/>
        <v>0</v>
      </c>
      <c r="AA15" s="131">
        <f t="shared" si="13"/>
        <v>0</v>
      </c>
      <c r="AB15" s="128">
        <f t="shared" si="14"/>
        <v>0</v>
      </c>
      <c r="AC15" s="129">
        <f t="shared" si="15"/>
        <v>0</v>
      </c>
      <c r="AD15" s="130">
        <f t="shared" si="16"/>
        <v>0</v>
      </c>
      <c r="AE15" s="127">
        <f t="shared" si="17"/>
        <v>0</v>
      </c>
      <c r="AF15" s="128">
        <f t="shared" si="18"/>
        <v>0</v>
      </c>
      <c r="AG15" s="127">
        <f t="shared" si="19"/>
        <v>0</v>
      </c>
      <c r="AH15" s="130">
        <f t="shared" si="20"/>
        <v>0</v>
      </c>
      <c r="AI15" s="131">
        <f t="shared" si="21"/>
        <v>0</v>
      </c>
      <c r="AJ15" s="128">
        <f t="shared" si="22"/>
        <v>0</v>
      </c>
      <c r="AK15" s="132">
        <f t="shared" si="23"/>
        <v>0</v>
      </c>
      <c r="AL15" s="7"/>
    </row>
    <row r="16" spans="1:38" ht="26.1" customHeight="1">
      <c r="A16" s="21">
        <v>9</v>
      </c>
      <c r="B16" s="2"/>
      <c r="C16" s="78"/>
      <c r="D16" s="83" t="s">
        <v>49</v>
      </c>
      <c r="E16" s="53"/>
      <c r="F16" s="83" t="s">
        <v>46</v>
      </c>
      <c r="G16" s="83" t="s">
        <v>95</v>
      </c>
      <c r="H16" s="78"/>
      <c r="I16" s="83" t="s">
        <v>49</v>
      </c>
      <c r="J16" s="53"/>
      <c r="K16" s="83" t="s">
        <v>48</v>
      </c>
      <c r="L16" s="28"/>
      <c r="M16" s="29"/>
      <c r="N16" s="126">
        <f t="shared" si="0"/>
        <v>0</v>
      </c>
      <c r="O16" s="127">
        <f t="shared" si="1"/>
        <v>0</v>
      </c>
      <c r="P16" s="128">
        <f t="shared" si="2"/>
        <v>0</v>
      </c>
      <c r="Q16" s="129">
        <f t="shared" si="3"/>
        <v>0</v>
      </c>
      <c r="R16" s="130">
        <f t="shared" si="4"/>
        <v>0</v>
      </c>
      <c r="S16" s="131">
        <f t="shared" si="5"/>
        <v>0</v>
      </c>
      <c r="T16" s="128">
        <f t="shared" si="6"/>
        <v>0</v>
      </c>
      <c r="U16" s="129">
        <f t="shared" si="7"/>
        <v>0</v>
      </c>
      <c r="V16" s="130">
        <f t="shared" si="8"/>
        <v>0</v>
      </c>
      <c r="W16" s="131">
        <f t="shared" si="9"/>
        <v>0</v>
      </c>
      <c r="X16" s="128">
        <f t="shared" si="10"/>
        <v>0</v>
      </c>
      <c r="Y16" s="129">
        <f t="shared" si="11"/>
        <v>0</v>
      </c>
      <c r="Z16" s="130">
        <f t="shared" si="12"/>
        <v>0</v>
      </c>
      <c r="AA16" s="131">
        <f t="shared" si="13"/>
        <v>0</v>
      </c>
      <c r="AB16" s="128">
        <f t="shared" si="14"/>
        <v>0</v>
      </c>
      <c r="AC16" s="129">
        <f t="shared" si="15"/>
        <v>0</v>
      </c>
      <c r="AD16" s="130">
        <f t="shared" si="16"/>
        <v>0</v>
      </c>
      <c r="AE16" s="127">
        <f t="shared" si="17"/>
        <v>0</v>
      </c>
      <c r="AF16" s="128">
        <f t="shared" si="18"/>
        <v>0</v>
      </c>
      <c r="AG16" s="127">
        <f t="shared" si="19"/>
        <v>0</v>
      </c>
      <c r="AH16" s="130">
        <f t="shared" si="20"/>
        <v>0</v>
      </c>
      <c r="AI16" s="131">
        <f t="shared" si="21"/>
        <v>0</v>
      </c>
      <c r="AJ16" s="128">
        <f t="shared" si="22"/>
        <v>0</v>
      </c>
      <c r="AK16" s="132">
        <f t="shared" si="23"/>
        <v>0</v>
      </c>
      <c r="AL16" s="7"/>
    </row>
    <row r="17" spans="1:38" ht="26.1" customHeight="1">
      <c r="A17" s="198">
        <v>10</v>
      </c>
      <c r="B17" s="2"/>
      <c r="C17" s="78"/>
      <c r="D17" s="83" t="s">
        <v>49</v>
      </c>
      <c r="E17" s="53"/>
      <c r="F17" s="83" t="s">
        <v>46</v>
      </c>
      <c r="G17" s="83" t="s">
        <v>47</v>
      </c>
      <c r="H17" s="78"/>
      <c r="I17" s="83" t="s">
        <v>49</v>
      </c>
      <c r="J17" s="53"/>
      <c r="K17" s="83" t="s">
        <v>48</v>
      </c>
      <c r="L17" s="28"/>
      <c r="M17" s="29"/>
      <c r="N17" s="126">
        <f t="shared" si="0"/>
        <v>0</v>
      </c>
      <c r="O17" s="127">
        <f t="shared" si="1"/>
        <v>0</v>
      </c>
      <c r="P17" s="128">
        <f t="shared" si="2"/>
        <v>0</v>
      </c>
      <c r="Q17" s="129">
        <f t="shared" si="3"/>
        <v>0</v>
      </c>
      <c r="R17" s="130">
        <f t="shared" si="4"/>
        <v>0</v>
      </c>
      <c r="S17" s="131">
        <f t="shared" si="5"/>
        <v>0</v>
      </c>
      <c r="T17" s="128">
        <f t="shared" si="6"/>
        <v>0</v>
      </c>
      <c r="U17" s="129">
        <f t="shared" si="7"/>
        <v>0</v>
      </c>
      <c r="V17" s="130">
        <f t="shared" si="8"/>
        <v>0</v>
      </c>
      <c r="W17" s="131">
        <f t="shared" si="9"/>
        <v>0</v>
      </c>
      <c r="X17" s="128">
        <f t="shared" si="10"/>
        <v>0</v>
      </c>
      <c r="Y17" s="129">
        <f t="shared" si="11"/>
        <v>0</v>
      </c>
      <c r="Z17" s="130">
        <f t="shared" si="12"/>
        <v>0</v>
      </c>
      <c r="AA17" s="131">
        <f t="shared" si="13"/>
        <v>0</v>
      </c>
      <c r="AB17" s="128">
        <f t="shared" si="14"/>
        <v>0</v>
      </c>
      <c r="AC17" s="129">
        <f t="shared" si="15"/>
        <v>0</v>
      </c>
      <c r="AD17" s="130">
        <f t="shared" si="16"/>
        <v>0</v>
      </c>
      <c r="AE17" s="127">
        <f t="shared" si="17"/>
        <v>0</v>
      </c>
      <c r="AF17" s="128">
        <f t="shared" si="18"/>
        <v>0</v>
      </c>
      <c r="AG17" s="127">
        <f t="shared" si="19"/>
        <v>0</v>
      </c>
      <c r="AH17" s="130">
        <f t="shared" si="20"/>
        <v>0</v>
      </c>
      <c r="AI17" s="131">
        <f t="shared" si="21"/>
        <v>0</v>
      </c>
      <c r="AJ17" s="128">
        <f t="shared" si="22"/>
        <v>0</v>
      </c>
      <c r="AK17" s="132">
        <f t="shared" si="23"/>
        <v>0</v>
      </c>
      <c r="AL17" s="201"/>
    </row>
    <row r="18" spans="1:38" ht="26.1" customHeight="1">
      <c r="A18" s="198">
        <v>11</v>
      </c>
      <c r="B18" s="2"/>
      <c r="C18" s="78"/>
      <c r="D18" s="83" t="s">
        <v>49</v>
      </c>
      <c r="E18" s="53"/>
      <c r="F18" s="83" t="s">
        <v>46</v>
      </c>
      <c r="G18" s="83" t="s">
        <v>47</v>
      </c>
      <c r="H18" s="78"/>
      <c r="I18" s="83" t="s">
        <v>49</v>
      </c>
      <c r="J18" s="53"/>
      <c r="K18" s="83" t="s">
        <v>48</v>
      </c>
      <c r="L18" s="28"/>
      <c r="M18" s="29"/>
      <c r="N18" s="126">
        <f t="shared" si="0"/>
        <v>0</v>
      </c>
      <c r="O18" s="127">
        <f t="shared" si="1"/>
        <v>0</v>
      </c>
      <c r="P18" s="128">
        <f t="shared" si="2"/>
        <v>0</v>
      </c>
      <c r="Q18" s="129">
        <f t="shared" si="3"/>
        <v>0</v>
      </c>
      <c r="R18" s="130">
        <f t="shared" si="4"/>
        <v>0</v>
      </c>
      <c r="S18" s="131">
        <f t="shared" si="5"/>
        <v>0</v>
      </c>
      <c r="T18" s="128">
        <f t="shared" si="6"/>
        <v>0</v>
      </c>
      <c r="U18" s="129">
        <f t="shared" si="7"/>
        <v>0</v>
      </c>
      <c r="V18" s="130">
        <f t="shared" si="8"/>
        <v>0</v>
      </c>
      <c r="W18" s="131">
        <f t="shared" si="9"/>
        <v>0</v>
      </c>
      <c r="X18" s="128">
        <f t="shared" si="10"/>
        <v>0</v>
      </c>
      <c r="Y18" s="129">
        <f t="shared" si="11"/>
        <v>0</v>
      </c>
      <c r="Z18" s="130">
        <f t="shared" si="12"/>
        <v>0</v>
      </c>
      <c r="AA18" s="131">
        <f t="shared" si="13"/>
        <v>0</v>
      </c>
      <c r="AB18" s="128">
        <f t="shared" si="14"/>
        <v>0</v>
      </c>
      <c r="AC18" s="129">
        <f t="shared" si="15"/>
        <v>0</v>
      </c>
      <c r="AD18" s="130">
        <f t="shared" si="16"/>
        <v>0</v>
      </c>
      <c r="AE18" s="127">
        <f t="shared" si="17"/>
        <v>0</v>
      </c>
      <c r="AF18" s="128">
        <f t="shared" si="18"/>
        <v>0</v>
      </c>
      <c r="AG18" s="127">
        <f t="shared" si="19"/>
        <v>0</v>
      </c>
      <c r="AH18" s="130">
        <f t="shared" si="20"/>
        <v>0</v>
      </c>
      <c r="AI18" s="131">
        <f t="shared" si="21"/>
        <v>0</v>
      </c>
      <c r="AJ18" s="128">
        <f t="shared" si="22"/>
        <v>0</v>
      </c>
      <c r="AK18" s="132">
        <f t="shared" si="23"/>
        <v>0</v>
      </c>
      <c r="AL18" s="201"/>
    </row>
    <row r="19" spans="1:38" ht="26.1" customHeight="1">
      <c r="A19" s="198">
        <v>12</v>
      </c>
      <c r="B19" s="2"/>
      <c r="C19" s="78"/>
      <c r="D19" s="83" t="s">
        <v>49</v>
      </c>
      <c r="E19" s="53"/>
      <c r="F19" s="83" t="s">
        <v>46</v>
      </c>
      <c r="G19" s="83" t="s">
        <v>47</v>
      </c>
      <c r="H19" s="78"/>
      <c r="I19" s="83" t="s">
        <v>49</v>
      </c>
      <c r="J19" s="53"/>
      <c r="K19" s="83" t="s">
        <v>48</v>
      </c>
      <c r="L19" s="28"/>
      <c r="M19" s="29"/>
      <c r="N19" s="126">
        <f t="shared" si="0"/>
        <v>0</v>
      </c>
      <c r="O19" s="127">
        <f t="shared" si="1"/>
        <v>0</v>
      </c>
      <c r="P19" s="128">
        <f t="shared" si="2"/>
        <v>0</v>
      </c>
      <c r="Q19" s="129">
        <f t="shared" si="3"/>
        <v>0</v>
      </c>
      <c r="R19" s="130">
        <f t="shared" si="4"/>
        <v>0</v>
      </c>
      <c r="S19" s="131">
        <f t="shared" si="5"/>
        <v>0</v>
      </c>
      <c r="T19" s="128">
        <f t="shared" si="6"/>
        <v>0</v>
      </c>
      <c r="U19" s="129">
        <f t="shared" si="7"/>
        <v>0</v>
      </c>
      <c r="V19" s="130">
        <f t="shared" si="8"/>
        <v>0</v>
      </c>
      <c r="W19" s="131">
        <f t="shared" si="9"/>
        <v>0</v>
      </c>
      <c r="X19" s="128">
        <f t="shared" si="10"/>
        <v>0</v>
      </c>
      <c r="Y19" s="129">
        <f t="shared" si="11"/>
        <v>0</v>
      </c>
      <c r="Z19" s="130">
        <f t="shared" si="12"/>
        <v>0</v>
      </c>
      <c r="AA19" s="131">
        <f t="shared" si="13"/>
        <v>0</v>
      </c>
      <c r="AB19" s="128">
        <f t="shared" si="14"/>
        <v>0</v>
      </c>
      <c r="AC19" s="129">
        <f t="shared" si="15"/>
        <v>0</v>
      </c>
      <c r="AD19" s="130">
        <f t="shared" si="16"/>
        <v>0</v>
      </c>
      <c r="AE19" s="127">
        <f t="shared" si="17"/>
        <v>0</v>
      </c>
      <c r="AF19" s="128">
        <f t="shared" si="18"/>
        <v>0</v>
      </c>
      <c r="AG19" s="127">
        <f t="shared" si="19"/>
        <v>0</v>
      </c>
      <c r="AH19" s="130">
        <f t="shared" si="20"/>
        <v>0</v>
      </c>
      <c r="AI19" s="131">
        <f t="shared" si="21"/>
        <v>0</v>
      </c>
      <c r="AJ19" s="128">
        <f t="shared" si="22"/>
        <v>0</v>
      </c>
      <c r="AK19" s="132">
        <f t="shared" si="23"/>
        <v>0</v>
      </c>
      <c r="AL19" s="201"/>
    </row>
    <row r="20" spans="1:38" ht="26.1" customHeight="1">
      <c r="A20" s="198">
        <v>13</v>
      </c>
      <c r="B20" s="2"/>
      <c r="C20" s="78"/>
      <c r="D20" s="83" t="s">
        <v>49</v>
      </c>
      <c r="E20" s="53"/>
      <c r="F20" s="83" t="s">
        <v>46</v>
      </c>
      <c r="G20" s="83" t="s">
        <v>47</v>
      </c>
      <c r="H20" s="78"/>
      <c r="I20" s="83" t="s">
        <v>49</v>
      </c>
      <c r="J20" s="53"/>
      <c r="K20" s="83" t="s">
        <v>48</v>
      </c>
      <c r="L20" s="28"/>
      <c r="M20" s="29"/>
      <c r="N20" s="126">
        <f t="shared" si="0"/>
        <v>0</v>
      </c>
      <c r="O20" s="127">
        <f t="shared" si="1"/>
        <v>0</v>
      </c>
      <c r="P20" s="128">
        <f t="shared" si="2"/>
        <v>0</v>
      </c>
      <c r="Q20" s="129">
        <f t="shared" si="3"/>
        <v>0</v>
      </c>
      <c r="R20" s="130">
        <f t="shared" si="4"/>
        <v>0</v>
      </c>
      <c r="S20" s="131">
        <f t="shared" si="5"/>
        <v>0</v>
      </c>
      <c r="T20" s="128">
        <f t="shared" si="6"/>
        <v>0</v>
      </c>
      <c r="U20" s="129">
        <f t="shared" si="7"/>
        <v>0</v>
      </c>
      <c r="V20" s="130">
        <f t="shared" si="8"/>
        <v>0</v>
      </c>
      <c r="W20" s="131">
        <f t="shared" si="9"/>
        <v>0</v>
      </c>
      <c r="X20" s="128">
        <f t="shared" si="10"/>
        <v>0</v>
      </c>
      <c r="Y20" s="129">
        <f t="shared" si="11"/>
        <v>0</v>
      </c>
      <c r="Z20" s="130">
        <f t="shared" si="12"/>
        <v>0</v>
      </c>
      <c r="AA20" s="131">
        <f t="shared" si="13"/>
        <v>0</v>
      </c>
      <c r="AB20" s="128">
        <f t="shared" si="14"/>
        <v>0</v>
      </c>
      <c r="AC20" s="129">
        <f t="shared" si="15"/>
        <v>0</v>
      </c>
      <c r="AD20" s="130">
        <f t="shared" si="16"/>
        <v>0</v>
      </c>
      <c r="AE20" s="127">
        <f t="shared" si="17"/>
        <v>0</v>
      </c>
      <c r="AF20" s="128">
        <f t="shared" si="18"/>
        <v>0</v>
      </c>
      <c r="AG20" s="127">
        <f t="shared" si="19"/>
        <v>0</v>
      </c>
      <c r="AH20" s="130">
        <f t="shared" si="20"/>
        <v>0</v>
      </c>
      <c r="AI20" s="131">
        <f t="shared" si="21"/>
        <v>0</v>
      </c>
      <c r="AJ20" s="128">
        <f t="shared" si="22"/>
        <v>0</v>
      </c>
      <c r="AK20" s="132">
        <f t="shared" si="23"/>
        <v>0</v>
      </c>
      <c r="AL20" s="201"/>
    </row>
    <row r="21" spans="1:38" ht="26.1" customHeight="1">
      <c r="A21" s="198">
        <v>14</v>
      </c>
      <c r="B21" s="2"/>
      <c r="C21" s="78"/>
      <c r="D21" s="83" t="s">
        <v>49</v>
      </c>
      <c r="E21" s="53"/>
      <c r="F21" s="83" t="s">
        <v>46</v>
      </c>
      <c r="G21" s="83" t="s">
        <v>47</v>
      </c>
      <c r="H21" s="78"/>
      <c r="I21" s="83" t="s">
        <v>49</v>
      </c>
      <c r="J21" s="53"/>
      <c r="K21" s="83" t="s">
        <v>48</v>
      </c>
      <c r="L21" s="28"/>
      <c r="M21" s="29"/>
      <c r="N21" s="126">
        <f t="shared" si="0"/>
        <v>0</v>
      </c>
      <c r="O21" s="127">
        <f t="shared" si="1"/>
        <v>0</v>
      </c>
      <c r="P21" s="128">
        <f t="shared" si="2"/>
        <v>0</v>
      </c>
      <c r="Q21" s="129">
        <f t="shared" si="3"/>
        <v>0</v>
      </c>
      <c r="R21" s="130">
        <f t="shared" si="4"/>
        <v>0</v>
      </c>
      <c r="S21" s="131">
        <f t="shared" si="5"/>
        <v>0</v>
      </c>
      <c r="T21" s="128">
        <f t="shared" si="6"/>
        <v>0</v>
      </c>
      <c r="U21" s="129">
        <f t="shared" si="7"/>
        <v>0</v>
      </c>
      <c r="V21" s="130">
        <f t="shared" si="8"/>
        <v>0</v>
      </c>
      <c r="W21" s="131">
        <f t="shared" si="9"/>
        <v>0</v>
      </c>
      <c r="X21" s="128">
        <f t="shared" si="10"/>
        <v>0</v>
      </c>
      <c r="Y21" s="129">
        <f t="shared" si="11"/>
        <v>0</v>
      </c>
      <c r="Z21" s="130">
        <f t="shared" si="12"/>
        <v>0</v>
      </c>
      <c r="AA21" s="131">
        <f t="shared" si="13"/>
        <v>0</v>
      </c>
      <c r="AB21" s="128">
        <f t="shared" si="14"/>
        <v>0</v>
      </c>
      <c r="AC21" s="129">
        <f t="shared" si="15"/>
        <v>0</v>
      </c>
      <c r="AD21" s="130">
        <f t="shared" si="16"/>
        <v>0</v>
      </c>
      <c r="AE21" s="127">
        <f t="shared" si="17"/>
        <v>0</v>
      </c>
      <c r="AF21" s="128">
        <f t="shared" si="18"/>
        <v>0</v>
      </c>
      <c r="AG21" s="127">
        <f t="shared" si="19"/>
        <v>0</v>
      </c>
      <c r="AH21" s="130">
        <f t="shared" si="20"/>
        <v>0</v>
      </c>
      <c r="AI21" s="131">
        <f t="shared" si="21"/>
        <v>0</v>
      </c>
      <c r="AJ21" s="128">
        <f t="shared" si="22"/>
        <v>0</v>
      </c>
      <c r="AK21" s="132">
        <f t="shared" si="23"/>
        <v>0</v>
      </c>
      <c r="AL21" s="201"/>
    </row>
    <row r="22" spans="1:38" ht="26.1" customHeight="1">
      <c r="A22" s="198">
        <v>15</v>
      </c>
      <c r="B22" s="2"/>
      <c r="C22" s="78"/>
      <c r="D22" s="83" t="s">
        <v>49</v>
      </c>
      <c r="E22" s="53"/>
      <c r="F22" s="83" t="s">
        <v>46</v>
      </c>
      <c r="G22" s="83" t="s">
        <v>47</v>
      </c>
      <c r="H22" s="78"/>
      <c r="I22" s="83" t="s">
        <v>49</v>
      </c>
      <c r="J22" s="53"/>
      <c r="K22" s="83" t="s">
        <v>48</v>
      </c>
      <c r="L22" s="28"/>
      <c r="M22" s="29"/>
      <c r="N22" s="126">
        <f t="shared" si="0"/>
        <v>0</v>
      </c>
      <c r="O22" s="127">
        <f t="shared" si="1"/>
        <v>0</v>
      </c>
      <c r="P22" s="128">
        <f t="shared" si="2"/>
        <v>0</v>
      </c>
      <c r="Q22" s="129">
        <f t="shared" si="3"/>
        <v>0</v>
      </c>
      <c r="R22" s="130">
        <f t="shared" si="4"/>
        <v>0</v>
      </c>
      <c r="S22" s="131">
        <f t="shared" si="5"/>
        <v>0</v>
      </c>
      <c r="T22" s="128">
        <f t="shared" si="6"/>
        <v>0</v>
      </c>
      <c r="U22" s="129">
        <f t="shared" si="7"/>
        <v>0</v>
      </c>
      <c r="V22" s="130">
        <f t="shared" si="8"/>
        <v>0</v>
      </c>
      <c r="W22" s="131">
        <f t="shared" si="9"/>
        <v>0</v>
      </c>
      <c r="X22" s="128">
        <f t="shared" si="10"/>
        <v>0</v>
      </c>
      <c r="Y22" s="129">
        <f t="shared" si="11"/>
        <v>0</v>
      </c>
      <c r="Z22" s="130">
        <f t="shared" si="12"/>
        <v>0</v>
      </c>
      <c r="AA22" s="131">
        <f t="shared" si="13"/>
        <v>0</v>
      </c>
      <c r="AB22" s="128">
        <f t="shared" si="14"/>
        <v>0</v>
      </c>
      <c r="AC22" s="129">
        <f t="shared" si="15"/>
        <v>0</v>
      </c>
      <c r="AD22" s="130">
        <f t="shared" si="16"/>
        <v>0</v>
      </c>
      <c r="AE22" s="127">
        <f t="shared" si="17"/>
        <v>0</v>
      </c>
      <c r="AF22" s="128">
        <f t="shared" si="18"/>
        <v>0</v>
      </c>
      <c r="AG22" s="127">
        <f t="shared" si="19"/>
        <v>0</v>
      </c>
      <c r="AH22" s="130">
        <f t="shared" si="20"/>
        <v>0</v>
      </c>
      <c r="AI22" s="131">
        <f t="shared" si="21"/>
        <v>0</v>
      </c>
      <c r="AJ22" s="128">
        <f t="shared" si="22"/>
        <v>0</v>
      </c>
      <c r="AK22" s="132">
        <f t="shared" si="23"/>
        <v>0</v>
      </c>
      <c r="AL22" s="201"/>
    </row>
    <row r="23" spans="1:38" ht="26.1" customHeight="1">
      <c r="A23" s="198">
        <v>16</v>
      </c>
      <c r="B23" s="2"/>
      <c r="C23" s="78"/>
      <c r="D23" s="83" t="s">
        <v>49</v>
      </c>
      <c r="E23" s="53"/>
      <c r="F23" s="83" t="s">
        <v>46</v>
      </c>
      <c r="G23" s="83" t="s">
        <v>47</v>
      </c>
      <c r="H23" s="78"/>
      <c r="I23" s="83" t="s">
        <v>49</v>
      </c>
      <c r="J23" s="53"/>
      <c r="K23" s="83" t="s">
        <v>48</v>
      </c>
      <c r="L23" s="28"/>
      <c r="M23" s="29"/>
      <c r="N23" s="126">
        <f t="shared" si="0"/>
        <v>0</v>
      </c>
      <c r="O23" s="127">
        <f t="shared" si="1"/>
        <v>0</v>
      </c>
      <c r="P23" s="128">
        <f t="shared" si="2"/>
        <v>0</v>
      </c>
      <c r="Q23" s="129">
        <f t="shared" si="3"/>
        <v>0</v>
      </c>
      <c r="R23" s="130">
        <f t="shared" si="4"/>
        <v>0</v>
      </c>
      <c r="S23" s="131">
        <f t="shared" si="5"/>
        <v>0</v>
      </c>
      <c r="T23" s="128">
        <f t="shared" si="6"/>
        <v>0</v>
      </c>
      <c r="U23" s="129">
        <f t="shared" si="7"/>
        <v>0</v>
      </c>
      <c r="V23" s="130">
        <f t="shared" si="8"/>
        <v>0</v>
      </c>
      <c r="W23" s="131">
        <f t="shared" si="9"/>
        <v>0</v>
      </c>
      <c r="X23" s="128">
        <f t="shared" si="10"/>
        <v>0</v>
      </c>
      <c r="Y23" s="129">
        <f t="shared" si="11"/>
        <v>0</v>
      </c>
      <c r="Z23" s="130">
        <f t="shared" si="12"/>
        <v>0</v>
      </c>
      <c r="AA23" s="131">
        <f t="shared" si="13"/>
        <v>0</v>
      </c>
      <c r="AB23" s="128">
        <f t="shared" si="14"/>
        <v>0</v>
      </c>
      <c r="AC23" s="129">
        <f t="shared" si="15"/>
        <v>0</v>
      </c>
      <c r="AD23" s="130">
        <f t="shared" si="16"/>
        <v>0</v>
      </c>
      <c r="AE23" s="127">
        <f t="shared" si="17"/>
        <v>0</v>
      </c>
      <c r="AF23" s="128">
        <f t="shared" si="18"/>
        <v>0</v>
      </c>
      <c r="AG23" s="127">
        <f t="shared" si="19"/>
        <v>0</v>
      </c>
      <c r="AH23" s="130">
        <f t="shared" si="20"/>
        <v>0</v>
      </c>
      <c r="AI23" s="131">
        <f t="shared" si="21"/>
        <v>0</v>
      </c>
      <c r="AJ23" s="128">
        <f t="shared" si="22"/>
        <v>0</v>
      </c>
      <c r="AK23" s="132">
        <f t="shared" si="23"/>
        <v>0</v>
      </c>
      <c r="AL23" s="201"/>
    </row>
    <row r="24" spans="1:38" ht="26.1" customHeight="1">
      <c r="A24" s="198">
        <v>17</v>
      </c>
      <c r="B24" s="2"/>
      <c r="C24" s="78"/>
      <c r="D24" s="83" t="s">
        <v>49</v>
      </c>
      <c r="E24" s="53"/>
      <c r="F24" s="83" t="s">
        <v>46</v>
      </c>
      <c r="G24" s="83" t="s">
        <v>47</v>
      </c>
      <c r="H24" s="78"/>
      <c r="I24" s="83" t="s">
        <v>49</v>
      </c>
      <c r="J24" s="53"/>
      <c r="K24" s="83" t="s">
        <v>48</v>
      </c>
      <c r="L24" s="28"/>
      <c r="M24" s="29"/>
      <c r="N24" s="126">
        <f t="shared" si="0"/>
        <v>0</v>
      </c>
      <c r="O24" s="127">
        <f t="shared" si="1"/>
        <v>0</v>
      </c>
      <c r="P24" s="128">
        <f t="shared" si="2"/>
        <v>0</v>
      </c>
      <c r="Q24" s="129">
        <f t="shared" si="3"/>
        <v>0</v>
      </c>
      <c r="R24" s="130">
        <f t="shared" si="4"/>
        <v>0</v>
      </c>
      <c r="S24" s="131">
        <f t="shared" si="5"/>
        <v>0</v>
      </c>
      <c r="T24" s="128">
        <f t="shared" si="6"/>
        <v>0</v>
      </c>
      <c r="U24" s="129">
        <f t="shared" si="7"/>
        <v>0</v>
      </c>
      <c r="V24" s="130">
        <f t="shared" si="8"/>
        <v>0</v>
      </c>
      <c r="W24" s="131">
        <f t="shared" si="9"/>
        <v>0</v>
      </c>
      <c r="X24" s="128">
        <f t="shared" si="10"/>
        <v>0</v>
      </c>
      <c r="Y24" s="129">
        <f t="shared" si="11"/>
        <v>0</v>
      </c>
      <c r="Z24" s="130">
        <f t="shared" si="12"/>
        <v>0</v>
      </c>
      <c r="AA24" s="131">
        <f t="shared" si="13"/>
        <v>0</v>
      </c>
      <c r="AB24" s="128">
        <f t="shared" si="14"/>
        <v>0</v>
      </c>
      <c r="AC24" s="129">
        <f t="shared" si="15"/>
        <v>0</v>
      </c>
      <c r="AD24" s="130">
        <f t="shared" si="16"/>
        <v>0</v>
      </c>
      <c r="AE24" s="127">
        <f t="shared" si="17"/>
        <v>0</v>
      </c>
      <c r="AF24" s="128">
        <f t="shared" si="18"/>
        <v>0</v>
      </c>
      <c r="AG24" s="127">
        <f t="shared" si="19"/>
        <v>0</v>
      </c>
      <c r="AH24" s="130">
        <f t="shared" si="20"/>
        <v>0</v>
      </c>
      <c r="AI24" s="131">
        <f t="shared" si="21"/>
        <v>0</v>
      </c>
      <c r="AJ24" s="128">
        <f t="shared" si="22"/>
        <v>0</v>
      </c>
      <c r="AK24" s="132">
        <f t="shared" si="23"/>
        <v>0</v>
      </c>
      <c r="AL24" s="201"/>
    </row>
    <row r="25" spans="1:38" ht="26.1" customHeight="1">
      <c r="A25" s="198">
        <v>18</v>
      </c>
      <c r="B25" s="2"/>
      <c r="C25" s="78"/>
      <c r="D25" s="83" t="s">
        <v>49</v>
      </c>
      <c r="E25" s="53"/>
      <c r="F25" s="83" t="s">
        <v>46</v>
      </c>
      <c r="G25" s="83" t="s">
        <v>47</v>
      </c>
      <c r="H25" s="78"/>
      <c r="I25" s="83" t="s">
        <v>49</v>
      </c>
      <c r="J25" s="53"/>
      <c r="K25" s="83" t="s">
        <v>48</v>
      </c>
      <c r="L25" s="28"/>
      <c r="M25" s="29"/>
      <c r="N25" s="126">
        <f t="shared" si="0"/>
        <v>0</v>
      </c>
      <c r="O25" s="127">
        <f t="shared" si="1"/>
        <v>0</v>
      </c>
      <c r="P25" s="128">
        <f t="shared" si="2"/>
        <v>0</v>
      </c>
      <c r="Q25" s="129">
        <f t="shared" si="3"/>
        <v>0</v>
      </c>
      <c r="R25" s="130">
        <f t="shared" si="4"/>
        <v>0</v>
      </c>
      <c r="S25" s="131">
        <f t="shared" si="5"/>
        <v>0</v>
      </c>
      <c r="T25" s="128">
        <f t="shared" si="6"/>
        <v>0</v>
      </c>
      <c r="U25" s="129">
        <f t="shared" si="7"/>
        <v>0</v>
      </c>
      <c r="V25" s="130">
        <f t="shared" si="8"/>
        <v>0</v>
      </c>
      <c r="W25" s="131">
        <f t="shared" si="9"/>
        <v>0</v>
      </c>
      <c r="X25" s="128">
        <f t="shared" si="10"/>
        <v>0</v>
      </c>
      <c r="Y25" s="129">
        <f t="shared" si="11"/>
        <v>0</v>
      </c>
      <c r="Z25" s="130">
        <f t="shared" si="12"/>
        <v>0</v>
      </c>
      <c r="AA25" s="131">
        <f t="shared" si="13"/>
        <v>0</v>
      </c>
      <c r="AB25" s="128">
        <f t="shared" si="14"/>
        <v>0</v>
      </c>
      <c r="AC25" s="129">
        <f t="shared" si="15"/>
        <v>0</v>
      </c>
      <c r="AD25" s="130">
        <f t="shared" si="16"/>
        <v>0</v>
      </c>
      <c r="AE25" s="127">
        <f t="shared" si="17"/>
        <v>0</v>
      </c>
      <c r="AF25" s="128">
        <f t="shared" si="18"/>
        <v>0</v>
      </c>
      <c r="AG25" s="127">
        <f t="shared" si="19"/>
        <v>0</v>
      </c>
      <c r="AH25" s="130">
        <f t="shared" si="20"/>
        <v>0</v>
      </c>
      <c r="AI25" s="131">
        <f t="shared" si="21"/>
        <v>0</v>
      </c>
      <c r="AJ25" s="128">
        <f t="shared" si="22"/>
        <v>0</v>
      </c>
      <c r="AK25" s="132">
        <f t="shared" si="23"/>
        <v>0</v>
      </c>
      <c r="AL25" s="201"/>
    </row>
    <row r="26" spans="1:38" ht="26.1" customHeight="1">
      <c r="A26" s="198">
        <v>19</v>
      </c>
      <c r="B26" s="2"/>
      <c r="C26" s="78"/>
      <c r="D26" s="83" t="s">
        <v>49</v>
      </c>
      <c r="E26" s="53"/>
      <c r="F26" s="83" t="s">
        <v>46</v>
      </c>
      <c r="G26" s="83" t="s">
        <v>47</v>
      </c>
      <c r="H26" s="78"/>
      <c r="I26" s="83" t="s">
        <v>49</v>
      </c>
      <c r="J26" s="53"/>
      <c r="K26" s="83" t="s">
        <v>48</v>
      </c>
      <c r="L26" s="28"/>
      <c r="M26" s="29"/>
      <c r="N26" s="126">
        <f t="shared" si="0"/>
        <v>0</v>
      </c>
      <c r="O26" s="127">
        <f t="shared" si="1"/>
        <v>0</v>
      </c>
      <c r="P26" s="128">
        <f t="shared" si="2"/>
        <v>0</v>
      </c>
      <c r="Q26" s="129">
        <f t="shared" si="3"/>
        <v>0</v>
      </c>
      <c r="R26" s="130">
        <f t="shared" si="4"/>
        <v>0</v>
      </c>
      <c r="S26" s="131">
        <f t="shared" si="5"/>
        <v>0</v>
      </c>
      <c r="T26" s="128">
        <f t="shared" si="6"/>
        <v>0</v>
      </c>
      <c r="U26" s="129">
        <f t="shared" si="7"/>
        <v>0</v>
      </c>
      <c r="V26" s="130">
        <f t="shared" si="8"/>
        <v>0</v>
      </c>
      <c r="W26" s="131">
        <f t="shared" si="9"/>
        <v>0</v>
      </c>
      <c r="X26" s="128">
        <f t="shared" si="10"/>
        <v>0</v>
      </c>
      <c r="Y26" s="129">
        <f t="shared" si="11"/>
        <v>0</v>
      </c>
      <c r="Z26" s="130">
        <f t="shared" si="12"/>
        <v>0</v>
      </c>
      <c r="AA26" s="131">
        <f t="shared" si="13"/>
        <v>0</v>
      </c>
      <c r="AB26" s="128">
        <f t="shared" si="14"/>
        <v>0</v>
      </c>
      <c r="AC26" s="129">
        <f t="shared" si="15"/>
        <v>0</v>
      </c>
      <c r="AD26" s="130">
        <f t="shared" si="16"/>
        <v>0</v>
      </c>
      <c r="AE26" s="127">
        <f t="shared" si="17"/>
        <v>0</v>
      </c>
      <c r="AF26" s="128">
        <f t="shared" si="18"/>
        <v>0</v>
      </c>
      <c r="AG26" s="127">
        <f t="shared" si="19"/>
        <v>0</v>
      </c>
      <c r="AH26" s="130">
        <f t="shared" si="20"/>
        <v>0</v>
      </c>
      <c r="AI26" s="131">
        <f t="shared" si="21"/>
        <v>0</v>
      </c>
      <c r="AJ26" s="128">
        <f t="shared" si="22"/>
        <v>0</v>
      </c>
      <c r="AK26" s="132">
        <f t="shared" si="23"/>
        <v>0</v>
      </c>
      <c r="AL26" s="201"/>
    </row>
    <row r="27" spans="1:38" ht="26.1" customHeight="1">
      <c r="A27" s="198">
        <v>20</v>
      </c>
      <c r="B27" s="2"/>
      <c r="C27" s="78"/>
      <c r="D27" s="83" t="s">
        <v>49</v>
      </c>
      <c r="E27" s="53"/>
      <c r="F27" s="83" t="s">
        <v>46</v>
      </c>
      <c r="G27" s="83" t="s">
        <v>95</v>
      </c>
      <c r="H27" s="78"/>
      <c r="I27" s="83" t="s">
        <v>49</v>
      </c>
      <c r="J27" s="53"/>
      <c r="K27" s="83" t="s">
        <v>48</v>
      </c>
      <c r="L27" s="28"/>
      <c r="M27" s="29"/>
      <c r="N27" s="126">
        <f t="shared" si="0"/>
        <v>0</v>
      </c>
      <c r="O27" s="127">
        <f t="shared" si="1"/>
        <v>0</v>
      </c>
      <c r="P27" s="128">
        <f t="shared" si="2"/>
        <v>0</v>
      </c>
      <c r="Q27" s="129">
        <f t="shared" si="3"/>
        <v>0</v>
      </c>
      <c r="R27" s="130">
        <f t="shared" si="4"/>
        <v>0</v>
      </c>
      <c r="S27" s="131">
        <f t="shared" si="5"/>
        <v>0</v>
      </c>
      <c r="T27" s="128">
        <f t="shared" si="6"/>
        <v>0</v>
      </c>
      <c r="U27" s="129">
        <f t="shared" si="7"/>
        <v>0</v>
      </c>
      <c r="V27" s="130">
        <f t="shared" si="8"/>
        <v>0</v>
      </c>
      <c r="W27" s="131">
        <f t="shared" si="9"/>
        <v>0</v>
      </c>
      <c r="X27" s="128">
        <f t="shared" si="10"/>
        <v>0</v>
      </c>
      <c r="Y27" s="129">
        <f t="shared" si="11"/>
        <v>0</v>
      </c>
      <c r="Z27" s="130">
        <f t="shared" si="12"/>
        <v>0</v>
      </c>
      <c r="AA27" s="131">
        <f t="shared" si="13"/>
        <v>0</v>
      </c>
      <c r="AB27" s="128">
        <f t="shared" si="14"/>
        <v>0</v>
      </c>
      <c r="AC27" s="129">
        <f t="shared" si="15"/>
        <v>0</v>
      </c>
      <c r="AD27" s="130">
        <f t="shared" si="16"/>
        <v>0</v>
      </c>
      <c r="AE27" s="127">
        <f t="shared" si="17"/>
        <v>0</v>
      </c>
      <c r="AF27" s="128">
        <f t="shared" si="18"/>
        <v>0</v>
      </c>
      <c r="AG27" s="127">
        <f t="shared" si="19"/>
        <v>0</v>
      </c>
      <c r="AH27" s="130">
        <f t="shared" si="20"/>
        <v>0</v>
      </c>
      <c r="AI27" s="131">
        <f t="shared" si="21"/>
        <v>0</v>
      </c>
      <c r="AJ27" s="128">
        <f t="shared" si="22"/>
        <v>0</v>
      </c>
      <c r="AK27" s="132">
        <f t="shared" si="23"/>
        <v>0</v>
      </c>
      <c r="AL27" s="7"/>
    </row>
    <row r="28" spans="1:38" ht="26.1" customHeight="1">
      <c r="A28" s="198">
        <v>21</v>
      </c>
      <c r="B28" s="2"/>
      <c r="C28" s="78"/>
      <c r="D28" s="83" t="s">
        <v>49</v>
      </c>
      <c r="E28" s="53"/>
      <c r="F28" s="83" t="s">
        <v>46</v>
      </c>
      <c r="G28" s="83" t="s">
        <v>95</v>
      </c>
      <c r="H28" s="78"/>
      <c r="I28" s="83" t="s">
        <v>49</v>
      </c>
      <c r="J28" s="53"/>
      <c r="K28" s="83" t="s">
        <v>48</v>
      </c>
      <c r="L28" s="28"/>
      <c r="M28" s="29"/>
      <c r="N28" s="126">
        <f t="shared" si="0"/>
        <v>0</v>
      </c>
      <c r="O28" s="127">
        <f t="shared" si="1"/>
        <v>0</v>
      </c>
      <c r="P28" s="128">
        <f t="shared" si="2"/>
        <v>0</v>
      </c>
      <c r="Q28" s="129">
        <f t="shared" si="3"/>
        <v>0</v>
      </c>
      <c r="R28" s="130">
        <f t="shared" si="4"/>
        <v>0</v>
      </c>
      <c r="S28" s="131">
        <f t="shared" si="5"/>
        <v>0</v>
      </c>
      <c r="T28" s="128">
        <f t="shared" si="6"/>
        <v>0</v>
      </c>
      <c r="U28" s="129">
        <f t="shared" si="7"/>
        <v>0</v>
      </c>
      <c r="V28" s="130">
        <f t="shared" si="8"/>
        <v>0</v>
      </c>
      <c r="W28" s="131">
        <f t="shared" si="9"/>
        <v>0</v>
      </c>
      <c r="X28" s="128">
        <f t="shared" si="10"/>
        <v>0</v>
      </c>
      <c r="Y28" s="129">
        <f t="shared" si="11"/>
        <v>0</v>
      </c>
      <c r="Z28" s="130">
        <f t="shared" si="12"/>
        <v>0</v>
      </c>
      <c r="AA28" s="131">
        <f t="shared" si="13"/>
        <v>0</v>
      </c>
      <c r="AB28" s="128">
        <f t="shared" si="14"/>
        <v>0</v>
      </c>
      <c r="AC28" s="129">
        <f t="shared" si="15"/>
        <v>0</v>
      </c>
      <c r="AD28" s="130">
        <f t="shared" si="16"/>
        <v>0</v>
      </c>
      <c r="AE28" s="127">
        <f t="shared" si="17"/>
        <v>0</v>
      </c>
      <c r="AF28" s="128">
        <f t="shared" si="18"/>
        <v>0</v>
      </c>
      <c r="AG28" s="127">
        <f t="shared" si="19"/>
        <v>0</v>
      </c>
      <c r="AH28" s="130">
        <f t="shared" si="20"/>
        <v>0</v>
      </c>
      <c r="AI28" s="131">
        <f t="shared" si="21"/>
        <v>0</v>
      </c>
      <c r="AJ28" s="128">
        <f t="shared" si="22"/>
        <v>0</v>
      </c>
      <c r="AK28" s="132">
        <f t="shared" si="23"/>
        <v>0</v>
      </c>
      <c r="AL28" s="7"/>
    </row>
    <row r="29" spans="1:38" ht="26.1" customHeight="1">
      <c r="A29" s="198">
        <v>22</v>
      </c>
      <c r="B29" s="2"/>
      <c r="C29" s="78"/>
      <c r="D29" s="83" t="s">
        <v>49</v>
      </c>
      <c r="E29" s="53"/>
      <c r="F29" s="83" t="s">
        <v>46</v>
      </c>
      <c r="G29" s="83" t="s">
        <v>95</v>
      </c>
      <c r="H29" s="78"/>
      <c r="I29" s="83" t="s">
        <v>49</v>
      </c>
      <c r="J29" s="53"/>
      <c r="K29" s="83" t="s">
        <v>48</v>
      </c>
      <c r="L29" s="28"/>
      <c r="M29" s="29"/>
      <c r="N29" s="126">
        <f t="shared" si="0"/>
        <v>0</v>
      </c>
      <c r="O29" s="127">
        <f t="shared" si="1"/>
        <v>0</v>
      </c>
      <c r="P29" s="128">
        <f t="shared" si="2"/>
        <v>0</v>
      </c>
      <c r="Q29" s="129">
        <f t="shared" si="3"/>
        <v>0</v>
      </c>
      <c r="R29" s="130">
        <f t="shared" si="4"/>
        <v>0</v>
      </c>
      <c r="S29" s="131">
        <f t="shared" si="5"/>
        <v>0</v>
      </c>
      <c r="T29" s="128">
        <f t="shared" si="6"/>
        <v>0</v>
      </c>
      <c r="U29" s="129">
        <f t="shared" si="7"/>
        <v>0</v>
      </c>
      <c r="V29" s="130">
        <f t="shared" si="8"/>
        <v>0</v>
      </c>
      <c r="W29" s="131">
        <f t="shared" si="9"/>
        <v>0</v>
      </c>
      <c r="X29" s="128">
        <f t="shared" si="10"/>
        <v>0</v>
      </c>
      <c r="Y29" s="129">
        <f t="shared" si="11"/>
        <v>0</v>
      </c>
      <c r="Z29" s="130">
        <f t="shared" si="12"/>
        <v>0</v>
      </c>
      <c r="AA29" s="131">
        <f t="shared" si="13"/>
        <v>0</v>
      </c>
      <c r="AB29" s="128">
        <f t="shared" si="14"/>
        <v>0</v>
      </c>
      <c r="AC29" s="129">
        <f t="shared" si="15"/>
        <v>0</v>
      </c>
      <c r="AD29" s="130">
        <f t="shared" si="16"/>
        <v>0</v>
      </c>
      <c r="AE29" s="127">
        <f t="shared" si="17"/>
        <v>0</v>
      </c>
      <c r="AF29" s="128">
        <f t="shared" si="18"/>
        <v>0</v>
      </c>
      <c r="AG29" s="127">
        <f t="shared" si="19"/>
        <v>0</v>
      </c>
      <c r="AH29" s="130">
        <f t="shared" si="20"/>
        <v>0</v>
      </c>
      <c r="AI29" s="131">
        <f t="shared" si="21"/>
        <v>0</v>
      </c>
      <c r="AJ29" s="128">
        <f t="shared" si="22"/>
        <v>0</v>
      </c>
      <c r="AK29" s="132">
        <f t="shared" si="23"/>
        <v>0</v>
      </c>
      <c r="AL29" s="7"/>
    </row>
    <row r="30" spans="1:38" ht="26.1" customHeight="1">
      <c r="A30" s="198">
        <v>23</v>
      </c>
      <c r="B30" s="2"/>
      <c r="C30" s="78"/>
      <c r="D30" s="83" t="s">
        <v>49</v>
      </c>
      <c r="E30" s="53"/>
      <c r="F30" s="83" t="s">
        <v>46</v>
      </c>
      <c r="G30" s="83" t="s">
        <v>95</v>
      </c>
      <c r="H30" s="78"/>
      <c r="I30" s="83" t="s">
        <v>49</v>
      </c>
      <c r="J30" s="53"/>
      <c r="K30" s="83" t="s">
        <v>48</v>
      </c>
      <c r="L30" s="28"/>
      <c r="M30" s="29"/>
      <c r="N30" s="126">
        <f t="shared" si="0"/>
        <v>0</v>
      </c>
      <c r="O30" s="127">
        <f t="shared" si="1"/>
        <v>0</v>
      </c>
      <c r="P30" s="128">
        <f t="shared" si="2"/>
        <v>0</v>
      </c>
      <c r="Q30" s="129">
        <f t="shared" si="3"/>
        <v>0</v>
      </c>
      <c r="R30" s="130">
        <f t="shared" si="4"/>
        <v>0</v>
      </c>
      <c r="S30" s="131">
        <f t="shared" si="5"/>
        <v>0</v>
      </c>
      <c r="T30" s="128">
        <f t="shared" si="6"/>
        <v>0</v>
      </c>
      <c r="U30" s="129">
        <f t="shared" si="7"/>
        <v>0</v>
      </c>
      <c r="V30" s="130">
        <f t="shared" si="8"/>
        <v>0</v>
      </c>
      <c r="W30" s="131">
        <f t="shared" si="9"/>
        <v>0</v>
      </c>
      <c r="X30" s="128">
        <f t="shared" si="10"/>
        <v>0</v>
      </c>
      <c r="Y30" s="129">
        <f t="shared" si="11"/>
        <v>0</v>
      </c>
      <c r="Z30" s="130">
        <f t="shared" si="12"/>
        <v>0</v>
      </c>
      <c r="AA30" s="131">
        <f t="shared" si="13"/>
        <v>0</v>
      </c>
      <c r="AB30" s="128">
        <f t="shared" si="14"/>
        <v>0</v>
      </c>
      <c r="AC30" s="129">
        <f t="shared" si="15"/>
        <v>0</v>
      </c>
      <c r="AD30" s="130">
        <f t="shared" si="16"/>
        <v>0</v>
      </c>
      <c r="AE30" s="127">
        <f t="shared" si="17"/>
        <v>0</v>
      </c>
      <c r="AF30" s="128">
        <f t="shared" si="18"/>
        <v>0</v>
      </c>
      <c r="AG30" s="127">
        <f t="shared" si="19"/>
        <v>0</v>
      </c>
      <c r="AH30" s="130">
        <f t="shared" si="20"/>
        <v>0</v>
      </c>
      <c r="AI30" s="131">
        <f t="shared" si="21"/>
        <v>0</v>
      </c>
      <c r="AJ30" s="128">
        <f t="shared" si="22"/>
        <v>0</v>
      </c>
      <c r="AK30" s="132">
        <f t="shared" si="23"/>
        <v>0</v>
      </c>
      <c r="AL30" s="7"/>
    </row>
    <row r="31" spans="1:38" ht="26.1" customHeight="1">
      <c r="A31" s="198">
        <v>24</v>
      </c>
      <c r="B31" s="2"/>
      <c r="C31" s="78"/>
      <c r="D31" s="83" t="s">
        <v>49</v>
      </c>
      <c r="E31" s="53"/>
      <c r="F31" s="83" t="s">
        <v>46</v>
      </c>
      <c r="G31" s="83" t="s">
        <v>95</v>
      </c>
      <c r="H31" s="78"/>
      <c r="I31" s="83" t="s">
        <v>49</v>
      </c>
      <c r="J31" s="53"/>
      <c r="K31" s="83" t="s">
        <v>48</v>
      </c>
      <c r="L31" s="28"/>
      <c r="M31" s="29"/>
      <c r="N31" s="126">
        <f t="shared" si="0"/>
        <v>0</v>
      </c>
      <c r="O31" s="127">
        <f t="shared" si="1"/>
        <v>0</v>
      </c>
      <c r="P31" s="128">
        <f t="shared" si="2"/>
        <v>0</v>
      </c>
      <c r="Q31" s="129">
        <f t="shared" si="3"/>
        <v>0</v>
      </c>
      <c r="R31" s="130">
        <f t="shared" si="4"/>
        <v>0</v>
      </c>
      <c r="S31" s="131">
        <f t="shared" si="5"/>
        <v>0</v>
      </c>
      <c r="T31" s="128">
        <f t="shared" si="6"/>
        <v>0</v>
      </c>
      <c r="U31" s="129">
        <f t="shared" si="7"/>
        <v>0</v>
      </c>
      <c r="V31" s="130">
        <f t="shared" si="8"/>
        <v>0</v>
      </c>
      <c r="W31" s="131">
        <f t="shared" si="9"/>
        <v>0</v>
      </c>
      <c r="X31" s="128">
        <f t="shared" si="10"/>
        <v>0</v>
      </c>
      <c r="Y31" s="129">
        <f t="shared" si="11"/>
        <v>0</v>
      </c>
      <c r="Z31" s="130">
        <f t="shared" si="12"/>
        <v>0</v>
      </c>
      <c r="AA31" s="131">
        <f t="shared" si="13"/>
        <v>0</v>
      </c>
      <c r="AB31" s="128">
        <f t="shared" si="14"/>
        <v>0</v>
      </c>
      <c r="AC31" s="129">
        <f t="shared" si="15"/>
        <v>0</v>
      </c>
      <c r="AD31" s="130">
        <f t="shared" si="16"/>
        <v>0</v>
      </c>
      <c r="AE31" s="127">
        <f t="shared" si="17"/>
        <v>0</v>
      </c>
      <c r="AF31" s="128">
        <f t="shared" si="18"/>
        <v>0</v>
      </c>
      <c r="AG31" s="127">
        <f t="shared" si="19"/>
        <v>0</v>
      </c>
      <c r="AH31" s="130">
        <f t="shared" si="20"/>
        <v>0</v>
      </c>
      <c r="AI31" s="131">
        <f t="shared" si="21"/>
        <v>0</v>
      </c>
      <c r="AJ31" s="128">
        <f t="shared" si="22"/>
        <v>0</v>
      </c>
      <c r="AK31" s="132">
        <f t="shared" si="23"/>
        <v>0</v>
      </c>
      <c r="AL31" s="7"/>
    </row>
    <row r="32" spans="1:38" ht="26.1" customHeight="1">
      <c r="A32" s="198">
        <v>25</v>
      </c>
      <c r="B32" s="2"/>
      <c r="C32" s="78"/>
      <c r="D32" s="83" t="s">
        <v>49</v>
      </c>
      <c r="E32" s="53"/>
      <c r="F32" s="83" t="s">
        <v>46</v>
      </c>
      <c r="G32" s="83" t="s">
        <v>95</v>
      </c>
      <c r="H32" s="78"/>
      <c r="I32" s="83" t="s">
        <v>49</v>
      </c>
      <c r="J32" s="53"/>
      <c r="K32" s="83" t="s">
        <v>48</v>
      </c>
      <c r="L32" s="28"/>
      <c r="M32" s="29"/>
      <c r="N32" s="126">
        <f t="shared" si="0"/>
        <v>0</v>
      </c>
      <c r="O32" s="127">
        <f t="shared" si="1"/>
        <v>0</v>
      </c>
      <c r="P32" s="128">
        <f t="shared" si="2"/>
        <v>0</v>
      </c>
      <c r="Q32" s="129">
        <f t="shared" si="3"/>
        <v>0</v>
      </c>
      <c r="R32" s="130">
        <f t="shared" si="4"/>
        <v>0</v>
      </c>
      <c r="S32" s="131">
        <f t="shared" si="5"/>
        <v>0</v>
      </c>
      <c r="T32" s="128">
        <f t="shared" si="6"/>
        <v>0</v>
      </c>
      <c r="U32" s="129">
        <f t="shared" si="7"/>
        <v>0</v>
      </c>
      <c r="V32" s="130">
        <f t="shared" si="8"/>
        <v>0</v>
      </c>
      <c r="W32" s="131">
        <f t="shared" si="9"/>
        <v>0</v>
      </c>
      <c r="X32" s="128">
        <f t="shared" si="10"/>
        <v>0</v>
      </c>
      <c r="Y32" s="129">
        <f t="shared" si="11"/>
        <v>0</v>
      </c>
      <c r="Z32" s="130">
        <f t="shared" si="12"/>
        <v>0</v>
      </c>
      <c r="AA32" s="131">
        <f t="shared" si="13"/>
        <v>0</v>
      </c>
      <c r="AB32" s="128">
        <f t="shared" si="14"/>
        <v>0</v>
      </c>
      <c r="AC32" s="129">
        <f t="shared" si="15"/>
        <v>0</v>
      </c>
      <c r="AD32" s="130">
        <f t="shared" si="16"/>
        <v>0</v>
      </c>
      <c r="AE32" s="127">
        <f t="shared" si="17"/>
        <v>0</v>
      </c>
      <c r="AF32" s="128">
        <f t="shared" si="18"/>
        <v>0</v>
      </c>
      <c r="AG32" s="127">
        <f t="shared" si="19"/>
        <v>0</v>
      </c>
      <c r="AH32" s="130">
        <f t="shared" si="20"/>
        <v>0</v>
      </c>
      <c r="AI32" s="131">
        <f t="shared" si="21"/>
        <v>0</v>
      </c>
      <c r="AJ32" s="128">
        <f t="shared" si="22"/>
        <v>0</v>
      </c>
      <c r="AK32" s="132">
        <f t="shared" si="23"/>
        <v>0</v>
      </c>
      <c r="AL32" s="7"/>
    </row>
    <row r="33" spans="1:38" ht="26.1" customHeight="1">
      <c r="A33" s="198">
        <v>26</v>
      </c>
      <c r="B33" s="2"/>
      <c r="C33" s="78"/>
      <c r="D33" s="83" t="s">
        <v>49</v>
      </c>
      <c r="E33" s="53"/>
      <c r="F33" s="83" t="s">
        <v>46</v>
      </c>
      <c r="G33" s="83" t="s">
        <v>95</v>
      </c>
      <c r="H33" s="78"/>
      <c r="I33" s="83" t="s">
        <v>49</v>
      </c>
      <c r="J33" s="53"/>
      <c r="K33" s="83" t="s">
        <v>48</v>
      </c>
      <c r="L33" s="28"/>
      <c r="M33" s="29"/>
      <c r="N33" s="126">
        <f t="shared" si="0"/>
        <v>0</v>
      </c>
      <c r="O33" s="127">
        <f t="shared" si="1"/>
        <v>0</v>
      </c>
      <c r="P33" s="128">
        <f t="shared" si="2"/>
        <v>0</v>
      </c>
      <c r="Q33" s="129">
        <f t="shared" si="3"/>
        <v>0</v>
      </c>
      <c r="R33" s="130">
        <f t="shared" si="4"/>
        <v>0</v>
      </c>
      <c r="S33" s="131">
        <f t="shared" si="5"/>
        <v>0</v>
      </c>
      <c r="T33" s="128">
        <f t="shared" si="6"/>
        <v>0</v>
      </c>
      <c r="U33" s="129">
        <f t="shared" si="7"/>
        <v>0</v>
      </c>
      <c r="V33" s="130">
        <f t="shared" si="8"/>
        <v>0</v>
      </c>
      <c r="W33" s="131">
        <f t="shared" si="9"/>
        <v>0</v>
      </c>
      <c r="X33" s="128">
        <f t="shared" si="10"/>
        <v>0</v>
      </c>
      <c r="Y33" s="129">
        <f t="shared" si="11"/>
        <v>0</v>
      </c>
      <c r="Z33" s="130">
        <f t="shared" si="12"/>
        <v>0</v>
      </c>
      <c r="AA33" s="131">
        <f t="shared" si="13"/>
        <v>0</v>
      </c>
      <c r="AB33" s="128">
        <f t="shared" si="14"/>
        <v>0</v>
      </c>
      <c r="AC33" s="129">
        <f t="shared" si="15"/>
        <v>0</v>
      </c>
      <c r="AD33" s="130">
        <f t="shared" si="16"/>
        <v>0</v>
      </c>
      <c r="AE33" s="127">
        <f t="shared" si="17"/>
        <v>0</v>
      </c>
      <c r="AF33" s="128">
        <f t="shared" si="18"/>
        <v>0</v>
      </c>
      <c r="AG33" s="127">
        <f t="shared" si="19"/>
        <v>0</v>
      </c>
      <c r="AH33" s="130">
        <f t="shared" si="20"/>
        <v>0</v>
      </c>
      <c r="AI33" s="131">
        <f t="shared" si="21"/>
        <v>0</v>
      </c>
      <c r="AJ33" s="128">
        <f t="shared" si="22"/>
        <v>0</v>
      </c>
      <c r="AK33" s="132">
        <f t="shared" si="23"/>
        <v>0</v>
      </c>
      <c r="AL33" s="7"/>
    </row>
    <row r="34" spans="1:38" ht="26.1" customHeight="1">
      <c r="A34" s="198">
        <v>27</v>
      </c>
      <c r="B34" s="2"/>
      <c r="C34" s="78"/>
      <c r="D34" s="83" t="s">
        <v>49</v>
      </c>
      <c r="E34" s="53"/>
      <c r="F34" s="83" t="s">
        <v>46</v>
      </c>
      <c r="G34" s="83" t="s">
        <v>95</v>
      </c>
      <c r="H34" s="78"/>
      <c r="I34" s="83" t="s">
        <v>49</v>
      </c>
      <c r="J34" s="53"/>
      <c r="K34" s="83" t="s">
        <v>48</v>
      </c>
      <c r="L34" s="28"/>
      <c r="M34" s="29"/>
      <c r="N34" s="126">
        <f t="shared" si="0"/>
        <v>0</v>
      </c>
      <c r="O34" s="127">
        <f t="shared" si="1"/>
        <v>0</v>
      </c>
      <c r="P34" s="128">
        <f t="shared" si="2"/>
        <v>0</v>
      </c>
      <c r="Q34" s="129">
        <f t="shared" si="3"/>
        <v>0</v>
      </c>
      <c r="R34" s="130">
        <f t="shared" si="4"/>
        <v>0</v>
      </c>
      <c r="S34" s="131">
        <f t="shared" si="5"/>
        <v>0</v>
      </c>
      <c r="T34" s="128">
        <f t="shared" si="6"/>
        <v>0</v>
      </c>
      <c r="U34" s="129">
        <f t="shared" si="7"/>
        <v>0</v>
      </c>
      <c r="V34" s="130">
        <f t="shared" si="8"/>
        <v>0</v>
      </c>
      <c r="W34" s="131">
        <f t="shared" si="9"/>
        <v>0</v>
      </c>
      <c r="X34" s="128">
        <f t="shared" si="10"/>
        <v>0</v>
      </c>
      <c r="Y34" s="129">
        <f t="shared" si="11"/>
        <v>0</v>
      </c>
      <c r="Z34" s="130">
        <f t="shared" si="12"/>
        <v>0</v>
      </c>
      <c r="AA34" s="131">
        <f t="shared" si="13"/>
        <v>0</v>
      </c>
      <c r="AB34" s="128">
        <f t="shared" si="14"/>
        <v>0</v>
      </c>
      <c r="AC34" s="129">
        <f t="shared" si="15"/>
        <v>0</v>
      </c>
      <c r="AD34" s="130">
        <f t="shared" si="16"/>
        <v>0</v>
      </c>
      <c r="AE34" s="127">
        <f t="shared" si="17"/>
        <v>0</v>
      </c>
      <c r="AF34" s="128">
        <f t="shared" si="18"/>
        <v>0</v>
      </c>
      <c r="AG34" s="127">
        <f t="shared" si="19"/>
        <v>0</v>
      </c>
      <c r="AH34" s="130">
        <f t="shared" si="20"/>
        <v>0</v>
      </c>
      <c r="AI34" s="131">
        <f t="shared" si="21"/>
        <v>0</v>
      </c>
      <c r="AJ34" s="128">
        <f t="shared" si="22"/>
        <v>0</v>
      </c>
      <c r="AK34" s="132">
        <f t="shared" si="23"/>
        <v>0</v>
      </c>
      <c r="AL34" s="7"/>
    </row>
    <row r="35" spans="1:38" ht="26.1" customHeight="1">
      <c r="A35" s="198">
        <v>28</v>
      </c>
      <c r="B35" s="2"/>
      <c r="C35" s="78"/>
      <c r="D35" s="83" t="s">
        <v>49</v>
      </c>
      <c r="E35" s="53"/>
      <c r="F35" s="83" t="s">
        <v>46</v>
      </c>
      <c r="G35" s="83" t="s">
        <v>95</v>
      </c>
      <c r="H35" s="78"/>
      <c r="I35" s="83" t="s">
        <v>49</v>
      </c>
      <c r="J35" s="53"/>
      <c r="K35" s="83" t="s">
        <v>48</v>
      </c>
      <c r="L35" s="28"/>
      <c r="M35" s="29"/>
      <c r="N35" s="126">
        <f t="shared" si="0"/>
        <v>0</v>
      </c>
      <c r="O35" s="127">
        <f t="shared" si="1"/>
        <v>0</v>
      </c>
      <c r="P35" s="128">
        <f t="shared" si="2"/>
        <v>0</v>
      </c>
      <c r="Q35" s="129">
        <f t="shared" si="3"/>
        <v>0</v>
      </c>
      <c r="R35" s="130">
        <f t="shared" si="4"/>
        <v>0</v>
      </c>
      <c r="S35" s="131">
        <f t="shared" si="5"/>
        <v>0</v>
      </c>
      <c r="T35" s="128">
        <f t="shared" si="6"/>
        <v>0</v>
      </c>
      <c r="U35" s="129">
        <f t="shared" si="7"/>
        <v>0</v>
      </c>
      <c r="V35" s="130">
        <f t="shared" si="8"/>
        <v>0</v>
      </c>
      <c r="W35" s="131">
        <f t="shared" si="9"/>
        <v>0</v>
      </c>
      <c r="X35" s="128">
        <f t="shared" si="10"/>
        <v>0</v>
      </c>
      <c r="Y35" s="129">
        <f t="shared" si="11"/>
        <v>0</v>
      </c>
      <c r="Z35" s="130">
        <f t="shared" si="12"/>
        <v>0</v>
      </c>
      <c r="AA35" s="131">
        <f t="shared" si="13"/>
        <v>0</v>
      </c>
      <c r="AB35" s="128">
        <f t="shared" si="14"/>
        <v>0</v>
      </c>
      <c r="AC35" s="129">
        <f t="shared" si="15"/>
        <v>0</v>
      </c>
      <c r="AD35" s="130">
        <f t="shared" si="16"/>
        <v>0</v>
      </c>
      <c r="AE35" s="127">
        <f t="shared" si="17"/>
        <v>0</v>
      </c>
      <c r="AF35" s="128">
        <f t="shared" si="18"/>
        <v>0</v>
      </c>
      <c r="AG35" s="127">
        <f t="shared" si="19"/>
        <v>0</v>
      </c>
      <c r="AH35" s="130">
        <f t="shared" si="20"/>
        <v>0</v>
      </c>
      <c r="AI35" s="131">
        <f t="shared" si="21"/>
        <v>0</v>
      </c>
      <c r="AJ35" s="128">
        <f t="shared" si="22"/>
        <v>0</v>
      </c>
      <c r="AK35" s="132">
        <f t="shared" si="23"/>
        <v>0</v>
      </c>
      <c r="AL35" s="7"/>
    </row>
    <row r="36" spans="1:38" ht="26.1" customHeight="1">
      <c r="A36" s="198">
        <v>29</v>
      </c>
      <c r="B36" s="2"/>
      <c r="C36" s="78"/>
      <c r="D36" s="83" t="s">
        <v>49</v>
      </c>
      <c r="E36" s="53"/>
      <c r="F36" s="83" t="s">
        <v>46</v>
      </c>
      <c r="G36" s="83" t="s">
        <v>95</v>
      </c>
      <c r="H36" s="78"/>
      <c r="I36" s="83" t="s">
        <v>49</v>
      </c>
      <c r="J36" s="53"/>
      <c r="K36" s="83" t="s">
        <v>48</v>
      </c>
      <c r="L36" s="28"/>
      <c r="M36" s="29"/>
      <c r="N36" s="126">
        <f t="shared" si="0"/>
        <v>0</v>
      </c>
      <c r="O36" s="127">
        <f t="shared" si="1"/>
        <v>0</v>
      </c>
      <c r="P36" s="128">
        <f t="shared" si="2"/>
        <v>0</v>
      </c>
      <c r="Q36" s="129">
        <f t="shared" si="3"/>
        <v>0</v>
      </c>
      <c r="R36" s="130">
        <f t="shared" si="4"/>
        <v>0</v>
      </c>
      <c r="S36" s="131">
        <f t="shared" si="5"/>
        <v>0</v>
      </c>
      <c r="T36" s="128">
        <f t="shared" si="6"/>
        <v>0</v>
      </c>
      <c r="U36" s="129">
        <f t="shared" si="7"/>
        <v>0</v>
      </c>
      <c r="V36" s="130">
        <f t="shared" si="8"/>
        <v>0</v>
      </c>
      <c r="W36" s="131">
        <f t="shared" si="9"/>
        <v>0</v>
      </c>
      <c r="X36" s="128">
        <f t="shared" si="10"/>
        <v>0</v>
      </c>
      <c r="Y36" s="129">
        <f t="shared" si="11"/>
        <v>0</v>
      </c>
      <c r="Z36" s="130">
        <f t="shared" si="12"/>
        <v>0</v>
      </c>
      <c r="AA36" s="131">
        <f t="shared" si="13"/>
        <v>0</v>
      </c>
      <c r="AB36" s="128">
        <f t="shared" si="14"/>
        <v>0</v>
      </c>
      <c r="AC36" s="129">
        <f t="shared" si="15"/>
        <v>0</v>
      </c>
      <c r="AD36" s="130">
        <f t="shared" si="16"/>
        <v>0</v>
      </c>
      <c r="AE36" s="127">
        <f t="shared" si="17"/>
        <v>0</v>
      </c>
      <c r="AF36" s="128">
        <f t="shared" si="18"/>
        <v>0</v>
      </c>
      <c r="AG36" s="127">
        <f t="shared" si="19"/>
        <v>0</v>
      </c>
      <c r="AH36" s="130">
        <f t="shared" si="20"/>
        <v>0</v>
      </c>
      <c r="AI36" s="131">
        <f t="shared" si="21"/>
        <v>0</v>
      </c>
      <c r="AJ36" s="128">
        <f t="shared" si="22"/>
        <v>0</v>
      </c>
      <c r="AK36" s="132">
        <f t="shared" si="23"/>
        <v>0</v>
      </c>
      <c r="AL36" s="7"/>
    </row>
    <row r="37" spans="1:38" ht="26.1" customHeight="1" thickBot="1">
      <c r="A37" s="198">
        <v>30</v>
      </c>
      <c r="B37" s="2"/>
      <c r="C37" s="78"/>
      <c r="D37" s="83" t="s">
        <v>49</v>
      </c>
      <c r="E37" s="53"/>
      <c r="F37" s="83" t="s">
        <v>46</v>
      </c>
      <c r="G37" s="83" t="s">
        <v>95</v>
      </c>
      <c r="H37" s="78"/>
      <c r="I37" s="83" t="s">
        <v>49</v>
      </c>
      <c r="J37" s="53"/>
      <c r="K37" s="83" t="s">
        <v>48</v>
      </c>
      <c r="L37" s="30"/>
      <c r="M37" s="31"/>
      <c r="N37" s="133">
        <f t="shared" si="0"/>
        <v>0</v>
      </c>
      <c r="O37" s="134">
        <f t="shared" si="1"/>
        <v>0</v>
      </c>
      <c r="P37" s="135">
        <f t="shared" si="2"/>
        <v>0</v>
      </c>
      <c r="Q37" s="136">
        <f t="shared" si="3"/>
        <v>0</v>
      </c>
      <c r="R37" s="137">
        <f t="shared" si="4"/>
        <v>0</v>
      </c>
      <c r="S37" s="138">
        <f t="shared" si="5"/>
        <v>0</v>
      </c>
      <c r="T37" s="135">
        <f t="shared" si="6"/>
        <v>0</v>
      </c>
      <c r="U37" s="136">
        <f t="shared" si="7"/>
        <v>0</v>
      </c>
      <c r="V37" s="137">
        <f t="shared" si="8"/>
        <v>0</v>
      </c>
      <c r="W37" s="138">
        <f t="shared" si="9"/>
        <v>0</v>
      </c>
      <c r="X37" s="135">
        <f t="shared" si="10"/>
        <v>0</v>
      </c>
      <c r="Y37" s="136">
        <f t="shared" si="11"/>
        <v>0</v>
      </c>
      <c r="Z37" s="137">
        <f t="shared" si="12"/>
        <v>0</v>
      </c>
      <c r="AA37" s="138">
        <f t="shared" si="13"/>
        <v>0</v>
      </c>
      <c r="AB37" s="135">
        <f t="shared" si="14"/>
        <v>0</v>
      </c>
      <c r="AC37" s="136">
        <f t="shared" si="15"/>
        <v>0</v>
      </c>
      <c r="AD37" s="137">
        <f t="shared" si="16"/>
        <v>0</v>
      </c>
      <c r="AE37" s="134">
        <f t="shared" si="17"/>
        <v>0</v>
      </c>
      <c r="AF37" s="135">
        <f t="shared" si="18"/>
        <v>0</v>
      </c>
      <c r="AG37" s="134">
        <f t="shared" si="19"/>
        <v>0</v>
      </c>
      <c r="AH37" s="137">
        <f t="shared" si="20"/>
        <v>0</v>
      </c>
      <c r="AI37" s="138">
        <f t="shared" si="21"/>
        <v>0</v>
      </c>
      <c r="AJ37" s="135">
        <f t="shared" si="22"/>
        <v>0</v>
      </c>
      <c r="AK37" s="139">
        <f t="shared" si="23"/>
        <v>0</v>
      </c>
      <c r="AL37" s="7"/>
    </row>
    <row r="38" spans="1:38" ht="26.1" customHeight="1" thickBot="1">
      <c r="A38" s="967" t="s">
        <v>14</v>
      </c>
      <c r="B38" s="968"/>
      <c r="C38" s="968"/>
      <c r="D38" s="968"/>
      <c r="E38" s="968"/>
      <c r="F38" s="968"/>
      <c r="G38" s="968"/>
      <c r="H38" s="968"/>
      <c r="I38" s="968"/>
      <c r="J38" s="968"/>
      <c r="K38" s="969"/>
      <c r="L38" s="970">
        <f>(SUM(L8:L37)*60+SUM(M8:M37))/60</f>
        <v>0</v>
      </c>
      <c r="M38" s="971"/>
      <c r="N38" s="956">
        <f>(SUM(N8:N37)*60+SUM(O8:O37))/60</f>
        <v>0</v>
      </c>
      <c r="O38" s="957"/>
      <c r="P38" s="956">
        <f>(SUM(P8:P37)*60+SUM(Q8:Q37))/60</f>
        <v>0</v>
      </c>
      <c r="Q38" s="957"/>
      <c r="R38" s="956">
        <f>(SUM(R8:R37)*60+SUM(S8:S37))/60</f>
        <v>0</v>
      </c>
      <c r="S38" s="957"/>
      <c r="T38" s="956">
        <f>(SUM(T8:T37)*60+SUM(U8:U37))/60</f>
        <v>0</v>
      </c>
      <c r="U38" s="957"/>
      <c r="V38" s="956">
        <f>(SUM(V8:V37)*60+SUM(W8:W37))/60</f>
        <v>0</v>
      </c>
      <c r="W38" s="957"/>
      <c r="X38" s="956">
        <f>(SUM(X8:X37)*60+SUM(Y8:Y37))/60</f>
        <v>0</v>
      </c>
      <c r="Y38" s="957"/>
      <c r="Z38" s="956">
        <f>(SUM(Z8:Z37)*60+SUM(AA8:AA37))/60</f>
        <v>0</v>
      </c>
      <c r="AA38" s="957"/>
      <c r="AB38" s="956">
        <f>(SUM(AB8:AB37)*60+SUM(AC8:AC37))/60</f>
        <v>0</v>
      </c>
      <c r="AC38" s="957"/>
      <c r="AD38" s="956">
        <f>(SUM(AD8:AD37)*60+SUM(AE8:AE37))/60</f>
        <v>0</v>
      </c>
      <c r="AE38" s="957"/>
      <c r="AF38" s="627">
        <f>(SUM(AF8:AF37)*60+SUM(AG8:AG37))/60</f>
        <v>0</v>
      </c>
      <c r="AG38" s="627"/>
      <c r="AH38" s="966">
        <f>(SUM(AH8:AH37)*60+SUM(AI8:AI37))/60</f>
        <v>0</v>
      </c>
      <c r="AI38" s="966"/>
      <c r="AJ38" s="956">
        <f>(SUM(AJ8:AJ37)*60+SUM(AK8:AK37))/60</f>
        <v>0</v>
      </c>
      <c r="AK38" s="957"/>
      <c r="AL38" s="7"/>
    </row>
    <row r="39" spans="1:38" ht="26.1" customHeight="1" thickBot="1">
      <c r="A39" s="958" t="s">
        <v>68</v>
      </c>
      <c r="B39" s="959"/>
      <c r="C39" s="959"/>
      <c r="D39" s="959"/>
      <c r="E39" s="959"/>
      <c r="F39" s="959"/>
      <c r="G39" s="959"/>
      <c r="H39" s="959"/>
      <c r="I39" s="959"/>
      <c r="J39" s="959"/>
      <c r="K39" s="960"/>
      <c r="L39" s="961"/>
      <c r="M39" s="962"/>
      <c r="N39" s="963">
        <f>$L39</f>
        <v>0</v>
      </c>
      <c r="O39" s="964"/>
      <c r="P39" s="965">
        <f>$L39</f>
        <v>0</v>
      </c>
      <c r="Q39" s="964"/>
      <c r="R39" s="965">
        <f>$L39</f>
        <v>0</v>
      </c>
      <c r="S39" s="964"/>
      <c r="T39" s="965">
        <f>$L39</f>
        <v>0</v>
      </c>
      <c r="U39" s="964"/>
      <c r="V39" s="965">
        <f>$L39</f>
        <v>0</v>
      </c>
      <c r="W39" s="964"/>
      <c r="X39" s="965">
        <f>$L39</f>
        <v>0</v>
      </c>
      <c r="Y39" s="964"/>
      <c r="Z39" s="965">
        <f>$L39</f>
        <v>0</v>
      </c>
      <c r="AA39" s="964"/>
      <c r="AB39" s="965">
        <f>$L39</f>
        <v>0</v>
      </c>
      <c r="AC39" s="964"/>
      <c r="AD39" s="965">
        <f>$L39</f>
        <v>0</v>
      </c>
      <c r="AE39" s="964"/>
      <c r="AF39" s="972">
        <f>$L39</f>
        <v>0</v>
      </c>
      <c r="AG39" s="973"/>
      <c r="AH39" s="974">
        <f>$L39</f>
        <v>0</v>
      </c>
      <c r="AI39" s="974"/>
      <c r="AJ39" s="965">
        <f>$L39</f>
        <v>0</v>
      </c>
      <c r="AK39" s="964"/>
      <c r="AL39" s="7"/>
    </row>
    <row r="40" spans="1:38" ht="25.5" customHeight="1">
      <c r="A40" s="977" t="s">
        <v>259</v>
      </c>
      <c r="B40" s="978"/>
      <c r="C40" s="978"/>
      <c r="D40" s="978"/>
      <c r="E40" s="978"/>
      <c r="F40" s="978"/>
      <c r="G40" s="978"/>
      <c r="H40" s="978"/>
      <c r="I40" s="978"/>
      <c r="J40" s="978"/>
      <c r="K40" s="979"/>
      <c r="L40" s="975">
        <f>IFERROR(L38/L39,0)</f>
        <v>0</v>
      </c>
      <c r="M40" s="976"/>
      <c r="N40" s="975">
        <f t="shared" ref="N40" si="24">IFERROR(N38/N39,0)</f>
        <v>0</v>
      </c>
      <c r="O40" s="976"/>
      <c r="P40" s="975">
        <f t="shared" ref="P40" si="25">IFERROR(P38/P39,0)</f>
        <v>0</v>
      </c>
      <c r="Q40" s="976"/>
      <c r="R40" s="975">
        <f t="shared" ref="R40" si="26">IFERROR(R38/R39,0)</f>
        <v>0</v>
      </c>
      <c r="S40" s="976"/>
      <c r="T40" s="975">
        <f t="shared" ref="T40" si="27">IFERROR(T38/T39,0)</f>
        <v>0</v>
      </c>
      <c r="U40" s="976"/>
      <c r="V40" s="975">
        <f t="shared" ref="V40" si="28">IFERROR(V38/V39,0)</f>
        <v>0</v>
      </c>
      <c r="W40" s="976"/>
      <c r="X40" s="975">
        <f t="shared" ref="X40" si="29">IFERROR(X38/X39,0)</f>
        <v>0</v>
      </c>
      <c r="Y40" s="976"/>
      <c r="Z40" s="975">
        <f t="shared" ref="Z40" si="30">IFERROR(Z38/Z39,0)</f>
        <v>0</v>
      </c>
      <c r="AA40" s="976"/>
      <c r="AB40" s="975">
        <f t="shared" ref="AB40" si="31">IFERROR(AB38/AB39,0)</f>
        <v>0</v>
      </c>
      <c r="AC40" s="976"/>
      <c r="AD40" s="975">
        <f t="shared" ref="AD40" si="32">IFERROR(AD38/AD39,0)</f>
        <v>0</v>
      </c>
      <c r="AE40" s="976"/>
      <c r="AF40" s="975">
        <f t="shared" ref="AF40" si="33">IFERROR(AF38/AF39,0)</f>
        <v>0</v>
      </c>
      <c r="AG40" s="976"/>
      <c r="AH40" s="975">
        <f t="shared" ref="AH40" si="34">IFERROR(AH38/AH39,0)</f>
        <v>0</v>
      </c>
      <c r="AI40" s="976"/>
      <c r="AJ40" s="975">
        <f t="shared" ref="AJ40" si="35">IFERROR(AJ38/AJ39,0)</f>
        <v>0</v>
      </c>
      <c r="AK40" s="976"/>
      <c r="AL40" s="7"/>
    </row>
    <row r="41" spans="1:38" ht="30.75" hidden="1" customHeight="1">
      <c r="O41" s="113">
        <f>ROUNDDOWN(SUM(N40,'様式２（専従の常勤）'!G72,'様式２（専従の常勤）'!G73),1)</f>
        <v>0</v>
      </c>
      <c r="Q41" s="113">
        <f>ROUNDDOWN(SUM(P40,'様式２（専従の常勤）'!H72,'様式２（専従の常勤）'!H73),1)</f>
        <v>0</v>
      </c>
      <c r="S41" s="113">
        <f>ROUNDDOWN(SUM(R40,'様式２（専従の常勤）'!I72,'様式２（専従の常勤）'!I73),1)</f>
        <v>0</v>
      </c>
      <c r="U41" s="113">
        <f>ROUNDDOWN(SUM(T40,'様式２（専従の常勤）'!J72,'様式２（専従の常勤）'!J73),1)</f>
        <v>0</v>
      </c>
      <c r="W41" s="113">
        <f>ROUNDDOWN(SUM(V40,'様式２（専従の常勤）'!K72,'様式２（専従の常勤）'!K73),1)</f>
        <v>0</v>
      </c>
      <c r="Y41" s="113">
        <f>ROUNDDOWN(SUM(X40,'様式２（専従の常勤）'!L72,'様式２（専従の常勤）'!L73),1)</f>
        <v>0</v>
      </c>
      <c r="AA41" s="113">
        <f>ROUNDDOWN(SUM(Z40,'様式２（専従の常勤）'!M72,'様式２（専従の常勤）'!M73),1)</f>
        <v>0</v>
      </c>
      <c r="AC41" s="113">
        <f>ROUNDDOWN(SUM(AB40,'様式２（専従の常勤）'!N72,'様式２（専従の常勤）'!N73),1)</f>
        <v>0</v>
      </c>
      <c r="AE41" s="113">
        <f>ROUNDDOWN(SUM(AD40,'様式２（専従の常勤）'!O72,'様式２（専従の常勤）'!O73),1)</f>
        <v>0</v>
      </c>
      <c r="AG41" s="113">
        <f>ROUNDDOWN(SUM(AF40,'様式２（専従の常勤）'!P72,'様式２（専従の常勤）'!P73),1)</f>
        <v>0</v>
      </c>
      <c r="AI41" s="113">
        <f>ROUNDDOWN(SUM(AH40,'様式２（専従の常勤）'!Q72,'様式２（専従の常勤）'!Q73),1)</f>
        <v>0</v>
      </c>
      <c r="AK41" s="113">
        <f>ROUNDDOWN(SUM(AJ40,'様式２（専従の常勤）'!R72,'様式２（専従の常勤）'!R73),1)</f>
        <v>0</v>
      </c>
      <c r="AL41" s="7"/>
    </row>
    <row r="42" spans="1:38" ht="16.5" customHeight="1">
      <c r="AL42" s="7"/>
    </row>
    <row r="43" spans="1:38">
      <c r="AL43" s="7"/>
    </row>
    <row r="44" spans="1:38">
      <c r="AL44" s="7"/>
    </row>
    <row r="45" spans="1:38">
      <c r="AL45" s="7"/>
    </row>
    <row r="46" spans="1:38" ht="26.1" customHeight="1" thickBot="1">
      <c r="A46" s="84" t="s">
        <v>90</v>
      </c>
      <c r="B46" s="85"/>
      <c r="C46" s="85"/>
      <c r="D46" s="85"/>
      <c r="E46" s="85"/>
      <c r="F46" s="85"/>
      <c r="G46" s="85"/>
      <c r="H46" s="85"/>
      <c r="I46" s="85"/>
      <c r="J46" s="85"/>
      <c r="K46" s="85"/>
      <c r="L46" s="86"/>
      <c r="M46" s="86"/>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7"/>
    </row>
    <row r="47" spans="1:38">
      <c r="A47" s="915" t="s">
        <v>13</v>
      </c>
      <c r="B47" s="944" t="s">
        <v>99</v>
      </c>
      <c r="C47" s="764" t="s">
        <v>45</v>
      </c>
      <c r="D47" s="764"/>
      <c r="E47" s="764"/>
      <c r="F47" s="764"/>
      <c r="G47" s="764"/>
      <c r="H47" s="764"/>
      <c r="I47" s="764"/>
      <c r="J47" s="764"/>
      <c r="K47" s="947"/>
      <c r="L47" s="951" t="s">
        <v>69</v>
      </c>
      <c r="M47" s="952"/>
      <c r="N47" s="921" t="s">
        <v>70</v>
      </c>
      <c r="O47" s="922"/>
      <c r="P47" s="922"/>
      <c r="Q47" s="922"/>
      <c r="R47" s="922"/>
      <c r="S47" s="922"/>
      <c r="T47" s="922"/>
      <c r="U47" s="922"/>
      <c r="V47" s="922"/>
      <c r="W47" s="922"/>
      <c r="X47" s="922"/>
      <c r="Y47" s="922"/>
      <c r="Z47" s="922"/>
      <c r="AA47" s="922"/>
      <c r="AB47" s="922"/>
      <c r="AC47" s="922"/>
      <c r="AD47" s="922"/>
      <c r="AE47" s="922"/>
      <c r="AF47" s="922"/>
      <c r="AG47" s="922"/>
      <c r="AH47" s="922"/>
      <c r="AI47" s="922"/>
      <c r="AJ47" s="922"/>
      <c r="AK47" s="923"/>
      <c r="AL47" s="7"/>
    </row>
    <row r="48" spans="1:38">
      <c r="A48" s="916"/>
      <c r="B48" s="945"/>
      <c r="C48" s="856"/>
      <c r="D48" s="856"/>
      <c r="E48" s="856"/>
      <c r="F48" s="856"/>
      <c r="G48" s="856"/>
      <c r="H48" s="856"/>
      <c r="I48" s="856"/>
      <c r="J48" s="856"/>
      <c r="K48" s="948"/>
      <c r="L48" s="953"/>
      <c r="M48" s="954"/>
      <c r="N48" s="940">
        <v>4</v>
      </c>
      <c r="O48" s="939"/>
      <c r="P48" s="939">
        <v>5</v>
      </c>
      <c r="Q48" s="939"/>
      <c r="R48" s="939">
        <v>6</v>
      </c>
      <c r="S48" s="939"/>
      <c r="T48" s="939">
        <v>7</v>
      </c>
      <c r="U48" s="939"/>
      <c r="V48" s="939">
        <v>8</v>
      </c>
      <c r="W48" s="939"/>
      <c r="X48" s="939">
        <v>9</v>
      </c>
      <c r="Y48" s="939"/>
      <c r="Z48" s="939">
        <v>10</v>
      </c>
      <c r="AA48" s="939"/>
      <c r="AB48" s="939">
        <v>11</v>
      </c>
      <c r="AC48" s="939"/>
      <c r="AD48" s="939">
        <v>12</v>
      </c>
      <c r="AE48" s="939"/>
      <c r="AF48" s="941">
        <v>1</v>
      </c>
      <c r="AG48" s="942"/>
      <c r="AH48" s="939">
        <v>2</v>
      </c>
      <c r="AI48" s="939"/>
      <c r="AJ48" s="939">
        <v>3</v>
      </c>
      <c r="AK48" s="955"/>
      <c r="AL48" s="7"/>
    </row>
    <row r="49" spans="1:38" ht="13.5" customHeight="1">
      <c r="A49" s="943"/>
      <c r="B49" s="946"/>
      <c r="C49" s="949"/>
      <c r="D49" s="949"/>
      <c r="E49" s="949"/>
      <c r="F49" s="949"/>
      <c r="G49" s="949"/>
      <c r="H49" s="949"/>
      <c r="I49" s="949"/>
      <c r="J49" s="949"/>
      <c r="K49" s="950"/>
      <c r="L49" s="26" t="s">
        <v>21</v>
      </c>
      <c r="M49" s="27" t="s">
        <v>22</v>
      </c>
      <c r="N49" s="80" t="s">
        <v>21</v>
      </c>
      <c r="O49" s="35" t="s">
        <v>22</v>
      </c>
      <c r="P49" s="36" t="s">
        <v>21</v>
      </c>
      <c r="Q49" s="81" t="s">
        <v>22</v>
      </c>
      <c r="R49" s="82" t="s">
        <v>21</v>
      </c>
      <c r="S49" s="35" t="s">
        <v>22</v>
      </c>
      <c r="T49" s="36" t="s">
        <v>21</v>
      </c>
      <c r="U49" s="81" t="s">
        <v>22</v>
      </c>
      <c r="V49" s="82" t="s">
        <v>21</v>
      </c>
      <c r="W49" s="35" t="s">
        <v>22</v>
      </c>
      <c r="X49" s="36" t="s">
        <v>21</v>
      </c>
      <c r="Y49" s="81" t="s">
        <v>22</v>
      </c>
      <c r="Z49" s="82" t="s">
        <v>21</v>
      </c>
      <c r="AA49" s="35" t="s">
        <v>22</v>
      </c>
      <c r="AB49" s="36" t="s">
        <v>21</v>
      </c>
      <c r="AC49" s="81" t="s">
        <v>22</v>
      </c>
      <c r="AD49" s="36" t="s">
        <v>21</v>
      </c>
      <c r="AE49" s="35" t="s">
        <v>22</v>
      </c>
      <c r="AF49" s="36" t="s">
        <v>21</v>
      </c>
      <c r="AG49" s="35" t="s">
        <v>22</v>
      </c>
      <c r="AH49" s="34" t="s">
        <v>21</v>
      </c>
      <c r="AI49" s="35" t="s">
        <v>22</v>
      </c>
      <c r="AJ49" s="36" t="s">
        <v>21</v>
      </c>
      <c r="AK49" s="47" t="s">
        <v>22</v>
      </c>
      <c r="AL49" s="7"/>
    </row>
    <row r="50" spans="1:38" ht="26.1" customHeight="1">
      <c r="A50" s="21">
        <v>1</v>
      </c>
      <c r="B50" s="2"/>
      <c r="C50" s="78"/>
      <c r="D50" s="83" t="s">
        <v>49</v>
      </c>
      <c r="E50" s="53"/>
      <c r="F50" s="83" t="s">
        <v>46</v>
      </c>
      <c r="G50" s="83" t="s">
        <v>95</v>
      </c>
      <c r="H50" s="78"/>
      <c r="I50" s="83" t="s">
        <v>49</v>
      </c>
      <c r="J50" s="53"/>
      <c r="K50" s="83" t="s">
        <v>48</v>
      </c>
      <c r="L50" s="28"/>
      <c r="M50" s="29"/>
      <c r="N50" s="32">
        <f>IF(AND($C50=$C$61,$E50=4),$L50,0)</f>
        <v>0</v>
      </c>
      <c r="O50" s="46">
        <f>IF(AND($C50=$C$61,$E50=4),$M50,0)</f>
        <v>0</v>
      </c>
      <c r="P50" s="121">
        <f>IF(AND($C50=$C$61,$E50&lt;=5,$H50=$C$61,$J50&gt;=5),$L50,IF(AND($C50=$C$61,$E50&lt;=5,$H50=$C$62,$J50&lt;=3),$L50,0))</f>
        <v>0</v>
      </c>
      <c r="Q50" s="33">
        <f>IF(AND($C50=$C$61,$E50&lt;=5,$H50=$C$61,$J50&gt;=5),$M50,IF(AND($C50=$C$61,$E50&lt;=5,$H50=$C$62,$J50&lt;=3),$M50,0))</f>
        <v>0</v>
      </c>
      <c r="R50" s="32">
        <f>IF(AND($C50=$C$61,$E50&lt;=6,$H50=$C$61,$J50&gt;=6),$L50,IF(AND($C50=$C$61,$E50&lt;=6,$H50=$C$62,$J50&lt;=3),$L50,0))</f>
        <v>0</v>
      </c>
      <c r="S50" s="46">
        <f>IF(AND($C50=$C$61,$E50&lt;=6,$H50=$C$61,$J50&gt;=6),$M50,IF(AND($C50=$C$61,$E50&lt;=6,$H50=$C$62,$J50&lt;=3),$M50,0))</f>
        <v>0</v>
      </c>
      <c r="T50" s="121">
        <f>IF(AND($C50=$C$61,$E50&lt;=7,$H50=$C$61,$J50&gt;=7),$L50,IF(AND($C50=$C$61,$E50&lt;=7,$H50=$C$62,$J50&lt;=3),$L50,0))</f>
        <v>0</v>
      </c>
      <c r="U50" s="33">
        <f>IF(AND($C50=$C$61,$E50&lt;=7,$H50=$C$61,$J50&gt;=7),$M50,IF(AND($C50=$C$61,$E50&lt;=7,$H50=$C$62,$J50&lt;=3),$M50,0))</f>
        <v>0</v>
      </c>
      <c r="V50" s="32">
        <f>IF(AND($C50=$C$61,$E50&lt;=8,$H50=$C$61,$J50&gt;=8),$L50,IF(AND($C50=$C$61,$E50&lt;=8,$H50=$C$62,$J50&lt;=3),$L50,0))</f>
        <v>0</v>
      </c>
      <c r="W50" s="46">
        <f>IF(AND($C50=$C$61,$E50&lt;=8,$H50=$C$61,$J50&gt;=8),$M50,IF(AND($C50=$C$61,$E50&lt;=8,$H50=$C$62,$J50&lt;=3),$M50,0))</f>
        <v>0</v>
      </c>
      <c r="X50" s="121">
        <f>IF(AND($C50=$C$61,$E50&lt;=9,$H50=$C$61,$J50&gt;=9),$L50,IF(AND($C50=$C$61,$E50&lt;=9,$H50=$C$62,$J50&lt;=3),$L50,0))</f>
        <v>0</v>
      </c>
      <c r="Y50" s="33">
        <f>IF(AND($C50=$C$61,$E50&lt;=9,$H50=$C$61,$J50&gt;=9),$M50,IF(AND($C50=$C$61,$E50&lt;=9,$H50=$C$62,$J50&lt;=3),$M50,0))</f>
        <v>0</v>
      </c>
      <c r="Z50" s="32">
        <f>IF(AND($C50=$C$61,$E50&lt;=10,$H50=$C$61,$J50&gt;=10),$L50,IF(AND($C50=$C$61,$E50&lt;=10,$H50=$C$62,$J50&lt;=3),$L50,0))</f>
        <v>0</v>
      </c>
      <c r="AA50" s="46">
        <f>IF(AND($C50=$C$61,$E50&lt;=10,$H50=$C$61,$J50&gt;=10),$M50,IF(AND($C50=$C$61,$E50&lt;=10,$H50=$C$62,$J50&lt;=3),$M50,0))</f>
        <v>0</v>
      </c>
      <c r="AB50" s="121">
        <f>IF(AND($C50=$C$61,$E50&lt;=11,$H50=$C$61,$J50&gt;=11),$L50,IF(AND($C50=$C$61,$E50&lt;=11,$H50=$C$62,$J50&lt;=3),$L50,0))</f>
        <v>0</v>
      </c>
      <c r="AC50" s="33">
        <f>IF(AND($C50=$C$61,$E50&lt;=11,$H50=$C$61,$J50&gt;=11),$M50,IF(AND($C50=$C$61,$E50&lt;=11,$H50=$C$62,$J50&lt;=3),$M50,0))</f>
        <v>0</v>
      </c>
      <c r="AD50" s="32">
        <f>IF(AND($C50=$C$61,$E50&lt;=12,$H50=$C$61,$J50=12),$L50,IF(AND($C50=$C$61,$E50&lt;=12,$H50=$C$62,$J50&lt;=3),$L50,0))</f>
        <v>0</v>
      </c>
      <c r="AE50" s="46">
        <f>IF(AND($C50=$C$61,$E50&lt;=12,$H50=$C$61,$J50&gt;=12),$M50,IF(AND($C50=$C$61,$E50&lt;=12,$H50=$C$62,$J50&lt;=3),$M50,0))</f>
        <v>0</v>
      </c>
      <c r="AF50" s="121">
        <f>IF(AND($C50=$C$61,$E50&lt;=12,$H50=$C$62,$J50&lt;=3),$L50,IF(AND($C50=$C$62,$E50&lt;=1,$H50=$C$62,$J50&lt;=3),$L50,0))</f>
        <v>0</v>
      </c>
      <c r="AG50" s="46">
        <f>IF(AND($C50=$C$61,$E50&lt;=12,$H50=$C$62,$J50&gt;=1),$M50,IF(AND($C50=$C$62,$E50&lt;=1,$H50=$C$62,$J50&lt;=3),$M50,0))</f>
        <v>0</v>
      </c>
      <c r="AH50" s="32">
        <f>IF(AND($C50=$C$61,$E50&lt;=12,$H50=$C$62,$J50&gt;=2),$L50,IF(AND($C50=$C$62,$E50&lt;=2,$H50=$C$62,$J50&gt;1),$L50,0))</f>
        <v>0</v>
      </c>
      <c r="AI50" s="46">
        <f>IF(AND($C50=$C$61,$E50&lt;=12,$H50=$C$62,$J50&gt;=2),$M50,IF(AND($C50=$C$62,$E50&lt;=2,$H50=$C$62,$J50&gt;1),$M50,0))</f>
        <v>0</v>
      </c>
      <c r="AJ50" s="121">
        <f>IF(AND($C50=$C$61,$E50&lt;=12,$H50=$C$62,$J50=3),$L50,IF(AND($C50=$C$62,$E50&lt;=3,$H50=$C$62,$J50=3),$L50,0))</f>
        <v>0</v>
      </c>
      <c r="AK50" s="49">
        <f>IF(AND($C50=$C$61,$E50&lt;=12,$H50=$C$62,$J50=3),$M50,IF(AND($C50=$C$62,$E50&lt;=3,$H50=$C$62,$J50=3),$M50,0))</f>
        <v>0</v>
      </c>
      <c r="AL50" s="7"/>
    </row>
    <row r="51" spans="1:38" ht="26.1" customHeight="1">
      <c r="A51" s="21">
        <v>2</v>
      </c>
      <c r="B51" s="2"/>
      <c r="C51" s="78"/>
      <c r="D51" s="83" t="s">
        <v>49</v>
      </c>
      <c r="E51" s="53"/>
      <c r="F51" s="83" t="s">
        <v>46</v>
      </c>
      <c r="G51" s="83" t="s">
        <v>95</v>
      </c>
      <c r="H51" s="78"/>
      <c r="I51" s="83" t="s">
        <v>49</v>
      </c>
      <c r="J51" s="53"/>
      <c r="K51" s="83" t="s">
        <v>48</v>
      </c>
      <c r="L51" s="28"/>
      <c r="M51" s="29"/>
      <c r="N51" s="32">
        <f>IF(AND($C51=$C$61,$E51=4),$L51,0)</f>
        <v>0</v>
      </c>
      <c r="O51" s="46">
        <f>IF(AND($C51=$C$61,$E51=4),$M51,0)</f>
        <v>0</v>
      </c>
      <c r="P51" s="121">
        <f>IF(AND($C51=$C$61,$E51&lt;=5,$H51=$C$61,$J51&gt;=5),$L51,IF(AND($C51=$C$61,$E51&lt;=5,$H51=$C$62,$J51&lt;=3),$L51,0))</f>
        <v>0</v>
      </c>
      <c r="Q51" s="33">
        <f>IF(AND($C51=$C$61,$E51&lt;=5,$H51=$C$61,$J51&gt;=5),$M51,IF(AND($C51=$C$61,$E51&lt;=5,$H51=$C$62,$J51&lt;=3),$M51,0))</f>
        <v>0</v>
      </c>
      <c r="R51" s="32">
        <f>IF(AND($C51=$C$61,$E51&lt;=6,$H51=$C$61,$J51&gt;=6),$L51,IF(AND($C51=$C$61,$E51&lt;=6,$H51=$C$62,$J51&lt;=3),$L51,0))</f>
        <v>0</v>
      </c>
      <c r="S51" s="46">
        <f>IF(AND($C51=$C$61,$E51&lt;=6,$H51=$C$61,$J51&gt;=6),$M51,IF(AND($C51=$C$61,$E51&lt;=6,$H51=$C$62,$J51&lt;=3),$M51,0))</f>
        <v>0</v>
      </c>
      <c r="T51" s="121">
        <f>IF(AND($C51=$C$61,$E51&lt;=7,$H51=$C$61,$J51&gt;=7),$L51,IF(AND($C51=$C$61,$E51&lt;=7,$H51=$C$62,$J51&lt;=3),$L51,0))</f>
        <v>0</v>
      </c>
      <c r="U51" s="33">
        <f>IF(AND($C51=$C$61,$E51&lt;=7,$H51=$C$61,$J51&gt;=7),$M51,IF(AND($C51=$C$61,$E51&lt;=7,$H51=$C$62,$J51&lt;=3),$M51,0))</f>
        <v>0</v>
      </c>
      <c r="V51" s="32">
        <f>IF(AND($C51=$C$61,$E51&lt;=8,$H51=$C$61,$J51&gt;=8),$L51,IF(AND($C51=$C$61,$E51&lt;=8,$H51=$C$62,$J51&lt;=3),$L51,0))</f>
        <v>0</v>
      </c>
      <c r="W51" s="46">
        <f>IF(AND($C51=$C$61,$E51&lt;=8,$H51=$C$61,$J51&gt;=8),$M51,IF(AND($C51=$C$61,$E51&lt;=8,$H51=$C$62,$J51&lt;=3),$M51,0))</f>
        <v>0</v>
      </c>
      <c r="X51" s="121">
        <f>IF(AND($C51=$C$61,$E51&lt;=9,$H51=$C$61,$J51&gt;=9),$L51,IF(AND($C51=$C$61,$E51&lt;=9,$H51=$C$62,$J51&lt;=3),$L51,0))</f>
        <v>0</v>
      </c>
      <c r="Y51" s="33">
        <f>IF(AND($C51=$C$61,$E51&lt;=9,$H51=$C$61,$J51&gt;=9),$M51,IF(AND($C51=$C$61,$E51&lt;=9,$H51=$C$62,$J51&lt;=3),$M51,0))</f>
        <v>0</v>
      </c>
      <c r="Z51" s="32">
        <f>IF(AND($C51=$C$61,$E51&lt;=10,$H51=$C$61,$J51&gt;=10),$L51,IF(AND($C51=$C$61,$E51&lt;=10,$H51=$C$62,$J51&lt;=3),$L51,0))</f>
        <v>0</v>
      </c>
      <c r="AA51" s="46">
        <f>IF(AND($C51=$C$61,$E51&lt;=10,$H51=$C$61,$J51&gt;=10),$M51,IF(AND($C51=$C$61,$E51&lt;=10,$H51=$C$62,$J51&lt;=3),$M51,0))</f>
        <v>0</v>
      </c>
      <c r="AB51" s="121">
        <f>IF(AND($C51=$C$61,$E51&lt;=11,$H51=$C$61,$J51&gt;=11),$L51,IF(AND($C51=$C$61,$E51&lt;=11,$H51=$C$62,$J51&lt;=3),$L51,0))</f>
        <v>0</v>
      </c>
      <c r="AC51" s="33">
        <f>IF(AND($C51=$C$61,$E51&lt;=11,$H51=$C$61,$J51&gt;=11),$M51,IF(AND($C51=$C$61,$E51&lt;=11,$H51=$C$62,$J51&lt;=3),$M51,0))</f>
        <v>0</v>
      </c>
      <c r="AD51" s="32">
        <f>IF(AND($C51=$C$61,$E51&lt;=12,$H51=$C$61,$J51=12),$L51,IF(AND($C51=$C$61,$E51&lt;=12,$H51=$C$62,$J51&lt;=3),$L51,0))</f>
        <v>0</v>
      </c>
      <c r="AE51" s="46">
        <f>IF(AND($C51=$C$61,$E51&lt;=12,$H51=$C$61,$J51&gt;=12),$M51,IF(AND($C51=$C$61,$E51&lt;=12,$H51=$C$62,$J51&lt;=3),$M51,0))</f>
        <v>0</v>
      </c>
      <c r="AF51" s="121">
        <f>IF(AND($C51=$C$61,$E51&lt;=12,$H51=$C$62,$J51&lt;=3),$L51,IF(AND($C51=$C$62,$E51&lt;=1,$H51=$C$62,$J51&lt;=3),$L51,0))</f>
        <v>0</v>
      </c>
      <c r="AG51" s="46">
        <f>IF(AND($C51=$C$61,$E51&lt;=12,$H51=$C$62,$J51&gt;=1),$M51,IF(AND($C51=$C$62,$E51&lt;=1,$H51=$C$62,$J51&lt;=3),$M51,0))</f>
        <v>0</v>
      </c>
      <c r="AH51" s="32">
        <f>IF(AND($C51=$C$61,$E51&lt;=12,$H51=$C$62,$J51&gt;=2),$L51,IF(AND($C51=$C$62,$E51&lt;=2,$H51=$C$62,$J51&gt;1),$L51,0))</f>
        <v>0</v>
      </c>
      <c r="AI51" s="46">
        <f>IF(AND($C51=$C$61,$E51&lt;=12,$H51=$C$62,$J51&gt;=2),$M51,IF(AND($C51=$C$62,$E51&lt;=2,$H51=$C$62,$J51&gt;1),$M51,0))</f>
        <v>0</v>
      </c>
      <c r="AJ51" s="121">
        <f>IF(AND($C51=$C$61,$E51&lt;=12,$H51=$C$62,$J51=3),$L51,IF(AND($C51=$C$62,$E51&lt;=3,$H51=$C$62,$J51=3),$L51,0))</f>
        <v>0</v>
      </c>
      <c r="AK51" s="49">
        <f>IF(AND($C51=$C$61,$E51&lt;=12,$H51=$C$62,$J51=3),$M51,IF(AND($C51=$C$62,$E51&lt;=3,$H51=$C$62,$J51=3),$M51,0))</f>
        <v>0</v>
      </c>
      <c r="AL51" s="7"/>
    </row>
    <row r="52" spans="1:38" ht="26.1" customHeight="1">
      <c r="A52" s="21">
        <v>3</v>
      </c>
      <c r="B52" s="2"/>
      <c r="C52" s="78"/>
      <c r="D52" s="83" t="s">
        <v>49</v>
      </c>
      <c r="E52" s="53"/>
      <c r="F52" s="83" t="s">
        <v>46</v>
      </c>
      <c r="G52" s="83" t="s">
        <v>95</v>
      </c>
      <c r="H52" s="78"/>
      <c r="I52" s="83" t="s">
        <v>49</v>
      </c>
      <c r="J52" s="53"/>
      <c r="K52" s="83" t="s">
        <v>48</v>
      </c>
      <c r="L52" s="28"/>
      <c r="M52" s="29"/>
      <c r="N52" s="32">
        <f>IF(AND($C52=$C$61,$E52=4),$L52,0)</f>
        <v>0</v>
      </c>
      <c r="O52" s="46">
        <f>IF(AND($C52=$C$61,$E52=4),$M52,0)</f>
        <v>0</v>
      </c>
      <c r="P52" s="121">
        <f>IF(AND($C52=$C$61,$E52&lt;=5,$H52=$C$61,$J52&gt;=5),$L52,IF(AND($C52=$C$61,$E52&lt;=5,$H52=$C$62,$J52&lt;=3),$L52,0))</f>
        <v>0</v>
      </c>
      <c r="Q52" s="33">
        <f>IF(AND($C52=$C$61,$E52&lt;=5,$H52=$C$61,$J52&gt;=5),$M52,IF(AND($C52=$C$61,$E52&lt;=5,$H52=$C$62,$J52&lt;=3),$M52,0))</f>
        <v>0</v>
      </c>
      <c r="R52" s="32">
        <f>IF(AND($C52=$C$61,$E52&lt;=6,$H52=$C$61,$J52&gt;=6),$L52,IF(AND($C52=$C$61,$E52&lt;=6,$H52=$C$62,$J52&lt;=3),$L52,0))</f>
        <v>0</v>
      </c>
      <c r="S52" s="46">
        <f>IF(AND($C52=$C$61,$E52&lt;=6,$H52=$C$61,$J52&gt;=6),$M52,IF(AND($C52=$C$61,$E52&lt;=6,$H52=$C$62,$J52&lt;=3),$M52,0))</f>
        <v>0</v>
      </c>
      <c r="T52" s="121">
        <f>IF(AND($C52=$C$61,$E52&lt;=7,$H52=$C$61,$J52&gt;=7),$L52,IF(AND($C52=$C$61,$E52&lt;=7,$H52=$C$62,$J52&lt;=3),$L52,0))</f>
        <v>0</v>
      </c>
      <c r="U52" s="33">
        <f>IF(AND($C52=$C$61,$E52&lt;=7,$H52=$C$61,$J52&gt;=7),$M52,IF(AND($C52=$C$61,$E52&lt;=7,$H52=$C$62,$J52&lt;=3),$M52,0))</f>
        <v>0</v>
      </c>
      <c r="V52" s="32">
        <f>IF(AND($C52=$C$61,$E52&lt;=8,$H52=$C$61,$J52&gt;=8),$L52,IF(AND($C52=$C$61,$E52&lt;=8,$H52=$C$62,$J52&lt;=3),$L52,0))</f>
        <v>0</v>
      </c>
      <c r="W52" s="46">
        <f>IF(AND($C52=$C$61,$E52&lt;=8,$H52=$C$61,$J52&gt;=8),$M52,IF(AND($C52=$C$61,$E52&lt;=8,$H52=$C$62,$J52&lt;=3),$M52,0))</f>
        <v>0</v>
      </c>
      <c r="X52" s="121">
        <f>IF(AND($C52=$C$61,$E52&lt;=9,$H52=$C$61,$J52&gt;=9),$L52,IF(AND($C52=$C$61,$E52&lt;=9,$H52=$C$62,$J52&lt;=3),$L52,0))</f>
        <v>0</v>
      </c>
      <c r="Y52" s="33">
        <f>IF(AND($C52=$C$61,$E52&lt;=9,$H52=$C$61,$J52&gt;=9),$M52,IF(AND($C52=$C$61,$E52&lt;=9,$H52=$C$62,$J52&lt;=3),$M52,0))</f>
        <v>0</v>
      </c>
      <c r="Z52" s="32">
        <f>IF(AND($C52=$C$61,$E52&lt;=10,$H52=$C$61,$J52&gt;=10),$L52,IF(AND($C52=$C$61,$E52&lt;=10,$H52=$C$62,$J52&lt;=3),$L52,0))</f>
        <v>0</v>
      </c>
      <c r="AA52" s="46">
        <f>IF(AND($C52=$C$61,$E52&lt;=10,$H52=$C$61,$J52&gt;=10),$M52,IF(AND($C52=$C$61,$E52&lt;=10,$H52=$C$62,$J52&lt;=3),$M52,0))</f>
        <v>0</v>
      </c>
      <c r="AB52" s="121">
        <f>IF(AND($C52=$C$61,$E52&lt;=11,$H52=$C$61,$J52&gt;=11),$L52,IF(AND($C52=$C$61,$E52&lt;=11,$H52=$C$62,$J52&lt;=3),$L52,0))</f>
        <v>0</v>
      </c>
      <c r="AC52" s="33">
        <f>IF(AND($C52=$C$61,$E52&lt;=11,$H52=$C$61,$J52&gt;=11),$M52,IF(AND($C52=$C$61,$E52&lt;=11,$H52=$C$62,$J52&lt;=3),$M52,0))</f>
        <v>0</v>
      </c>
      <c r="AD52" s="32">
        <f>IF(AND($C52=$C$61,$E52&lt;=12,$H52=$C$61,$J52=12),$L52,IF(AND($C52=$C$61,$E52&lt;=12,$H52=$C$62,$J52&lt;=3),$L52,0))</f>
        <v>0</v>
      </c>
      <c r="AE52" s="46">
        <f>IF(AND($C52=$C$61,$E52&lt;=12,$H52=$C$61,$J52&gt;=12),$M52,IF(AND($C52=$C$61,$E52&lt;=12,$H52=$C$62,$J52&lt;=3),$M52,0))</f>
        <v>0</v>
      </c>
      <c r="AF52" s="121">
        <f>IF(AND($C52=$C$61,$E52&lt;=12,$H52=$C$62,$J52&lt;=3),$L52,IF(AND($C52=$C$62,$E52&lt;=1,$H52=$C$62,$J52&lt;=3),$L52,0))</f>
        <v>0</v>
      </c>
      <c r="AG52" s="46">
        <f>IF(AND($C52=$C$61,$E52&lt;=12,$H52=$C$62,$J52&gt;=1),$M52,IF(AND($C52=$C$62,$E52&lt;=1,$H52=$C$62,$J52&lt;=3),$M52,0))</f>
        <v>0</v>
      </c>
      <c r="AH52" s="32">
        <f>IF(AND($C52=$C$61,$E52&lt;=12,$H52=$C$62,$J52&gt;=2),$L52,IF(AND($C52=$C$62,$E52&lt;=2,$H52=$C$62,$J52&gt;1),$L52,0))</f>
        <v>0</v>
      </c>
      <c r="AI52" s="46">
        <f>IF(AND($C52=$C$61,$E52&lt;=12,$H52=$C$62,$J52&gt;=2),$M52,IF(AND($C52=$C$62,$E52&lt;=2,$H52=$C$62,$J52&gt;1),$M52,0))</f>
        <v>0</v>
      </c>
      <c r="AJ52" s="121">
        <f>IF(AND($C52=$C$61,$E52&lt;=12,$H52=$C$62,$J52=3),$L52,IF(AND($C52=$C$62,$E52&lt;=3,$H52=$C$62,$J52=3),$L52,0))</f>
        <v>0</v>
      </c>
      <c r="AK52" s="49">
        <f>IF(AND($C52=$C$61,$E52&lt;=12,$H52=$C$62,$J52=3),$M52,IF(AND($C52=$C$62,$E52&lt;=3,$H52=$C$62,$J52=3),$M52,0))</f>
        <v>0</v>
      </c>
      <c r="AL52" s="7"/>
    </row>
    <row r="53" spans="1:38" ht="26.1" customHeight="1">
      <c r="A53" s="21">
        <v>4</v>
      </c>
      <c r="B53" s="2"/>
      <c r="C53" s="78"/>
      <c r="D53" s="83" t="s">
        <v>49</v>
      </c>
      <c r="E53" s="53"/>
      <c r="F53" s="83" t="s">
        <v>46</v>
      </c>
      <c r="G53" s="83" t="s">
        <v>95</v>
      </c>
      <c r="H53" s="78"/>
      <c r="I53" s="83" t="s">
        <v>49</v>
      </c>
      <c r="J53" s="53"/>
      <c r="K53" s="83" t="s">
        <v>48</v>
      </c>
      <c r="L53" s="28"/>
      <c r="M53" s="29"/>
      <c r="N53" s="32">
        <f>IF(AND($C53=$C$61,$E53=4),$L53,0)</f>
        <v>0</v>
      </c>
      <c r="O53" s="46">
        <f>IF(AND($C53=$C$61,$E53=4),$M53,0)</f>
        <v>0</v>
      </c>
      <c r="P53" s="121">
        <f>IF(AND($C53=$C$61,$E53&lt;=5,$H53=$C$61,$J53&gt;=5),$L53,IF(AND($C53=$C$61,$E53&lt;=5,$H53=$C$62,$J53&lt;=3),$L53,0))</f>
        <v>0</v>
      </c>
      <c r="Q53" s="33">
        <f>IF(AND($C53=$C$61,$E53&lt;=5,$H53=$C$61,$J53&gt;=5),$M53,IF(AND($C53=$C$61,$E53&lt;=5,$H53=$C$62,$J53&lt;=3),$M53,0))</f>
        <v>0</v>
      </c>
      <c r="R53" s="32">
        <f>IF(AND($C53=$C$61,$E53&lt;=6,$H53=$C$61,$J53&gt;=6),$L53,IF(AND($C53=$C$61,$E53&lt;=6,$H53=$C$62,$J53&lt;=3),$L53,0))</f>
        <v>0</v>
      </c>
      <c r="S53" s="46">
        <f>IF(AND($C53=$C$61,$E53&lt;=6,$H53=$C$61,$J53&gt;=6),$M53,IF(AND($C53=$C$61,$E53&lt;=6,$H53=$C$62,$J53&lt;=3),$M53,0))</f>
        <v>0</v>
      </c>
      <c r="T53" s="121">
        <f>IF(AND($C53=$C$61,$E53&lt;=7,$H53=$C$61,$J53&gt;=7),$L53,IF(AND($C53=$C$61,$E53&lt;=7,$H53=$C$62,$J53&lt;=3),$L53,0))</f>
        <v>0</v>
      </c>
      <c r="U53" s="33">
        <f>IF(AND($C53=$C$61,$E53&lt;=7,$H53=$C$61,$J53&gt;=7),$M53,IF(AND($C53=$C$61,$E53&lt;=7,$H53=$C$62,$J53&lt;=3),$M53,0))</f>
        <v>0</v>
      </c>
      <c r="V53" s="32">
        <f>IF(AND($C53=$C$61,$E53&lt;=8,$H53=$C$61,$J53&gt;=8),$L53,IF(AND($C53=$C$61,$E53&lt;=8,$H53=$C$62,$J53&lt;=3),$L53,0))</f>
        <v>0</v>
      </c>
      <c r="W53" s="46">
        <f>IF(AND($C53=$C$61,$E53&lt;=8,$H53=$C$61,$J53&gt;=8),$M53,IF(AND($C53=$C$61,$E53&lt;=8,$H53=$C$62,$J53&lt;=3),$M53,0))</f>
        <v>0</v>
      </c>
      <c r="X53" s="121">
        <f>IF(AND($C53=$C$61,$E53&lt;=9,$H53=$C$61,$J53&gt;=9),$L53,IF(AND($C53=$C$61,$E53&lt;=9,$H53=$C$62,$J53&lt;=3),$L53,0))</f>
        <v>0</v>
      </c>
      <c r="Y53" s="33">
        <f>IF(AND($C53=$C$61,$E53&lt;=9,$H53=$C$61,$J53&gt;=9),$M53,IF(AND($C53=$C$61,$E53&lt;=9,$H53=$C$62,$J53&lt;=3),$M53,0))</f>
        <v>0</v>
      </c>
      <c r="Z53" s="32">
        <f>IF(AND($C53=$C$61,$E53&lt;=10,$H53=$C$61,$J53&gt;=10),$L53,IF(AND($C53=$C$61,$E53&lt;=10,$H53=$C$62,$J53&lt;=3),$L53,0))</f>
        <v>0</v>
      </c>
      <c r="AA53" s="46">
        <f>IF(AND($C53=$C$61,$E53&lt;=10,$H53=$C$61,$J53&gt;=10),$M53,IF(AND($C53=$C$61,$E53&lt;=10,$H53=$C$62,$J53&lt;=3),$M53,0))</f>
        <v>0</v>
      </c>
      <c r="AB53" s="121">
        <f>IF(AND($C53=$C$61,$E53&lt;=11,$H53=$C$61,$J53&gt;=11),$L53,IF(AND($C53=$C$61,$E53&lt;=11,$H53=$C$62,$J53&lt;=3),$L53,0))</f>
        <v>0</v>
      </c>
      <c r="AC53" s="33">
        <f>IF(AND($C53=$C$61,$E53&lt;=11,$H53=$C$61,$J53&gt;=11),$M53,IF(AND($C53=$C$61,$E53&lt;=11,$H53=$C$62,$J53&lt;=3),$M53,0))</f>
        <v>0</v>
      </c>
      <c r="AD53" s="32">
        <f>IF(AND($C53=$C$61,$E53&lt;=12,$H53=$C$61,$J53=12),$L53,IF(AND($C53=$C$61,$E53&lt;=12,$H53=$C$62,$J53&lt;=3),$L53,0))</f>
        <v>0</v>
      </c>
      <c r="AE53" s="46">
        <f>IF(AND($C53=$C$61,$E53&lt;=12,$H53=$C$61,$J53&gt;=12),$M53,IF(AND($C53=$C$61,$E53&lt;=12,$H53=$C$62,$J53&lt;=3),$M53,0))</f>
        <v>0</v>
      </c>
      <c r="AF53" s="121">
        <f>IF(AND($C53=$C$61,$E53&lt;=12,$H53=$C$62,$J53&lt;=3),$L53,IF(AND($C53=$C$62,$E53&lt;=1,$H53=$C$62,$J53&lt;=3),$L53,0))</f>
        <v>0</v>
      </c>
      <c r="AG53" s="46">
        <f>IF(AND($C53=$C$61,$E53&lt;=12,$H53=$C$62,$J53&gt;=1),$M53,IF(AND($C53=$C$62,$E53&lt;=1,$H53=$C$62,$J53&lt;=3),$M53,0))</f>
        <v>0</v>
      </c>
      <c r="AH53" s="32">
        <f>IF(AND($C53=$C$61,$E53&lt;=12,$H53=$C$62,$J53&gt;=2),$L53,IF(AND($C53=$C$62,$E53&lt;=2,$H53=$C$62,$J53&gt;1),$L53,0))</f>
        <v>0</v>
      </c>
      <c r="AI53" s="46">
        <f>IF(AND($C53=$C$61,$E53&lt;=12,$H53=$C$62,$J53&gt;=2),$M53,IF(AND($C53=$C$62,$E53&lt;=2,$H53=$C$62,$J53&gt;1),$M53,0))</f>
        <v>0</v>
      </c>
      <c r="AJ53" s="121">
        <f>IF(AND($C53=$C$61,$E53&lt;=12,$H53=$C$62,$J53=3),$L53,IF(AND($C53=$C$62,$E53&lt;=3,$H53=$C$62,$J53=3),$L53,0))</f>
        <v>0</v>
      </c>
      <c r="AK53" s="49">
        <f>IF(AND($C53=$C$61,$E53&lt;=12,$H53=$C$62,$J53=3),$M53,IF(AND($C53=$C$62,$E53&lt;=3,$H53=$C$62,$J53=3),$M53,0))</f>
        <v>0</v>
      </c>
      <c r="AL53" s="7"/>
    </row>
    <row r="54" spans="1:38" ht="26.1" customHeight="1" thickBot="1">
      <c r="A54" s="21">
        <v>5</v>
      </c>
      <c r="B54" s="2"/>
      <c r="C54" s="78"/>
      <c r="D54" s="83" t="s">
        <v>49</v>
      </c>
      <c r="E54" s="53"/>
      <c r="F54" s="83" t="s">
        <v>46</v>
      </c>
      <c r="G54" s="83" t="s">
        <v>95</v>
      </c>
      <c r="H54" s="78"/>
      <c r="I54" s="83" t="s">
        <v>49</v>
      </c>
      <c r="J54" s="53"/>
      <c r="K54" s="83" t="s">
        <v>48</v>
      </c>
      <c r="L54" s="30"/>
      <c r="M54" s="31"/>
      <c r="N54" s="50">
        <f>IF(AND($C54=$C$61,$E54=4),$L54,0)</f>
        <v>0</v>
      </c>
      <c r="O54" s="120">
        <f>IF(AND($C54=$C$61,$E54=4),$M54,0)</f>
        <v>0</v>
      </c>
      <c r="P54" s="122">
        <f>IF(AND($C54=$C$61,$E54&lt;=5,$H54=$C$61,$J54&gt;=5),$L54,IF(AND($C54=$C$61,$E54&lt;=5,$H54=$C$62,$J54&lt;=3),$L54,0))</f>
        <v>0</v>
      </c>
      <c r="Q54" s="51">
        <f>IF(AND($C54=$C$61,$E54&lt;=5,$H54=$C$61,$J54&gt;=5),$M54,IF(AND($C54=$C$61,$E54&lt;=5,$H54=$C$62,$J54&lt;=3),$M54,0))</f>
        <v>0</v>
      </c>
      <c r="R54" s="50">
        <f>IF(AND($C54=$C$61,$E54&lt;=6,$H54=$C$61,$J54&gt;=6),$L54,IF(AND($C54=$C$61,$E54&lt;=6,$H54=$C$62,$J54&lt;=3),$L54,0))</f>
        <v>0</v>
      </c>
      <c r="S54" s="120">
        <f>IF(AND($C54=$C$61,$E54&lt;=6,$H54=$C$61,$J54&gt;=6),$M54,IF(AND($C54=$C$61,$E54&lt;=6,$H54=$C$62,$J54&lt;=3),$M54,0))</f>
        <v>0</v>
      </c>
      <c r="T54" s="122">
        <f>IF(AND($C54=$C$61,$E54&lt;=7,$H54=$C$61,$J54&gt;=7),$L54,IF(AND($C54=$C$61,$E54&lt;=7,$H54=$C$62,$J54&lt;=3),$L54,0))</f>
        <v>0</v>
      </c>
      <c r="U54" s="51">
        <f>IF(AND($C54=$C$61,$E54&lt;=7,$H54=$C$61,$J54&gt;=7),$M54,IF(AND($C54=$C$61,$E54&lt;=7,$H54=$C$62,$J54&lt;=3),$M54,0))</f>
        <v>0</v>
      </c>
      <c r="V54" s="50">
        <f>IF(AND($C54=$C$61,$E54&lt;=8,$H54=$C$61,$J54&gt;=8),$L54,IF(AND($C54=$C$61,$E54&lt;=8,$H54=$C$62,$J54&lt;=3),$L54,0))</f>
        <v>0</v>
      </c>
      <c r="W54" s="120">
        <f>IF(AND($C54=$C$61,$E54&lt;=8,$H54=$C$61,$J54&gt;=8),$M54,IF(AND($C54=$C$61,$E54&lt;=8,$H54=$C$62,$J54&lt;=3),$M54,0))</f>
        <v>0</v>
      </c>
      <c r="X54" s="122">
        <f>IF(AND($C54=$C$61,$E54&lt;=9,$H54=$C$61,$J54&gt;=9),$L54,IF(AND($C54=$C$61,$E54&lt;=9,$H54=$C$62,$J54&lt;=3),$L54,0))</f>
        <v>0</v>
      </c>
      <c r="Y54" s="51">
        <f>IF(AND($C54=$C$61,$E54&lt;=9,$H54=$C$61,$J54&gt;=9),$M54,IF(AND($C54=$C$61,$E54&lt;=9,$H54=$C$62,$J54&lt;=3),$M54,0))</f>
        <v>0</v>
      </c>
      <c r="Z54" s="50">
        <f>IF(AND($C54=$C$61,$E54&lt;=10,$H54=$C$61,$J54&gt;=10),$L54,IF(AND($C54=$C$61,$E54&lt;=10,$H54=$C$62,$J54&lt;=3),$L54,0))</f>
        <v>0</v>
      </c>
      <c r="AA54" s="120">
        <f>IF(AND($C54=$C$61,$E54&lt;=10,$H54=$C$61,$J54&gt;=10),$M54,IF(AND($C54=$C$61,$E54&lt;=10,$H54=$C$62,$J54&lt;=3),$M54,0))</f>
        <v>0</v>
      </c>
      <c r="AB54" s="122">
        <f>IF(AND($C54=$C$61,$E54&lt;=11,$H54=$C$61,$J54&gt;=11),$L54,IF(AND($C54=$C$61,$E54&lt;=11,$H54=$C$62,$J54&lt;=3),$L54,0))</f>
        <v>0</v>
      </c>
      <c r="AC54" s="51">
        <f>IF(AND($C54=$C$61,$E54&lt;=11,$H54=$C$61,$J54&gt;=11),$M54,IF(AND($C54=$C$61,$E54&lt;=11,$H54=$C$62,$J54&lt;=3),$M54,0))</f>
        <v>0</v>
      </c>
      <c r="AD54" s="50">
        <f>IF(AND($C54=$C$61,$E54&lt;=12,$H54=$C$61,$J54=12),$L54,IF(AND($C54=$C$61,$E54&lt;=12,$H54=$C$62,$J54&lt;=3),$L54,0))</f>
        <v>0</v>
      </c>
      <c r="AE54" s="120">
        <f>IF(AND($C54=$C$61,$E54&lt;=12,$H54=$C$61,$J54&gt;=12),$M54,IF(AND($C54=$C$61,$E54&lt;=12,$H54=$C$62,$J54&lt;=3),$M54,0))</f>
        <v>0</v>
      </c>
      <c r="AF54" s="123">
        <f>IF(AND($C54=$C$61,$E54&lt;=12,$H54=$C$62,$J54&lt;=3),$L54,IF(AND($C54=$C$62,$E54&lt;=1,$H54=$C$62,$J54&lt;=3),$L54,0))</f>
        <v>0</v>
      </c>
      <c r="AG54" s="124">
        <f>IF(AND($C54=$C$61,$E54&lt;=12,$H54=$C$62,$J54&gt;=1),$M54,IF(AND($C54=$C$62,$E54&lt;=1,$H54=$C$62,$J54&lt;=3),$M54,0))</f>
        <v>0</v>
      </c>
      <c r="AH54" s="50">
        <f>IF(AND($C54=$C$61,$E54&lt;=12,$H54=$C$62,$J54&gt;=2),$L54,IF(AND($C54=$C$62,$E54&lt;=2,$H54=$C$62,$J54&gt;1),$L54,0))</f>
        <v>0</v>
      </c>
      <c r="AI54" s="120">
        <f>IF(AND($C54=$C$61,$E54&lt;=12,$H54=$C$62,$J54&gt;=2),$M54,IF(AND($C54=$C$62,$E54&lt;=2,$H54=$C$62,$J54&gt;1),$M54,0))</f>
        <v>0</v>
      </c>
      <c r="AJ54" s="122">
        <f>IF(AND($C54=$C$61,$E54&lt;=12,$H54=$C$62,$J54=3),$L54,IF(AND($C54=$C$62,$E54&lt;=3,$H54=$C$62,$J54=3),$L54,0))</f>
        <v>0</v>
      </c>
      <c r="AK54" s="52">
        <f>IF(AND($C54=$C$61,$E54&lt;=12,$H54=$C$62,$J54=3),$M54,IF(AND($C54=$C$62,$E54&lt;=3,$H54=$C$62,$J54=3),$M54,0))</f>
        <v>0</v>
      </c>
      <c r="AL54" s="7"/>
    </row>
    <row r="55" spans="1:38" ht="26.1" customHeight="1" thickBot="1">
      <c r="A55" s="967" t="s">
        <v>14</v>
      </c>
      <c r="B55" s="968"/>
      <c r="C55" s="968"/>
      <c r="D55" s="968"/>
      <c r="E55" s="968"/>
      <c r="F55" s="968"/>
      <c r="G55" s="968"/>
      <c r="H55" s="968"/>
      <c r="I55" s="968"/>
      <c r="J55" s="968"/>
      <c r="K55" s="969"/>
      <c r="L55" s="970">
        <f>(SUM(L50:L54)*60+SUM(M50:M54))/60</f>
        <v>0</v>
      </c>
      <c r="M55" s="971"/>
      <c r="N55" s="956">
        <f>(SUM(N50:N54)*60+SUM(O50:O54))/60</f>
        <v>0</v>
      </c>
      <c r="O55" s="957"/>
      <c r="P55" s="956">
        <f>(SUM(P50:P54)*60+SUM(Q50:Q54))/60</f>
        <v>0</v>
      </c>
      <c r="Q55" s="957"/>
      <c r="R55" s="956">
        <f>(SUM(R50:R54)*60+SUM(S50:S54))/60</f>
        <v>0</v>
      </c>
      <c r="S55" s="957"/>
      <c r="T55" s="956">
        <f>(SUM(T50:T54)*60+SUM(U50:U54))/60</f>
        <v>0</v>
      </c>
      <c r="U55" s="957"/>
      <c r="V55" s="956">
        <f>(SUM(V50:V54)*60+SUM(W50:W54))/60</f>
        <v>0</v>
      </c>
      <c r="W55" s="957"/>
      <c r="X55" s="956">
        <f>(SUM(X50:X54)*60+SUM(Y50:Y54))/60</f>
        <v>0</v>
      </c>
      <c r="Y55" s="957"/>
      <c r="Z55" s="956">
        <f>(SUM(Z50:Z54)*60+SUM(AA50:AA54))/60</f>
        <v>0</v>
      </c>
      <c r="AA55" s="957"/>
      <c r="AB55" s="956">
        <f>(SUM(AB50:AB54)*60+SUM(AC50:AC54))/60</f>
        <v>0</v>
      </c>
      <c r="AC55" s="957"/>
      <c r="AD55" s="956">
        <f>(SUM(AD50:AD54)*60+SUM(AE50:AE54))/60</f>
        <v>0</v>
      </c>
      <c r="AE55" s="957"/>
      <c r="AF55" s="981">
        <f>(SUM(AF50:AF54)*60+SUM(AG50:AG54))/60</f>
        <v>0</v>
      </c>
      <c r="AG55" s="981"/>
      <c r="AH55" s="980">
        <f>(SUM(AH50:AH54)*60+SUM(AI50:AI54))/60</f>
        <v>0</v>
      </c>
      <c r="AI55" s="957"/>
      <c r="AJ55" s="956">
        <f>(SUM(AJ50:AJ54)*60+SUM(AK50:AK54))/60</f>
        <v>0</v>
      </c>
      <c r="AK55" s="957"/>
      <c r="AL55" s="7"/>
    </row>
    <row r="56" spans="1:38" ht="26.1" customHeight="1" thickBot="1">
      <c r="A56" s="958" t="s">
        <v>68</v>
      </c>
      <c r="B56" s="959"/>
      <c r="C56" s="959"/>
      <c r="D56" s="959"/>
      <c r="E56" s="959"/>
      <c r="F56" s="959"/>
      <c r="G56" s="959"/>
      <c r="H56" s="959"/>
      <c r="I56" s="959"/>
      <c r="J56" s="959"/>
      <c r="K56" s="960"/>
      <c r="L56" s="961"/>
      <c r="M56" s="962"/>
      <c r="N56" s="963">
        <f>$L56</f>
        <v>0</v>
      </c>
      <c r="O56" s="964"/>
      <c r="P56" s="965">
        <f>$L56</f>
        <v>0</v>
      </c>
      <c r="Q56" s="964"/>
      <c r="R56" s="965">
        <f>$L56</f>
        <v>0</v>
      </c>
      <c r="S56" s="964"/>
      <c r="T56" s="965">
        <f>$L56</f>
        <v>0</v>
      </c>
      <c r="U56" s="964"/>
      <c r="V56" s="965">
        <f>$L56</f>
        <v>0</v>
      </c>
      <c r="W56" s="964"/>
      <c r="X56" s="965">
        <f>$L56</f>
        <v>0</v>
      </c>
      <c r="Y56" s="964"/>
      <c r="Z56" s="965">
        <f>$L56</f>
        <v>0</v>
      </c>
      <c r="AA56" s="964"/>
      <c r="AB56" s="965">
        <f>$L56</f>
        <v>0</v>
      </c>
      <c r="AC56" s="964"/>
      <c r="AD56" s="965">
        <f>$L56</f>
        <v>0</v>
      </c>
      <c r="AE56" s="964"/>
      <c r="AF56" s="982">
        <f>$L56</f>
        <v>0</v>
      </c>
      <c r="AG56" s="982"/>
      <c r="AH56" s="963">
        <f>$L56</f>
        <v>0</v>
      </c>
      <c r="AI56" s="964"/>
      <c r="AJ56" s="965">
        <f>$L56</f>
        <v>0</v>
      </c>
      <c r="AK56" s="964"/>
      <c r="AL56" s="7"/>
    </row>
    <row r="57" spans="1:38" ht="26.1" customHeight="1">
      <c r="A57" s="977" t="s">
        <v>259</v>
      </c>
      <c r="B57" s="978"/>
      <c r="C57" s="978"/>
      <c r="D57" s="978"/>
      <c r="E57" s="978"/>
      <c r="F57" s="978"/>
      <c r="G57" s="978"/>
      <c r="H57" s="978"/>
      <c r="I57" s="978"/>
      <c r="J57" s="978"/>
      <c r="K57" s="979"/>
      <c r="L57" s="975">
        <f>IFERROR(L55/L56,0)</f>
        <v>0</v>
      </c>
      <c r="M57" s="976"/>
      <c r="N57" s="975">
        <f t="shared" ref="N57" si="36">IFERROR(N55/N56,0)</f>
        <v>0</v>
      </c>
      <c r="O57" s="976"/>
      <c r="P57" s="975">
        <f t="shared" ref="P57" si="37">IFERROR(P55/P56,0)</f>
        <v>0</v>
      </c>
      <c r="Q57" s="976"/>
      <c r="R57" s="975">
        <f t="shared" ref="R57" si="38">IFERROR(R55/R56,0)</f>
        <v>0</v>
      </c>
      <c r="S57" s="976"/>
      <c r="T57" s="975">
        <f t="shared" ref="T57" si="39">IFERROR(T55/T56,0)</f>
        <v>0</v>
      </c>
      <c r="U57" s="976"/>
      <c r="V57" s="975">
        <f t="shared" ref="V57" si="40">IFERROR(V55/V56,0)</f>
        <v>0</v>
      </c>
      <c r="W57" s="976"/>
      <c r="X57" s="975">
        <f t="shared" ref="X57" si="41">IFERROR(X55/X56,0)</f>
        <v>0</v>
      </c>
      <c r="Y57" s="976"/>
      <c r="Z57" s="975">
        <f t="shared" ref="Z57" si="42">IFERROR(Z55/Z56,0)</f>
        <v>0</v>
      </c>
      <c r="AA57" s="976"/>
      <c r="AB57" s="975">
        <f t="shared" ref="AB57" si="43">IFERROR(AB55/AB56,0)</f>
        <v>0</v>
      </c>
      <c r="AC57" s="976"/>
      <c r="AD57" s="975">
        <f t="shared" ref="AD57" si="44">IFERROR(AD55/AD56,0)</f>
        <v>0</v>
      </c>
      <c r="AE57" s="976"/>
      <c r="AF57" s="975">
        <f t="shared" ref="AF57" si="45">IFERROR(AF55/AF56,0)</f>
        <v>0</v>
      </c>
      <c r="AG57" s="976"/>
      <c r="AH57" s="975">
        <f t="shared" ref="AH57" si="46">IFERROR(AH55/AH56,0)</f>
        <v>0</v>
      </c>
      <c r="AI57" s="976"/>
      <c r="AJ57" s="975">
        <f t="shared" ref="AJ57" si="47">IFERROR(AJ55/AJ56,0)</f>
        <v>0</v>
      </c>
      <c r="AK57" s="976"/>
      <c r="AL57" s="7"/>
    </row>
    <row r="58" spans="1:38">
      <c r="AL58" s="7"/>
    </row>
    <row r="59" spans="1:38">
      <c r="AL59" s="7"/>
    </row>
    <row r="60" spans="1:38">
      <c r="AL60" s="7"/>
    </row>
    <row r="61" spans="1:38">
      <c r="C61" s="1">
        <v>2025</v>
      </c>
    </row>
    <row r="62" spans="1:38">
      <c r="C62" s="1">
        <v>2026</v>
      </c>
    </row>
    <row r="64" spans="1:38">
      <c r="D64" s="1">
        <v>4</v>
      </c>
    </row>
    <row r="65" spans="4:4">
      <c r="D65" s="1">
        <v>5</v>
      </c>
    </row>
    <row r="66" spans="4:4">
      <c r="D66" s="1">
        <v>6</v>
      </c>
    </row>
    <row r="67" spans="4:4">
      <c r="D67" s="1">
        <v>7</v>
      </c>
    </row>
    <row r="68" spans="4:4">
      <c r="D68" s="1">
        <v>8</v>
      </c>
    </row>
    <row r="69" spans="4:4">
      <c r="D69" s="1">
        <v>9</v>
      </c>
    </row>
    <row r="70" spans="4:4">
      <c r="D70" s="1">
        <v>10</v>
      </c>
    </row>
    <row r="71" spans="4:4">
      <c r="D71" s="1">
        <v>11</v>
      </c>
    </row>
    <row r="72" spans="4:4">
      <c r="D72" s="1">
        <v>12</v>
      </c>
    </row>
    <row r="73" spans="4:4">
      <c r="D73" s="1">
        <v>1</v>
      </c>
    </row>
    <row r="74" spans="4:4">
      <c r="D74" s="1">
        <v>2</v>
      </c>
    </row>
    <row r="75" spans="4:4">
      <c r="D75" s="1">
        <v>3</v>
      </c>
    </row>
  </sheetData>
  <sheetProtection algorithmName="SHA-512" hashValue="nFFdX+rexkLSd2may1Md20pTrUua8VhHgR1XOoIzvvg24ni/hp07QFdkuUFm4oI17/lNy0CJPYpMqKk54D4azA==" saltValue="Kgyrogo+R364XRZaryLCAQ==" spinCount="100000" sheet="1" objects="1" scenarios="1"/>
  <mergeCells count="123">
    <mergeCell ref="AD57:AE57"/>
    <mergeCell ref="AH57:AI57"/>
    <mergeCell ref="AJ57:AK57"/>
    <mergeCell ref="AH56:AI56"/>
    <mergeCell ref="AJ56:AK56"/>
    <mergeCell ref="AD56:AE56"/>
    <mergeCell ref="AF56:AG56"/>
    <mergeCell ref="AF57:AG57"/>
    <mergeCell ref="A57:K57"/>
    <mergeCell ref="L57:M57"/>
    <mergeCell ref="N57:O57"/>
    <mergeCell ref="P57:Q57"/>
    <mergeCell ref="R57:S57"/>
    <mergeCell ref="T57:U57"/>
    <mergeCell ref="V57:W57"/>
    <mergeCell ref="X57:Y57"/>
    <mergeCell ref="V56:W56"/>
    <mergeCell ref="X56:Y56"/>
    <mergeCell ref="Z56:AA56"/>
    <mergeCell ref="AB56:AC56"/>
    <mergeCell ref="Z57:AA57"/>
    <mergeCell ref="AB57:AC57"/>
    <mergeCell ref="A56:K56"/>
    <mergeCell ref="L56:M56"/>
    <mergeCell ref="N56:O56"/>
    <mergeCell ref="P56:Q56"/>
    <mergeCell ref="R56:S56"/>
    <mergeCell ref="T56:U56"/>
    <mergeCell ref="AD55:AE55"/>
    <mergeCell ref="AH55:AI55"/>
    <mergeCell ref="AJ55:AK55"/>
    <mergeCell ref="AH48:AI48"/>
    <mergeCell ref="AJ48:AK48"/>
    <mergeCell ref="AD48:AE48"/>
    <mergeCell ref="AF48:AG48"/>
    <mergeCell ref="AF55:AG55"/>
    <mergeCell ref="Z48:AA48"/>
    <mergeCell ref="AB48:AC48"/>
    <mergeCell ref="Z55:AA55"/>
    <mergeCell ref="AB55:AC55"/>
    <mergeCell ref="A55:K55"/>
    <mergeCell ref="L55:M55"/>
    <mergeCell ref="N55:O55"/>
    <mergeCell ref="P55:Q55"/>
    <mergeCell ref="R55:S55"/>
    <mergeCell ref="T55:U55"/>
    <mergeCell ref="V55:W55"/>
    <mergeCell ref="X55:Y55"/>
    <mergeCell ref="V48:W48"/>
    <mergeCell ref="X48:Y48"/>
    <mergeCell ref="AJ40:AK40"/>
    <mergeCell ref="A47:A49"/>
    <mergeCell ref="B47:B49"/>
    <mergeCell ref="C47:K49"/>
    <mergeCell ref="L47:M48"/>
    <mergeCell ref="N47:AK47"/>
    <mergeCell ref="N48:O48"/>
    <mergeCell ref="P48:Q48"/>
    <mergeCell ref="R48:S48"/>
    <mergeCell ref="T48:U48"/>
    <mergeCell ref="AD40:AE40"/>
    <mergeCell ref="AH40:AI40"/>
    <mergeCell ref="A40:K40"/>
    <mergeCell ref="L40:M40"/>
    <mergeCell ref="N40:O40"/>
    <mergeCell ref="P40:Q40"/>
    <mergeCell ref="R40:S40"/>
    <mergeCell ref="AB39:AC39"/>
    <mergeCell ref="AD39:AE39"/>
    <mergeCell ref="AF40:AG40"/>
    <mergeCell ref="V40:W40"/>
    <mergeCell ref="T39:U39"/>
    <mergeCell ref="V39:W39"/>
    <mergeCell ref="X40:Y40"/>
    <mergeCell ref="Z40:AA40"/>
    <mergeCell ref="AB40:AC40"/>
    <mergeCell ref="T40:U40"/>
    <mergeCell ref="AJ38:AK38"/>
    <mergeCell ref="A39:K39"/>
    <mergeCell ref="L39:M39"/>
    <mergeCell ref="N39:O39"/>
    <mergeCell ref="P39:Q39"/>
    <mergeCell ref="R39:S39"/>
    <mergeCell ref="AJ39:AK39"/>
    <mergeCell ref="V38:W38"/>
    <mergeCell ref="X38:Y38"/>
    <mergeCell ref="Z38:AA38"/>
    <mergeCell ref="AH38:AI38"/>
    <mergeCell ref="A38:K38"/>
    <mergeCell ref="L38:M38"/>
    <mergeCell ref="N38:O38"/>
    <mergeCell ref="P38:Q38"/>
    <mergeCell ref="R38:S38"/>
    <mergeCell ref="T38:U38"/>
    <mergeCell ref="AF38:AG38"/>
    <mergeCell ref="AF39:AG39"/>
    <mergeCell ref="AB38:AC38"/>
    <mergeCell ref="AD38:AE38"/>
    <mergeCell ref="AH39:AI39"/>
    <mergeCell ref="X39:Y39"/>
    <mergeCell ref="Z39:AA39"/>
    <mergeCell ref="AH6:AI6"/>
    <mergeCell ref="A5:A7"/>
    <mergeCell ref="B5:B7"/>
    <mergeCell ref="C5:K7"/>
    <mergeCell ref="L5:M6"/>
    <mergeCell ref="N5:AK5"/>
    <mergeCell ref="AJ6:AK6"/>
    <mergeCell ref="R6:S6"/>
    <mergeCell ref="T6:U6"/>
    <mergeCell ref="V6:W6"/>
    <mergeCell ref="A2:B2"/>
    <mergeCell ref="C2:M2"/>
    <mergeCell ref="T2:W2"/>
    <mergeCell ref="N3:Q3"/>
    <mergeCell ref="T3:W3"/>
    <mergeCell ref="X6:Y6"/>
    <mergeCell ref="N6:O6"/>
    <mergeCell ref="P6:Q6"/>
    <mergeCell ref="AF6:AG6"/>
    <mergeCell ref="Z6:AA6"/>
    <mergeCell ref="AB6:AC6"/>
    <mergeCell ref="AD6:AE6"/>
  </mergeCells>
  <phoneticPr fontId="2"/>
  <dataValidations disablePrompts="1" count="4">
    <dataValidation type="list" allowBlank="1" showInputMessage="1" showErrorMessage="1" sqref="C50:C54 H50:H54 C8:C37 H8:H37" xr:uid="{00000000-0002-0000-0400-000000000000}">
      <formula1>$C$61:$C$62</formula1>
    </dataValidation>
    <dataValidation type="list" allowBlank="1" showInputMessage="1" showErrorMessage="1" sqref="E50:E54 J50:J54 E8:E37 J8:J37" xr:uid="{00000000-0002-0000-0400-000001000000}">
      <formula1>$D$64:$D$75</formula1>
    </dataValidation>
    <dataValidation type="list" allowBlank="1" showInputMessage="1" showErrorMessage="1" sqref="C46 H46" xr:uid="{00000000-0002-0000-0400-000002000000}">
      <formula1>$C$55:$C$56</formula1>
    </dataValidation>
    <dataValidation type="list" allowBlank="1" showInputMessage="1" showErrorMessage="1" sqref="E46 J46" xr:uid="{00000000-0002-0000-0400-000003000000}">
      <formula1>$D$58:$D$71</formula1>
    </dataValidation>
  </dataValidations>
  <pageMargins left="0.62992125984251968" right="0.31496062992125984" top="0.82677165354330717" bottom="0.43307086614173229" header="0.51181102362204722" footer="0.27559055118110237"/>
  <pageSetup paperSize="9" scale="39" pageOrder="overThenDown" orientation="landscape" r:id="rId1"/>
  <headerFooter alignWithMargins="0">
    <oddHeader>&amp;L&amp;"ＭＳ Ｐゴシック,太字"&amp;22 令和６年度　保育施設職員配置状況確認書（様式３（非常勤保育士等））</oddHead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04A04-AF71-4BE8-BC41-5F4A2F2EEB08}">
  <dimension ref="A1:AB121"/>
  <sheetViews>
    <sheetView view="pageBreakPreview" zoomScale="60" zoomScaleNormal="100" workbookViewId="0">
      <selection activeCell="A2" sqref="A2:A4"/>
    </sheetView>
  </sheetViews>
  <sheetFormatPr defaultRowHeight="18.75"/>
  <cols>
    <col min="1" max="1" width="19.25" style="380" bestFit="1" customWidth="1"/>
    <col min="2" max="3" width="7.125" style="380" customWidth="1"/>
    <col min="4" max="4" width="15.125" style="380" customWidth="1"/>
    <col min="5" max="6" width="7.125" style="380" customWidth="1"/>
    <col min="7" max="7" width="15.125" style="380" customWidth="1"/>
    <col min="8" max="8" width="11.375" style="380" customWidth="1"/>
    <col min="9" max="9" width="7.125" style="406" bestFit="1" customWidth="1"/>
    <col min="10" max="13" width="7.875" style="406" customWidth="1"/>
    <col min="14" max="14" width="1.5" style="406" customWidth="1"/>
    <col min="15" max="17" width="7.5" style="406" customWidth="1"/>
    <col min="18" max="18" width="1.5" style="406" customWidth="1"/>
    <col min="19" max="21" width="7.5" style="406" customWidth="1"/>
    <col min="22" max="22" width="1.5" style="406" customWidth="1"/>
    <col min="23" max="28" width="7.5" style="406" customWidth="1"/>
    <col min="29" max="16384" width="9" style="380"/>
  </cols>
  <sheetData>
    <row r="1" spans="1:28" ht="47.25" customHeight="1" thickBot="1">
      <c r="A1" s="380" t="s">
        <v>312</v>
      </c>
      <c r="I1" s="405" t="str">
        <f>加算等適用状況!A12</f>
        <v>対象月</v>
      </c>
      <c r="J1" s="409" t="str">
        <f>加算等適用状況!G12</f>
        <v>4歳以上児配置改善加算</v>
      </c>
      <c r="K1" s="409" t="str">
        <f>加算等適用状況!H12</f>
        <v>3歳児配置改善加算</v>
      </c>
      <c r="L1" s="409" t="str">
        <f>加算等適用状況!I12</f>
        <v>1歳児配置改善加算</v>
      </c>
      <c r="M1" s="409" t="str">
        <f>加算等適用状況!J12</f>
        <v>満3歳児対応加配加算</v>
      </c>
      <c r="N1" s="407"/>
      <c r="O1" s="410" t="s">
        <v>326</v>
      </c>
      <c r="P1" s="411"/>
      <c r="Q1" s="412"/>
      <c r="R1" s="407"/>
      <c r="S1" s="410" t="s">
        <v>327</v>
      </c>
      <c r="T1" s="411"/>
      <c r="U1" s="412"/>
      <c r="V1" s="407"/>
      <c r="W1" s="410" t="s">
        <v>403</v>
      </c>
      <c r="X1" s="411"/>
      <c r="Y1" s="412"/>
      <c r="Z1" s="410" t="s">
        <v>404</v>
      </c>
      <c r="AA1" s="411"/>
      <c r="AB1" s="412"/>
    </row>
    <row r="2" spans="1:28">
      <c r="A2" s="989" t="str">
        <f>I2</f>
        <v>4月</v>
      </c>
      <c r="B2" s="992" t="s">
        <v>313</v>
      </c>
      <c r="C2" s="992"/>
      <c r="D2" s="992"/>
      <c r="E2" s="992" t="s">
        <v>314</v>
      </c>
      <c r="F2" s="992"/>
      <c r="G2" s="992"/>
      <c r="H2" s="987" t="s">
        <v>315</v>
      </c>
      <c r="I2" s="401" t="str">
        <f>加算等適用状況!A14</f>
        <v>4月</v>
      </c>
      <c r="J2" s="401">
        <f>加算等適用状況!G14</f>
        <v>0</v>
      </c>
      <c r="K2" s="401">
        <f>加算等適用状況!H14</f>
        <v>0</v>
      </c>
      <c r="L2" s="401">
        <f>加算等適用状況!I14</f>
        <v>0</v>
      </c>
      <c r="M2" s="401">
        <f>加算等適用状況!J14</f>
        <v>0</v>
      </c>
      <c r="N2" s="408"/>
      <c r="O2" s="401" t="s">
        <v>306</v>
      </c>
      <c r="P2" s="401" t="s">
        <v>307</v>
      </c>
      <c r="Q2" s="401" t="s">
        <v>141</v>
      </c>
      <c r="R2" s="408"/>
      <c r="S2" s="401" t="s">
        <v>328</v>
      </c>
      <c r="T2" s="401" t="s">
        <v>329</v>
      </c>
      <c r="U2" s="401" t="s">
        <v>141</v>
      </c>
      <c r="V2" s="408"/>
      <c r="W2" s="401" t="s">
        <v>306</v>
      </c>
      <c r="X2" s="401" t="s">
        <v>307</v>
      </c>
      <c r="Y2" s="401" t="s">
        <v>141</v>
      </c>
      <c r="Z2" s="401" t="s">
        <v>306</v>
      </c>
      <c r="AA2" s="401" t="s">
        <v>307</v>
      </c>
      <c r="AB2" s="401" t="s">
        <v>141</v>
      </c>
    </row>
    <row r="3" spans="1:28">
      <c r="A3" s="990"/>
      <c r="B3" s="993" t="s">
        <v>323</v>
      </c>
      <c r="C3" s="994"/>
      <c r="D3" s="381" t="s">
        <v>324</v>
      </c>
      <c r="E3" s="993" t="s">
        <v>323</v>
      </c>
      <c r="F3" s="994"/>
      <c r="G3" s="381" t="s">
        <v>324</v>
      </c>
      <c r="H3" s="988"/>
      <c r="I3" s="402"/>
      <c r="J3" s="402"/>
      <c r="K3" s="402"/>
      <c r="L3" s="402"/>
      <c r="M3" s="402"/>
      <c r="N3" s="408"/>
      <c r="O3" s="402"/>
      <c r="P3" s="402"/>
      <c r="Q3" s="402"/>
      <c r="R3" s="408"/>
      <c r="S3" s="402"/>
      <c r="T3" s="402"/>
      <c r="U3" s="402"/>
      <c r="V3" s="408"/>
      <c r="W3" s="402"/>
      <c r="X3" s="402"/>
      <c r="Y3" s="402"/>
      <c r="Z3" s="402"/>
      <c r="AA3" s="402"/>
      <c r="AB3" s="402"/>
    </row>
    <row r="4" spans="1:28" ht="19.5">
      <c r="A4" s="991"/>
      <c r="B4" s="385" t="s">
        <v>71</v>
      </c>
      <c r="C4" s="386" t="s">
        <v>325</v>
      </c>
      <c r="D4" s="415">
        <f>ROUND(SUM(D5:D11),0)</f>
        <v>0</v>
      </c>
      <c r="E4" s="385" t="s">
        <v>71</v>
      </c>
      <c r="F4" s="386" t="s">
        <v>325</v>
      </c>
      <c r="G4" s="415">
        <f>ROUND(SUM(G5:G11),0)</f>
        <v>0</v>
      </c>
      <c r="H4" s="414">
        <f>SUM(D4,G4)</f>
        <v>0</v>
      </c>
      <c r="I4" s="402"/>
      <c r="J4" s="402"/>
      <c r="K4" s="402"/>
      <c r="L4" s="402"/>
      <c r="M4" s="402"/>
      <c r="N4" s="408"/>
      <c r="O4" s="404">
        <f>ROUND(SUM(O5:O11),0)</f>
        <v>0</v>
      </c>
      <c r="P4" s="404">
        <f>ROUND(SUM(P5:P11),0)</f>
        <v>0</v>
      </c>
      <c r="Q4" s="413">
        <f>SUM(O4,P4)</f>
        <v>0</v>
      </c>
      <c r="R4" s="408"/>
      <c r="S4" s="404">
        <f>ROUND(SUM(S5:S11),0)</f>
        <v>0</v>
      </c>
      <c r="T4" s="404">
        <f>ROUND(SUM(T5:T11),0)</f>
        <v>0</v>
      </c>
      <c r="U4" s="413">
        <f>SUM(S4,T4)</f>
        <v>0</v>
      </c>
      <c r="V4" s="408"/>
      <c r="W4" s="404">
        <f>ROUND(SUM(W5:W11),0)</f>
        <v>0</v>
      </c>
      <c r="X4" s="404">
        <f>ROUND(SUM(X5:X11),0)</f>
        <v>0</v>
      </c>
      <c r="Y4" s="413">
        <f>SUM(W4,X4)</f>
        <v>0</v>
      </c>
      <c r="Z4" s="404">
        <f>ROUND(SUM(Z5:Z11),0)</f>
        <v>0</v>
      </c>
      <c r="AA4" s="404">
        <f>ROUND(SUM(AA5:AA11),0)</f>
        <v>0</v>
      </c>
      <c r="AB4" s="413">
        <f>SUM(Z4,AA4)</f>
        <v>0</v>
      </c>
    </row>
    <row r="5" spans="1:28">
      <c r="A5" s="382" t="s">
        <v>316</v>
      </c>
      <c r="B5" s="392"/>
      <c r="C5" s="394">
        <f>様式１!E9</f>
        <v>0</v>
      </c>
      <c r="D5" s="395">
        <f>ROUNDDOWN(C5/3,1)</f>
        <v>0</v>
      </c>
      <c r="E5" s="392"/>
      <c r="F5" s="394">
        <f>様式１!N9</f>
        <v>0</v>
      </c>
      <c r="G5" s="395">
        <f>ROUNDDOWN(F5/3,1)</f>
        <v>0</v>
      </c>
      <c r="H5" s="398"/>
      <c r="I5" s="402"/>
      <c r="J5" s="402"/>
      <c r="K5" s="402"/>
      <c r="L5" s="402"/>
      <c r="M5" s="402"/>
      <c r="N5" s="408"/>
      <c r="O5" s="403"/>
      <c r="P5" s="403"/>
      <c r="Q5" s="403"/>
      <c r="R5" s="408"/>
      <c r="S5" s="404">
        <f>D5</f>
        <v>0</v>
      </c>
      <c r="T5" s="404">
        <f>G5</f>
        <v>0</v>
      </c>
      <c r="U5" s="403"/>
      <c r="V5" s="408"/>
      <c r="W5" s="404">
        <f>D5</f>
        <v>0</v>
      </c>
      <c r="X5" s="404">
        <f>G5</f>
        <v>0</v>
      </c>
      <c r="Y5" s="403"/>
      <c r="Z5" s="404">
        <f>D5</f>
        <v>0</v>
      </c>
      <c r="AA5" s="404">
        <f>G5</f>
        <v>0</v>
      </c>
      <c r="AB5" s="403"/>
    </row>
    <row r="6" spans="1:28">
      <c r="A6" s="383" t="s">
        <v>317</v>
      </c>
      <c r="B6" s="393"/>
      <c r="C6" s="389">
        <f>様式１!F9</f>
        <v>0</v>
      </c>
      <c r="D6" s="396">
        <f>ROUNDDOWN(C6/5,1)</f>
        <v>0</v>
      </c>
      <c r="E6" s="393"/>
      <c r="F6" s="389">
        <f>様式１!O9</f>
        <v>0</v>
      </c>
      <c r="G6" s="396">
        <f>ROUNDDOWN(F6/5,1)</f>
        <v>0</v>
      </c>
      <c r="H6" s="399"/>
      <c r="I6" s="402"/>
      <c r="J6" s="402"/>
      <c r="K6" s="402"/>
      <c r="L6" s="402"/>
      <c r="M6" s="402"/>
      <c r="N6" s="408"/>
      <c r="O6" s="403"/>
      <c r="P6" s="403"/>
      <c r="Q6" s="403"/>
      <c r="R6" s="408"/>
      <c r="S6" s="404">
        <f>D6</f>
        <v>0</v>
      </c>
      <c r="T6" s="404">
        <f>G6</f>
        <v>0</v>
      </c>
      <c r="U6" s="403"/>
      <c r="V6" s="408"/>
      <c r="W6" s="983">
        <f>IF(L2="○",ROUNDDOWN(C6/5,1)+ROUNDDOWN(C7/6,1),ROUNDDOWN(SUM(C6:C7)/6,1))</f>
        <v>0</v>
      </c>
      <c r="X6" s="983">
        <f>IF(L2="○",ROUNDDOWN(F6/5,1)+ROUNDDOWN(F7/6,1),ROUNDDOWN(SUM(F6:F7)/6,1))</f>
        <v>0</v>
      </c>
      <c r="Y6" s="403"/>
      <c r="Z6" s="983">
        <f>ROUNDDOWN(SUM(C6:C7)/6,1)</f>
        <v>0</v>
      </c>
      <c r="AA6" s="983">
        <f>ROUNDDOWN(SUM(F6:F7)/6,1)</f>
        <v>0</v>
      </c>
      <c r="AB6" s="403"/>
    </row>
    <row r="7" spans="1:28">
      <c r="A7" s="383" t="s">
        <v>318</v>
      </c>
      <c r="B7" s="393"/>
      <c r="C7" s="389">
        <f>様式１!H9</f>
        <v>0</v>
      </c>
      <c r="D7" s="396">
        <f>ROUNDDOWN(C7/6,1)</f>
        <v>0</v>
      </c>
      <c r="E7" s="393"/>
      <c r="F7" s="389">
        <f>様式１!Q9</f>
        <v>0</v>
      </c>
      <c r="G7" s="396">
        <f>ROUNDDOWN(F7/6,1)</f>
        <v>0</v>
      </c>
      <c r="H7" s="399"/>
      <c r="I7" s="402"/>
      <c r="J7" s="402"/>
      <c r="K7" s="402"/>
      <c r="L7" s="402"/>
      <c r="M7" s="402"/>
      <c r="N7" s="408"/>
      <c r="O7" s="403"/>
      <c r="P7" s="403"/>
      <c r="Q7" s="403"/>
      <c r="R7" s="408"/>
      <c r="S7" s="404">
        <f>D7</f>
        <v>0</v>
      </c>
      <c r="T7" s="404">
        <f>G7</f>
        <v>0</v>
      </c>
      <c r="U7" s="403"/>
      <c r="V7" s="408"/>
      <c r="W7" s="984"/>
      <c r="X7" s="984"/>
      <c r="Y7" s="403"/>
      <c r="Z7" s="984"/>
      <c r="AA7" s="984"/>
      <c r="AB7" s="403"/>
    </row>
    <row r="8" spans="1:28">
      <c r="A8" s="383" t="s">
        <v>319</v>
      </c>
      <c r="B8" s="387">
        <f>様式１!I7</f>
        <v>0</v>
      </c>
      <c r="C8" s="388"/>
      <c r="D8" s="396">
        <f>IF($M2="○",ROUNDDOWN(B8/6,1),IF($K2="○",ROUNDDOWN(B8/15,1),ROUNDDOWN(B8/20,1)))</f>
        <v>0</v>
      </c>
      <c r="E8" s="387">
        <f>様式１!R7</f>
        <v>0</v>
      </c>
      <c r="F8" s="388"/>
      <c r="G8" s="396">
        <f>IF($M2="○",ROUNDDOWN(E8/6,1),IF($K2="○",ROUNDDOWN(E8/15,1),ROUNDDOWN(E8/20,1)))</f>
        <v>0</v>
      </c>
      <c r="H8" s="399"/>
      <c r="I8" s="402"/>
      <c r="J8" s="402"/>
      <c r="K8" s="402"/>
      <c r="L8" s="402"/>
      <c r="M8" s="402"/>
      <c r="N8" s="408"/>
      <c r="O8" s="404">
        <f>D8</f>
        <v>0</v>
      </c>
      <c r="P8" s="404">
        <f>G8</f>
        <v>0</v>
      </c>
      <c r="Q8" s="403"/>
      <c r="R8" s="408"/>
      <c r="S8" s="404">
        <f>IF($M2="○",ROUNDDOWN(B8/6,1),ROUNDDOWN(B8/15,1))</f>
        <v>0</v>
      </c>
      <c r="T8" s="404">
        <f>IF($M2="○",ROUNDDOWN(E8/6,1),ROUNDDOWN(E8/15,1))</f>
        <v>0</v>
      </c>
      <c r="U8" s="403"/>
      <c r="V8" s="408"/>
      <c r="W8" s="404">
        <f>D8</f>
        <v>0</v>
      </c>
      <c r="X8" s="404">
        <f>G8</f>
        <v>0</v>
      </c>
      <c r="Y8" s="403"/>
      <c r="Z8" s="404">
        <f>ROUNDDOWN(B8/20,1)</f>
        <v>0</v>
      </c>
      <c r="AA8" s="404">
        <f>ROUNDDOWN(E8/20,1)</f>
        <v>0</v>
      </c>
      <c r="AB8" s="403"/>
    </row>
    <row r="9" spans="1:28">
      <c r="A9" s="383" t="s">
        <v>320</v>
      </c>
      <c r="B9" s="387">
        <f>様式１!J7</f>
        <v>0</v>
      </c>
      <c r="C9" s="389">
        <f>様式１!J8</f>
        <v>0</v>
      </c>
      <c r="D9" s="396">
        <f>IF($K2="○",ROUNDDOWN((B9+C9)/15,1),ROUNDDOWN(B9/20,1)+ROUNDDOWN(C9/15,1))</f>
        <v>0</v>
      </c>
      <c r="E9" s="387">
        <f>様式１!S7</f>
        <v>0</v>
      </c>
      <c r="F9" s="389">
        <f>様式１!S8</f>
        <v>0</v>
      </c>
      <c r="G9" s="396">
        <f>IF($K2="○",ROUNDDOWN((E9+F9)/15,1),ROUNDDOWN(E9/20,1)+ROUNDDOWN(F9/15,1))</f>
        <v>0</v>
      </c>
      <c r="H9" s="399"/>
      <c r="I9" s="402"/>
      <c r="J9" s="402"/>
      <c r="K9" s="402"/>
      <c r="L9" s="402"/>
      <c r="M9" s="402"/>
      <c r="N9" s="408"/>
      <c r="O9" s="404">
        <f>IF($K2="○",ROUNDDOWN(B9/15,1),ROUNDDOWN(B9/20,1))</f>
        <v>0</v>
      </c>
      <c r="P9" s="404">
        <f>IF($K2="○",ROUNDDOWN(E9/15,1),ROUNDDOWN(E9/20,1))</f>
        <v>0</v>
      </c>
      <c r="Q9" s="403"/>
      <c r="R9" s="408"/>
      <c r="S9" s="404">
        <f>ROUNDDOWN((B9+C9)/15,1)</f>
        <v>0</v>
      </c>
      <c r="T9" s="404">
        <f>ROUNDDOWN((E9+F9)/15,1)</f>
        <v>0</v>
      </c>
      <c r="U9" s="403"/>
      <c r="V9" s="408"/>
      <c r="W9" s="404">
        <f>IF(K2="○",ROUNDDOWN(SUM(B9:C9)/15,1),ROUNDDOWN(SUM(B9:C9)/20,1))</f>
        <v>0</v>
      </c>
      <c r="X9" s="404">
        <f>IF(K2="○",ROUNDDOWN(SUM(E9:F9)/15,1),ROUNDDOWN(SUM(E9:F9)/20,1))</f>
        <v>0</v>
      </c>
      <c r="Y9" s="403"/>
      <c r="Z9" s="404">
        <f>ROUNDDOWN(SUM(B9:C9)/20,1)</f>
        <v>0</v>
      </c>
      <c r="AA9" s="404">
        <f>ROUNDDOWN(SUM(E9:F9)/20,1)</f>
        <v>0</v>
      </c>
      <c r="AB9" s="403"/>
    </row>
    <row r="10" spans="1:28">
      <c r="A10" s="383" t="s">
        <v>321</v>
      </c>
      <c r="B10" s="387">
        <f>様式１!K7</f>
        <v>0</v>
      </c>
      <c r="C10" s="389">
        <f>様式１!K8</f>
        <v>0</v>
      </c>
      <c r="D10" s="985">
        <f>IF($J2="○",ROUNDDOWN(SUM(B10,B11,C11)/25,1)+ROUNDDOWN(C10/20,1),ROUNDDOWN(SUM(B10,B11)/30,1)+ROUNDDOWN(C10/20,1)+ROUNDDOWN(C11/25,1))</f>
        <v>0</v>
      </c>
      <c r="E10" s="387">
        <f>様式１!T7</f>
        <v>0</v>
      </c>
      <c r="F10" s="389">
        <f>様式１!T8</f>
        <v>0</v>
      </c>
      <c r="G10" s="985">
        <f>IF($J2="○",ROUNDDOWN(SUM(E10,E11,F11)/25,1)+ROUNDDOWN(F10/20,1),ROUNDDOWN(SUM(E10,E11)/30,1)+ROUNDDOWN(F10/20,1)+ROUNDDOWN(F11/25,1))</f>
        <v>0</v>
      </c>
      <c r="H10" s="399"/>
      <c r="I10" s="402"/>
      <c r="J10" s="402"/>
      <c r="K10" s="402"/>
      <c r="L10" s="402"/>
      <c r="M10" s="402"/>
      <c r="N10" s="408"/>
      <c r="O10" s="983">
        <f>IF($J2="○",ROUNDDOWN(SUM(B10,B11)/25,1),ROUNDDOWN(SUM(B10,B11)/30,1))</f>
        <v>0</v>
      </c>
      <c r="P10" s="983">
        <f>IF($J2="○",ROUNDDOWN(SUM(E10,E11)/25,1),ROUNDDOWN(SUM(E10,E11)/30,1))</f>
        <v>0</v>
      </c>
      <c r="Q10" s="403"/>
      <c r="R10" s="408"/>
      <c r="S10" s="983">
        <f>ROUNDDOWN(SUM(B10,B11,C11)/25,1)+ROUNDDOWN(C10/20,1)</f>
        <v>0</v>
      </c>
      <c r="T10" s="983">
        <f>ROUNDDOWN(SUM(E10,E11,F11)/25,1)+ROUNDDOWN(F10/20,1)</f>
        <v>0</v>
      </c>
      <c r="U10" s="403"/>
      <c r="V10" s="408"/>
      <c r="W10" s="983">
        <f>IF(J2="○",ROUNDDOWN(SUM(B10:C11)/25,1),ROUNDDOWN(SUM(B10:C11)/30,1))</f>
        <v>0</v>
      </c>
      <c r="X10" s="983">
        <f>IF(J2="○",ROUNDDOWN(SUM(E10:F11)/25,1),ROUNDDOWN(SUM(E10:F11)/30,1))</f>
        <v>0</v>
      </c>
      <c r="Y10" s="403"/>
      <c r="Z10" s="983">
        <f>ROUNDDOWN(SUM(B10:C11)/30,1)</f>
        <v>0</v>
      </c>
      <c r="AA10" s="983">
        <f>ROUNDDOWN(SUM(E10:F11)/30,1)</f>
        <v>0</v>
      </c>
      <c r="AB10" s="403"/>
    </row>
    <row r="11" spans="1:28" ht="19.5" thickBot="1">
      <c r="A11" s="384" t="s">
        <v>322</v>
      </c>
      <c r="B11" s="390">
        <f>様式１!L7</f>
        <v>0</v>
      </c>
      <c r="C11" s="391">
        <f>様式１!L8</f>
        <v>0</v>
      </c>
      <c r="D11" s="986"/>
      <c r="E11" s="390">
        <f>様式１!U7</f>
        <v>0</v>
      </c>
      <c r="F11" s="391">
        <f>様式１!U8</f>
        <v>0</v>
      </c>
      <c r="G11" s="986"/>
      <c r="H11" s="400"/>
      <c r="I11" s="402"/>
      <c r="J11" s="402"/>
      <c r="K11" s="402"/>
      <c r="L11" s="402"/>
      <c r="M11" s="402"/>
      <c r="N11" s="408"/>
      <c r="O11" s="984"/>
      <c r="P11" s="984"/>
      <c r="Q11" s="403"/>
      <c r="R11" s="408"/>
      <c r="S11" s="984"/>
      <c r="T11" s="984"/>
      <c r="U11" s="403"/>
      <c r="V11" s="408"/>
      <c r="W11" s="984"/>
      <c r="X11" s="984"/>
      <c r="Y11" s="403"/>
      <c r="Z11" s="984"/>
      <c r="AA11" s="984"/>
      <c r="AB11" s="403"/>
    </row>
    <row r="12" spans="1:28">
      <c r="A12" s="989" t="str">
        <f>I12</f>
        <v>5月</v>
      </c>
      <c r="B12" s="992" t="s">
        <v>313</v>
      </c>
      <c r="C12" s="992"/>
      <c r="D12" s="992"/>
      <c r="E12" s="992" t="s">
        <v>314</v>
      </c>
      <c r="F12" s="992"/>
      <c r="G12" s="992"/>
      <c r="H12" s="987" t="s">
        <v>315</v>
      </c>
      <c r="I12" s="401" t="str">
        <f>加算等適用状況!A15</f>
        <v>5月</v>
      </c>
      <c r="J12" s="401" t="str">
        <f>加算等適用状況!G15</f>
        <v/>
      </c>
      <c r="K12" s="401" t="str">
        <f>加算等適用状況!H15</f>
        <v/>
      </c>
      <c r="L12" s="401" t="str">
        <f>加算等適用状況!I15</f>
        <v/>
      </c>
      <c r="M12" s="401" t="str">
        <f>加算等適用状況!J15</f>
        <v/>
      </c>
      <c r="N12" s="408"/>
      <c r="O12" s="401" t="s">
        <v>306</v>
      </c>
      <c r="P12" s="401" t="s">
        <v>307</v>
      </c>
      <c r="Q12" s="401" t="s">
        <v>141</v>
      </c>
      <c r="R12" s="408"/>
      <c r="S12" s="401" t="s">
        <v>306</v>
      </c>
      <c r="T12" s="401" t="s">
        <v>307</v>
      </c>
      <c r="U12" s="401" t="s">
        <v>141</v>
      </c>
      <c r="V12" s="408"/>
      <c r="W12" s="401" t="s">
        <v>306</v>
      </c>
      <c r="X12" s="401" t="s">
        <v>307</v>
      </c>
      <c r="Y12" s="401" t="s">
        <v>141</v>
      </c>
      <c r="Z12" s="401" t="s">
        <v>306</v>
      </c>
      <c r="AA12" s="401" t="s">
        <v>307</v>
      </c>
      <c r="AB12" s="401" t="s">
        <v>141</v>
      </c>
    </row>
    <row r="13" spans="1:28">
      <c r="A13" s="990"/>
      <c r="B13" s="993" t="s">
        <v>323</v>
      </c>
      <c r="C13" s="994"/>
      <c r="D13" s="381" t="s">
        <v>324</v>
      </c>
      <c r="E13" s="993" t="s">
        <v>323</v>
      </c>
      <c r="F13" s="994"/>
      <c r="G13" s="381" t="s">
        <v>324</v>
      </c>
      <c r="H13" s="988"/>
      <c r="I13" s="402"/>
      <c r="J13" s="402"/>
      <c r="K13" s="402"/>
      <c r="L13" s="402"/>
      <c r="M13" s="402"/>
      <c r="N13" s="408"/>
      <c r="O13" s="402"/>
      <c r="P13" s="402"/>
      <c r="Q13" s="402"/>
      <c r="R13" s="408"/>
      <c r="S13" s="402"/>
      <c r="T13" s="402"/>
      <c r="U13" s="402"/>
      <c r="V13" s="408"/>
      <c r="W13" s="402"/>
      <c r="X13" s="402"/>
      <c r="Y13" s="402"/>
      <c r="Z13" s="402"/>
      <c r="AA13" s="402"/>
      <c r="AB13" s="402"/>
    </row>
    <row r="14" spans="1:28" ht="19.5">
      <c r="A14" s="991"/>
      <c r="B14" s="385" t="s">
        <v>71</v>
      </c>
      <c r="C14" s="386" t="s">
        <v>325</v>
      </c>
      <c r="D14" s="415">
        <f>ROUND(SUM(D15:D21),0)</f>
        <v>0</v>
      </c>
      <c r="E14" s="385" t="s">
        <v>71</v>
      </c>
      <c r="F14" s="386" t="s">
        <v>325</v>
      </c>
      <c r="G14" s="415">
        <f>ROUND(SUM(G15:G21),0)</f>
        <v>0</v>
      </c>
      <c r="H14" s="414">
        <f>SUM(D14,G14)</f>
        <v>0</v>
      </c>
      <c r="I14" s="402"/>
      <c r="J14" s="402"/>
      <c r="K14" s="402"/>
      <c r="L14" s="402"/>
      <c r="M14" s="402"/>
      <c r="N14" s="408"/>
      <c r="O14" s="404">
        <f>ROUND(SUM(O15:O21),0)</f>
        <v>0</v>
      </c>
      <c r="P14" s="404">
        <f>ROUND(SUM(P15:P21),0)</f>
        <v>0</v>
      </c>
      <c r="Q14" s="413">
        <f>SUM(O14,P14)</f>
        <v>0</v>
      </c>
      <c r="R14" s="408"/>
      <c r="S14" s="404">
        <f>ROUND(SUM(S15:S21),0)</f>
        <v>0</v>
      </c>
      <c r="T14" s="404">
        <f>ROUND(SUM(T15:T21),0)</f>
        <v>0</v>
      </c>
      <c r="U14" s="413">
        <f>SUM(S14,T14)</f>
        <v>0</v>
      </c>
      <c r="V14" s="408"/>
      <c r="W14" s="404">
        <f>ROUND(SUM(W15:W21),0)</f>
        <v>0</v>
      </c>
      <c r="X14" s="404">
        <f>ROUND(SUM(X15:X21),0)</f>
        <v>0</v>
      </c>
      <c r="Y14" s="413">
        <f>SUM(W14,X14)</f>
        <v>0</v>
      </c>
      <c r="Z14" s="404">
        <f>ROUND(SUM(Z15:Z21),0)</f>
        <v>0</v>
      </c>
      <c r="AA14" s="404">
        <f>ROUND(SUM(AA15:AA21),0)</f>
        <v>0</v>
      </c>
      <c r="AB14" s="413">
        <f>SUM(Z14,AA14)</f>
        <v>0</v>
      </c>
    </row>
    <row r="15" spans="1:28">
      <c r="A15" s="382" t="s">
        <v>316</v>
      </c>
      <c r="B15" s="392"/>
      <c r="C15" s="394">
        <f>様式１!E12</f>
        <v>0</v>
      </c>
      <c r="D15" s="395">
        <f>ROUNDDOWN(C15/3,1)</f>
        <v>0</v>
      </c>
      <c r="E15" s="392"/>
      <c r="F15" s="394">
        <f>様式１!N12</f>
        <v>0</v>
      </c>
      <c r="G15" s="395">
        <f>ROUNDDOWN(F15/3,1)</f>
        <v>0</v>
      </c>
      <c r="H15" s="398"/>
      <c r="I15" s="402"/>
      <c r="J15" s="402"/>
      <c r="K15" s="402"/>
      <c r="L15" s="402"/>
      <c r="M15" s="402"/>
      <c r="N15" s="408"/>
      <c r="O15" s="403"/>
      <c r="P15" s="403"/>
      <c r="Q15" s="403"/>
      <c r="R15" s="408"/>
      <c r="S15" s="404">
        <f>D15</f>
        <v>0</v>
      </c>
      <c r="T15" s="404">
        <f>G15</f>
        <v>0</v>
      </c>
      <c r="U15" s="403"/>
      <c r="V15" s="408"/>
      <c r="W15" s="404">
        <f>D15</f>
        <v>0</v>
      </c>
      <c r="X15" s="404">
        <f>G15</f>
        <v>0</v>
      </c>
      <c r="Y15" s="403"/>
      <c r="Z15" s="404">
        <f>D15</f>
        <v>0</v>
      </c>
      <c r="AA15" s="404">
        <f>G15</f>
        <v>0</v>
      </c>
      <c r="AB15" s="403"/>
    </row>
    <row r="16" spans="1:28">
      <c r="A16" s="383" t="s">
        <v>317</v>
      </c>
      <c r="B16" s="393"/>
      <c r="C16" s="389">
        <f>様式１!F12</f>
        <v>0</v>
      </c>
      <c r="D16" s="396">
        <f>ROUNDDOWN(C16/5,1)</f>
        <v>0</v>
      </c>
      <c r="E16" s="393"/>
      <c r="F16" s="389">
        <f>様式１!O12</f>
        <v>0</v>
      </c>
      <c r="G16" s="396">
        <f>ROUNDDOWN(F16/5,1)</f>
        <v>0</v>
      </c>
      <c r="H16" s="399"/>
      <c r="I16" s="402"/>
      <c r="J16" s="402"/>
      <c r="K16" s="402"/>
      <c r="L16" s="402"/>
      <c r="M16" s="402"/>
      <c r="N16" s="408"/>
      <c r="O16" s="403"/>
      <c r="P16" s="403"/>
      <c r="Q16" s="403"/>
      <c r="R16" s="408"/>
      <c r="S16" s="404">
        <f>D16</f>
        <v>0</v>
      </c>
      <c r="T16" s="404">
        <f>G16</f>
        <v>0</v>
      </c>
      <c r="U16" s="403"/>
      <c r="V16" s="408"/>
      <c r="W16" s="983">
        <f>IF(L12="○",ROUNDDOWN(C16/5,1)+ROUNDDOWN(C17/6,1),ROUNDDOWN(SUM(C16:C17)/6,1))</f>
        <v>0</v>
      </c>
      <c r="X16" s="983">
        <f>IF(L12="○",ROUNDDOWN(F16/5,1)+ROUNDDOWN(F17/6,1),ROUNDDOWN(SUM(F16:F17)/6,1))</f>
        <v>0</v>
      </c>
      <c r="Y16" s="403"/>
      <c r="Z16" s="983">
        <f>ROUNDDOWN(SUM(C16:C17)/6,1)</f>
        <v>0</v>
      </c>
      <c r="AA16" s="983">
        <f>ROUNDDOWN(SUM(F16:F17)/6,1)</f>
        <v>0</v>
      </c>
      <c r="AB16" s="403"/>
    </row>
    <row r="17" spans="1:28">
      <c r="A17" s="383" t="s">
        <v>318</v>
      </c>
      <c r="B17" s="393"/>
      <c r="C17" s="389">
        <f>様式１!H12</f>
        <v>0</v>
      </c>
      <c r="D17" s="396">
        <f>ROUNDDOWN(C17/6,1)</f>
        <v>0</v>
      </c>
      <c r="E17" s="393"/>
      <c r="F17" s="389">
        <f>様式１!Q12</f>
        <v>0</v>
      </c>
      <c r="G17" s="396">
        <f>ROUNDDOWN(F17/6,1)</f>
        <v>0</v>
      </c>
      <c r="H17" s="399"/>
      <c r="I17" s="402"/>
      <c r="J17" s="402"/>
      <c r="K17" s="402"/>
      <c r="L17" s="402"/>
      <c r="M17" s="402"/>
      <c r="N17" s="408"/>
      <c r="O17" s="403"/>
      <c r="P17" s="403"/>
      <c r="Q17" s="403"/>
      <c r="R17" s="408"/>
      <c r="S17" s="404">
        <f>D17</f>
        <v>0</v>
      </c>
      <c r="T17" s="404">
        <f>G17</f>
        <v>0</v>
      </c>
      <c r="U17" s="403"/>
      <c r="V17" s="408"/>
      <c r="W17" s="984"/>
      <c r="X17" s="984"/>
      <c r="Y17" s="403"/>
      <c r="Z17" s="984"/>
      <c r="AA17" s="984"/>
      <c r="AB17" s="403"/>
    </row>
    <row r="18" spans="1:28">
      <c r="A18" s="383" t="s">
        <v>319</v>
      </c>
      <c r="B18" s="387">
        <f>様式１!I10</f>
        <v>0</v>
      </c>
      <c r="C18" s="388"/>
      <c r="D18" s="396">
        <f>IF($M12="○",ROUNDDOWN(B18/6,1),IF($K12="○",ROUNDDOWN(B18/15,1),ROUNDDOWN(B18/20,1)))</f>
        <v>0</v>
      </c>
      <c r="E18" s="387">
        <f>様式１!R10</f>
        <v>0</v>
      </c>
      <c r="F18" s="388"/>
      <c r="G18" s="396">
        <f>IF($M12="○",ROUNDDOWN(E18/6,1),IF($K12="○",ROUNDDOWN(E18/15,1),ROUNDDOWN(E18/20,1)))</f>
        <v>0</v>
      </c>
      <c r="H18" s="399"/>
      <c r="I18" s="402"/>
      <c r="J18" s="402"/>
      <c r="K18" s="402"/>
      <c r="L18" s="402"/>
      <c r="M18" s="402"/>
      <c r="N18" s="408"/>
      <c r="O18" s="404">
        <f>D18</f>
        <v>0</v>
      </c>
      <c r="P18" s="404">
        <f>G18</f>
        <v>0</v>
      </c>
      <c r="Q18" s="403"/>
      <c r="R18" s="408"/>
      <c r="S18" s="404">
        <f>IF($M12="○",ROUNDDOWN(B18/6,1),ROUNDDOWN(B18/15,1))</f>
        <v>0</v>
      </c>
      <c r="T18" s="404">
        <f>IF($M12="○",ROUNDDOWN(E18/6,1),ROUNDDOWN(E18/15,1))</f>
        <v>0</v>
      </c>
      <c r="U18" s="403"/>
      <c r="V18" s="408"/>
      <c r="W18" s="404">
        <f>D18</f>
        <v>0</v>
      </c>
      <c r="X18" s="404">
        <f>G18</f>
        <v>0</v>
      </c>
      <c r="Y18" s="403"/>
      <c r="Z18" s="404">
        <f>ROUNDDOWN(B18/20,1)</f>
        <v>0</v>
      </c>
      <c r="AA18" s="404">
        <f>ROUNDDOWN(E18/20,1)</f>
        <v>0</v>
      </c>
      <c r="AB18" s="403"/>
    </row>
    <row r="19" spans="1:28">
      <c r="A19" s="383" t="s">
        <v>320</v>
      </c>
      <c r="B19" s="387">
        <f>様式１!J10</f>
        <v>0</v>
      </c>
      <c r="C19" s="389">
        <f>様式１!J11</f>
        <v>0</v>
      </c>
      <c r="D19" s="396">
        <f>IF($K12="○",ROUNDDOWN((B19+C19)/15,1),ROUNDDOWN(B19/20,1)+ROUNDDOWN(C19/15,1))</f>
        <v>0</v>
      </c>
      <c r="E19" s="387">
        <f>様式１!S10</f>
        <v>0</v>
      </c>
      <c r="F19" s="389">
        <f>様式１!S11</f>
        <v>0</v>
      </c>
      <c r="G19" s="396">
        <f>IF($K12="○",ROUNDDOWN((E19+F19)/15,1),ROUNDDOWN(E19/20,1)+ROUNDDOWN(F19/15,1))</f>
        <v>0</v>
      </c>
      <c r="H19" s="399"/>
      <c r="I19" s="402"/>
      <c r="J19" s="402"/>
      <c r="K19" s="402"/>
      <c r="L19" s="402"/>
      <c r="M19" s="402"/>
      <c r="N19" s="408"/>
      <c r="O19" s="404">
        <f>IF($K12="○",ROUNDDOWN(B19/15,1),ROUNDDOWN(B19/20,1))</f>
        <v>0</v>
      </c>
      <c r="P19" s="404">
        <f>IF($K12="○",ROUNDDOWN(E19/15,1),ROUNDDOWN(E19/20,1))</f>
        <v>0</v>
      </c>
      <c r="Q19" s="403"/>
      <c r="R19" s="408"/>
      <c r="S19" s="404">
        <f>ROUNDDOWN((B19+C19)/15,1)</f>
        <v>0</v>
      </c>
      <c r="T19" s="404">
        <f>ROUNDDOWN((E19+F19)/15,1)</f>
        <v>0</v>
      </c>
      <c r="U19" s="403"/>
      <c r="V19" s="408"/>
      <c r="W19" s="404">
        <f>IF(K12="○",ROUNDDOWN(SUM(B19:C19)/15,1),ROUNDDOWN(SUM(B19:C19)/20,1))</f>
        <v>0</v>
      </c>
      <c r="X19" s="404">
        <f>IF(K12="○",ROUNDDOWN(SUM(E19:F19)/15,1),ROUNDDOWN(SUM(E19:F19)/20,1))</f>
        <v>0</v>
      </c>
      <c r="Y19" s="403"/>
      <c r="Z19" s="404">
        <f>ROUNDDOWN(SUM(B19:C19)/20,1)</f>
        <v>0</v>
      </c>
      <c r="AA19" s="404">
        <f>ROUNDDOWN(SUM(E19:F19)/20,1)</f>
        <v>0</v>
      </c>
      <c r="AB19" s="403"/>
    </row>
    <row r="20" spans="1:28">
      <c r="A20" s="383" t="s">
        <v>321</v>
      </c>
      <c r="B20" s="387">
        <f>様式１!K10</f>
        <v>0</v>
      </c>
      <c r="C20" s="389">
        <f>様式１!K11</f>
        <v>0</v>
      </c>
      <c r="D20" s="985">
        <f>IF($J12="○",ROUNDDOWN(SUM(B20,B21,C21)/25,1)+ROUNDDOWN(C20/20,1),ROUNDDOWN(SUM(B20,B21)/30,1)+ROUNDDOWN(C20/20,1)+ROUNDDOWN(C21/25,1))</f>
        <v>0</v>
      </c>
      <c r="E20" s="387">
        <f>様式１!T10</f>
        <v>0</v>
      </c>
      <c r="F20" s="389">
        <f>様式１!T11</f>
        <v>0</v>
      </c>
      <c r="G20" s="985">
        <f>IF($J12="○",ROUNDDOWN(SUM(E20,E21,F21)/25,1)+ROUNDDOWN(F20/20,1),ROUNDDOWN(SUM(E20,E21)/30,1)+ROUNDDOWN(F20/20,1)+ROUNDDOWN(F21/25,1))</f>
        <v>0</v>
      </c>
      <c r="H20" s="399"/>
      <c r="I20" s="402"/>
      <c r="J20" s="402"/>
      <c r="K20" s="402"/>
      <c r="L20" s="402"/>
      <c r="M20" s="402"/>
      <c r="N20" s="408"/>
      <c r="O20" s="983">
        <f>IF($J12="○",ROUNDDOWN(SUM(B20,B21)/25,1),ROUNDDOWN(SUM(B20,B21)/30,1))</f>
        <v>0</v>
      </c>
      <c r="P20" s="983">
        <f>IF($J12="○",ROUNDDOWN(SUM(E20,E21)/25,1),ROUNDDOWN(SUM(E20,E21)/30,1))</f>
        <v>0</v>
      </c>
      <c r="Q20" s="403"/>
      <c r="R20" s="408"/>
      <c r="S20" s="983">
        <f>ROUNDDOWN(SUM(B20,B21,C21)/25,1)+ROUNDDOWN(C20/20,1)</f>
        <v>0</v>
      </c>
      <c r="T20" s="983">
        <f>ROUNDDOWN(SUM(E20,E21,F21)/25,1)+ROUNDDOWN(F20/20,1)</f>
        <v>0</v>
      </c>
      <c r="U20" s="403"/>
      <c r="V20" s="408"/>
      <c r="W20" s="983">
        <f>IF(J12="○",ROUNDDOWN(SUM(B20:C21)/25,1),ROUNDDOWN(SUM(B20:C21)/30,1))</f>
        <v>0</v>
      </c>
      <c r="X20" s="983">
        <f>IF(J12="○",ROUNDDOWN(SUM(E20:F21)/25,1),ROUNDDOWN(SUM(E20:F21)/30,1))</f>
        <v>0</v>
      </c>
      <c r="Y20" s="403"/>
      <c r="Z20" s="983">
        <f>ROUNDDOWN(SUM(B20:C21)/30,1)</f>
        <v>0</v>
      </c>
      <c r="AA20" s="983">
        <f>ROUNDDOWN(SUM(E20:F21)/30,1)</f>
        <v>0</v>
      </c>
      <c r="AB20" s="403"/>
    </row>
    <row r="21" spans="1:28" ht="19.5" thickBot="1">
      <c r="A21" s="384" t="s">
        <v>322</v>
      </c>
      <c r="B21" s="390">
        <f>様式１!L10</f>
        <v>0</v>
      </c>
      <c r="C21" s="391">
        <f>様式１!L11</f>
        <v>0</v>
      </c>
      <c r="D21" s="986"/>
      <c r="E21" s="390">
        <f>様式１!U10</f>
        <v>0</v>
      </c>
      <c r="F21" s="391">
        <f>様式１!U11</f>
        <v>0</v>
      </c>
      <c r="G21" s="986"/>
      <c r="H21" s="400"/>
      <c r="I21" s="402"/>
      <c r="J21" s="402"/>
      <c r="K21" s="402"/>
      <c r="L21" s="402"/>
      <c r="M21" s="402"/>
      <c r="N21" s="408"/>
      <c r="O21" s="984"/>
      <c r="P21" s="984"/>
      <c r="Q21" s="403"/>
      <c r="R21" s="408"/>
      <c r="S21" s="984"/>
      <c r="T21" s="984"/>
      <c r="U21" s="403"/>
      <c r="V21" s="408"/>
      <c r="W21" s="984"/>
      <c r="X21" s="984"/>
      <c r="Y21" s="403"/>
      <c r="Z21" s="984"/>
      <c r="AA21" s="984"/>
      <c r="AB21" s="403"/>
    </row>
    <row r="22" spans="1:28">
      <c r="A22" s="989" t="str">
        <f>I22</f>
        <v>6月</v>
      </c>
      <c r="B22" s="992" t="s">
        <v>313</v>
      </c>
      <c r="C22" s="992"/>
      <c r="D22" s="992"/>
      <c r="E22" s="992" t="s">
        <v>314</v>
      </c>
      <c r="F22" s="992"/>
      <c r="G22" s="992"/>
      <c r="H22" s="987" t="s">
        <v>315</v>
      </c>
      <c r="I22" s="401" t="str">
        <f>加算等適用状況!A16</f>
        <v>6月</v>
      </c>
      <c r="J22" s="401" t="str">
        <f>加算等適用状況!G16</f>
        <v/>
      </c>
      <c r="K22" s="401" t="str">
        <f>加算等適用状況!H16</f>
        <v/>
      </c>
      <c r="L22" s="401" t="str">
        <f>加算等適用状況!I16</f>
        <v/>
      </c>
      <c r="M22" s="401" t="str">
        <f>加算等適用状況!J16</f>
        <v/>
      </c>
      <c r="N22" s="408"/>
      <c r="O22" s="401" t="s">
        <v>306</v>
      </c>
      <c r="P22" s="401" t="s">
        <v>307</v>
      </c>
      <c r="Q22" s="401" t="s">
        <v>141</v>
      </c>
      <c r="R22" s="408"/>
      <c r="S22" s="401" t="s">
        <v>306</v>
      </c>
      <c r="T22" s="401" t="s">
        <v>307</v>
      </c>
      <c r="U22" s="401" t="s">
        <v>141</v>
      </c>
      <c r="V22" s="408"/>
      <c r="W22" s="401" t="s">
        <v>306</v>
      </c>
      <c r="X22" s="401" t="s">
        <v>307</v>
      </c>
      <c r="Y22" s="401" t="s">
        <v>141</v>
      </c>
      <c r="Z22" s="401" t="s">
        <v>306</v>
      </c>
      <c r="AA22" s="401" t="s">
        <v>307</v>
      </c>
      <c r="AB22" s="401" t="s">
        <v>141</v>
      </c>
    </row>
    <row r="23" spans="1:28">
      <c r="A23" s="990"/>
      <c r="B23" s="993" t="s">
        <v>323</v>
      </c>
      <c r="C23" s="994"/>
      <c r="D23" s="381" t="s">
        <v>324</v>
      </c>
      <c r="E23" s="993" t="s">
        <v>323</v>
      </c>
      <c r="F23" s="994"/>
      <c r="G23" s="381" t="s">
        <v>324</v>
      </c>
      <c r="H23" s="988"/>
      <c r="I23" s="402"/>
      <c r="J23" s="402"/>
      <c r="K23" s="402"/>
      <c r="L23" s="402"/>
      <c r="M23" s="402"/>
      <c r="N23" s="408"/>
      <c r="O23" s="402"/>
      <c r="P23" s="402"/>
      <c r="Q23" s="402"/>
      <c r="R23" s="408"/>
      <c r="S23" s="402"/>
      <c r="T23" s="402"/>
      <c r="U23" s="402"/>
      <c r="V23" s="408"/>
      <c r="W23" s="402"/>
      <c r="X23" s="402"/>
      <c r="Y23" s="402"/>
      <c r="Z23" s="402"/>
      <c r="AA23" s="402"/>
      <c r="AB23" s="402"/>
    </row>
    <row r="24" spans="1:28" ht="19.5">
      <c r="A24" s="991"/>
      <c r="B24" s="385" t="s">
        <v>71</v>
      </c>
      <c r="C24" s="386" t="s">
        <v>325</v>
      </c>
      <c r="D24" s="415">
        <f>ROUND(SUM(D25:D31),0)</f>
        <v>0</v>
      </c>
      <c r="E24" s="385" t="s">
        <v>71</v>
      </c>
      <c r="F24" s="386" t="s">
        <v>325</v>
      </c>
      <c r="G24" s="415">
        <f>ROUND(SUM(G25:G31),0)</f>
        <v>0</v>
      </c>
      <c r="H24" s="414">
        <f>SUM(D24,G24)</f>
        <v>0</v>
      </c>
      <c r="I24" s="402"/>
      <c r="J24" s="402"/>
      <c r="K24" s="402"/>
      <c r="L24" s="402"/>
      <c r="M24" s="402"/>
      <c r="N24" s="408"/>
      <c r="O24" s="404">
        <f>ROUND(SUM(O25:O31),0)</f>
        <v>0</v>
      </c>
      <c r="P24" s="404">
        <f>ROUND(SUM(P25:P31),0)</f>
        <v>0</v>
      </c>
      <c r="Q24" s="413">
        <f>SUM(O24,P24)</f>
        <v>0</v>
      </c>
      <c r="R24" s="408"/>
      <c r="S24" s="404">
        <f>ROUND(SUM(S25:S31),0)</f>
        <v>0</v>
      </c>
      <c r="T24" s="404">
        <f>ROUND(SUM(T25:T31),0)</f>
        <v>0</v>
      </c>
      <c r="U24" s="413">
        <f>SUM(S24,T24)</f>
        <v>0</v>
      </c>
      <c r="V24" s="408"/>
      <c r="W24" s="404">
        <f>ROUND(SUM(W25:W31),0)</f>
        <v>0</v>
      </c>
      <c r="X24" s="404">
        <f>ROUND(SUM(X25:X31),0)</f>
        <v>0</v>
      </c>
      <c r="Y24" s="413">
        <f>SUM(W24,X24)</f>
        <v>0</v>
      </c>
      <c r="Z24" s="404">
        <f>ROUND(SUM(Z25:Z31),0)</f>
        <v>0</v>
      </c>
      <c r="AA24" s="404">
        <f>ROUND(SUM(AA25:AA31),0)</f>
        <v>0</v>
      </c>
      <c r="AB24" s="413">
        <f>SUM(Z24,AA24)</f>
        <v>0</v>
      </c>
    </row>
    <row r="25" spans="1:28">
      <c r="A25" s="382" t="s">
        <v>316</v>
      </c>
      <c r="B25" s="392"/>
      <c r="C25" s="394">
        <f>様式１!E15</f>
        <v>0</v>
      </c>
      <c r="D25" s="395">
        <f>ROUNDDOWN(C25/3,1)</f>
        <v>0</v>
      </c>
      <c r="E25" s="392"/>
      <c r="F25" s="394">
        <f>様式１!N15</f>
        <v>0</v>
      </c>
      <c r="G25" s="395">
        <f>ROUNDDOWN(F25/3,1)</f>
        <v>0</v>
      </c>
      <c r="H25" s="398"/>
      <c r="I25" s="402"/>
      <c r="J25" s="402"/>
      <c r="K25" s="402"/>
      <c r="L25" s="402"/>
      <c r="M25" s="402"/>
      <c r="N25" s="408"/>
      <c r="O25" s="403"/>
      <c r="P25" s="403"/>
      <c r="Q25" s="403"/>
      <c r="R25" s="408"/>
      <c r="S25" s="404">
        <f>D25</f>
        <v>0</v>
      </c>
      <c r="T25" s="404">
        <f>G25</f>
        <v>0</v>
      </c>
      <c r="U25" s="403"/>
      <c r="V25" s="408"/>
      <c r="W25" s="404">
        <f>D25</f>
        <v>0</v>
      </c>
      <c r="X25" s="404">
        <f>G25</f>
        <v>0</v>
      </c>
      <c r="Y25" s="403"/>
      <c r="Z25" s="404">
        <f>D25</f>
        <v>0</v>
      </c>
      <c r="AA25" s="404">
        <f>G25</f>
        <v>0</v>
      </c>
      <c r="AB25" s="403"/>
    </row>
    <row r="26" spans="1:28">
      <c r="A26" s="383" t="s">
        <v>317</v>
      </c>
      <c r="B26" s="393"/>
      <c r="C26" s="389">
        <f>様式１!F15</f>
        <v>0</v>
      </c>
      <c r="D26" s="396">
        <f>ROUNDDOWN(C26/5,1)</f>
        <v>0</v>
      </c>
      <c r="E26" s="393"/>
      <c r="F26" s="389">
        <f>様式１!O15</f>
        <v>0</v>
      </c>
      <c r="G26" s="396">
        <f>ROUNDDOWN(F26/5,1)</f>
        <v>0</v>
      </c>
      <c r="H26" s="399"/>
      <c r="I26" s="402"/>
      <c r="J26" s="402"/>
      <c r="K26" s="402"/>
      <c r="L26" s="402"/>
      <c r="M26" s="402"/>
      <c r="N26" s="408"/>
      <c r="O26" s="403"/>
      <c r="P26" s="403"/>
      <c r="Q26" s="403"/>
      <c r="R26" s="408"/>
      <c r="S26" s="404">
        <f>D26</f>
        <v>0</v>
      </c>
      <c r="T26" s="404">
        <f>G26</f>
        <v>0</v>
      </c>
      <c r="U26" s="403"/>
      <c r="V26" s="408"/>
      <c r="W26" s="983">
        <f>IF(L22="○",ROUNDDOWN(C26/5,1)+ROUNDDOWN(C27/6,1),ROUNDDOWN(SUM(C26:C27)/6,1))</f>
        <v>0</v>
      </c>
      <c r="X26" s="983">
        <f>IF(L22="○",ROUNDDOWN(F26/5,1)+ROUNDDOWN(F27/6,1),ROUNDDOWN(SUM(F26:F27)/6,1))</f>
        <v>0</v>
      </c>
      <c r="Y26" s="403"/>
      <c r="Z26" s="983">
        <f>ROUNDDOWN(SUM(C26:C27)/6,1)</f>
        <v>0</v>
      </c>
      <c r="AA26" s="983">
        <f>ROUNDDOWN(SUM(F26:F27)/6,1)</f>
        <v>0</v>
      </c>
      <c r="AB26" s="403"/>
    </row>
    <row r="27" spans="1:28">
      <c r="A27" s="383" t="s">
        <v>318</v>
      </c>
      <c r="B27" s="393"/>
      <c r="C27" s="389">
        <f>様式１!H15</f>
        <v>0</v>
      </c>
      <c r="D27" s="396">
        <f>ROUNDDOWN(C27/6,1)</f>
        <v>0</v>
      </c>
      <c r="E27" s="393"/>
      <c r="F27" s="389">
        <f>様式１!Q15</f>
        <v>0</v>
      </c>
      <c r="G27" s="396">
        <f>ROUNDDOWN(F27/6,1)</f>
        <v>0</v>
      </c>
      <c r="H27" s="399"/>
      <c r="I27" s="402"/>
      <c r="J27" s="402"/>
      <c r="K27" s="402"/>
      <c r="L27" s="402"/>
      <c r="M27" s="402"/>
      <c r="N27" s="408"/>
      <c r="O27" s="403"/>
      <c r="P27" s="403"/>
      <c r="Q27" s="403"/>
      <c r="R27" s="408"/>
      <c r="S27" s="404">
        <f>D27</f>
        <v>0</v>
      </c>
      <c r="T27" s="404">
        <f>G27</f>
        <v>0</v>
      </c>
      <c r="U27" s="403"/>
      <c r="V27" s="408"/>
      <c r="W27" s="984"/>
      <c r="X27" s="984"/>
      <c r="Y27" s="403"/>
      <c r="Z27" s="984"/>
      <c r="AA27" s="984"/>
      <c r="AB27" s="403"/>
    </row>
    <row r="28" spans="1:28">
      <c r="A28" s="383" t="s">
        <v>319</v>
      </c>
      <c r="B28" s="387">
        <f>様式１!I13</f>
        <v>0</v>
      </c>
      <c r="C28" s="388"/>
      <c r="D28" s="396">
        <f>IF($M22="○",ROUNDDOWN(B28/6,1),IF($K22="○",ROUNDDOWN(B28/15,1),ROUNDDOWN(B28/20,1)))</f>
        <v>0</v>
      </c>
      <c r="E28" s="387">
        <f>様式１!R13</f>
        <v>0</v>
      </c>
      <c r="F28" s="388"/>
      <c r="G28" s="396">
        <f>IF($M22="○",ROUNDDOWN(E28/6,1),IF($K22="○",ROUNDDOWN(E28/15,1),ROUNDDOWN(E28/20,1)))</f>
        <v>0</v>
      </c>
      <c r="H28" s="399"/>
      <c r="I28" s="402"/>
      <c r="J28" s="402"/>
      <c r="K28" s="402"/>
      <c r="L28" s="402"/>
      <c r="M28" s="402"/>
      <c r="N28" s="408"/>
      <c r="O28" s="404">
        <f>D28</f>
        <v>0</v>
      </c>
      <c r="P28" s="404">
        <f>G28</f>
        <v>0</v>
      </c>
      <c r="Q28" s="403"/>
      <c r="R28" s="408"/>
      <c r="S28" s="404">
        <f>IF($M22="○",ROUNDDOWN(B28/6,1),ROUNDDOWN(B28/15,1))</f>
        <v>0</v>
      </c>
      <c r="T28" s="404">
        <f>IF($M22="○",ROUNDDOWN(E28/6,1),ROUNDDOWN(E28/15,1))</f>
        <v>0</v>
      </c>
      <c r="U28" s="403"/>
      <c r="V28" s="408"/>
      <c r="W28" s="404">
        <f>D28</f>
        <v>0</v>
      </c>
      <c r="X28" s="404">
        <f>G28</f>
        <v>0</v>
      </c>
      <c r="Y28" s="403"/>
      <c r="Z28" s="404">
        <f>ROUNDDOWN(B28/20,1)</f>
        <v>0</v>
      </c>
      <c r="AA28" s="404">
        <f>ROUNDDOWN(E28/20,1)</f>
        <v>0</v>
      </c>
      <c r="AB28" s="403"/>
    </row>
    <row r="29" spans="1:28">
      <c r="A29" s="383" t="s">
        <v>320</v>
      </c>
      <c r="B29" s="387">
        <f>様式１!J13</f>
        <v>0</v>
      </c>
      <c r="C29" s="389">
        <f>様式１!J14</f>
        <v>0</v>
      </c>
      <c r="D29" s="396">
        <f>IF($K22="○",ROUNDDOWN((B29+C29)/15,1),ROUNDDOWN(B29/20,1)+ROUNDDOWN(C29/15,1))</f>
        <v>0</v>
      </c>
      <c r="E29" s="387">
        <f>様式１!S13</f>
        <v>0</v>
      </c>
      <c r="F29" s="389">
        <f>様式１!S14</f>
        <v>0</v>
      </c>
      <c r="G29" s="396">
        <f>IF($K22="○",ROUNDDOWN((E29+F29)/15,1),ROUNDDOWN(E29/20,1)+ROUNDDOWN(F29/15,1))</f>
        <v>0</v>
      </c>
      <c r="H29" s="399"/>
      <c r="I29" s="402"/>
      <c r="J29" s="402"/>
      <c r="K29" s="402"/>
      <c r="L29" s="402"/>
      <c r="M29" s="402"/>
      <c r="N29" s="408"/>
      <c r="O29" s="404">
        <f>IF($K22="○",ROUNDDOWN(B29/15,1),ROUNDDOWN(B29/20,1))</f>
        <v>0</v>
      </c>
      <c r="P29" s="404">
        <f>IF($K22="○",ROUNDDOWN(E29/15,1),ROUNDDOWN(E29/20,1))</f>
        <v>0</v>
      </c>
      <c r="Q29" s="403"/>
      <c r="R29" s="408"/>
      <c r="S29" s="404">
        <f>ROUNDDOWN((B29+C29)/15,1)</f>
        <v>0</v>
      </c>
      <c r="T29" s="404">
        <f>ROUNDDOWN((E29+F29)/15,1)</f>
        <v>0</v>
      </c>
      <c r="U29" s="403"/>
      <c r="V29" s="408"/>
      <c r="W29" s="404">
        <f>IF(K22="○",ROUNDDOWN(SUM(B29:C29)/15,1),ROUNDDOWN(SUM(B29:C29)/20,1))</f>
        <v>0</v>
      </c>
      <c r="X29" s="404">
        <f>IF(K22="○",ROUNDDOWN(SUM(E29:F29)/15,1),ROUNDDOWN(SUM(E29:F29)/20,1))</f>
        <v>0</v>
      </c>
      <c r="Y29" s="403"/>
      <c r="Z29" s="404">
        <f>ROUNDDOWN(SUM(B29:C29)/20,1)</f>
        <v>0</v>
      </c>
      <c r="AA29" s="404">
        <f>ROUNDDOWN(SUM(E29:F29)/20,1)</f>
        <v>0</v>
      </c>
      <c r="AB29" s="403"/>
    </row>
    <row r="30" spans="1:28">
      <c r="A30" s="383" t="s">
        <v>321</v>
      </c>
      <c r="B30" s="387">
        <f>様式１!K13</f>
        <v>0</v>
      </c>
      <c r="C30" s="389">
        <f>様式１!K14</f>
        <v>0</v>
      </c>
      <c r="D30" s="985">
        <f>IF($J22="○",ROUNDDOWN(SUM(B30,B31,C31)/25,1)+ROUNDDOWN(C30/20,1),ROUNDDOWN(SUM(B30,B31)/30,1)+ROUNDDOWN(C30/20,1)+ROUNDDOWN(C31/25,1))</f>
        <v>0</v>
      </c>
      <c r="E30" s="387">
        <f>様式１!T13</f>
        <v>0</v>
      </c>
      <c r="F30" s="389">
        <f>様式１!T14</f>
        <v>0</v>
      </c>
      <c r="G30" s="985">
        <f>IF($J22="○",ROUNDDOWN(SUM(E30,E31,F31)/25,1)+ROUNDDOWN(F30/20,1),ROUNDDOWN(SUM(E30,E31)/30,1)+ROUNDDOWN(F30/20,1)+ROUNDDOWN(F31/25,1))</f>
        <v>0</v>
      </c>
      <c r="H30" s="399"/>
      <c r="I30" s="402"/>
      <c r="J30" s="402"/>
      <c r="K30" s="402"/>
      <c r="L30" s="402"/>
      <c r="M30" s="402"/>
      <c r="N30" s="408"/>
      <c r="O30" s="983">
        <f>IF($J22="○",ROUNDDOWN(SUM(B30,B31)/25,1),ROUNDDOWN(SUM(B30,B31)/30,1))</f>
        <v>0</v>
      </c>
      <c r="P30" s="983">
        <f>IF($J22="○",ROUNDDOWN(SUM(E30,E31)/25,1),ROUNDDOWN(SUM(E30,E31)/30,1))</f>
        <v>0</v>
      </c>
      <c r="Q30" s="403"/>
      <c r="R30" s="408"/>
      <c r="S30" s="983">
        <f>ROUNDDOWN(SUM(B30,B31,C31)/25,1)+ROUNDDOWN(C30/20,1)</f>
        <v>0</v>
      </c>
      <c r="T30" s="983">
        <f>ROUNDDOWN(SUM(E30,E31,F31)/25,1)+ROUNDDOWN(F30/20,1)</f>
        <v>0</v>
      </c>
      <c r="U30" s="403"/>
      <c r="V30" s="408"/>
      <c r="W30" s="983">
        <f>IF(J22="○",ROUNDDOWN(SUM(B30:C31)/25,1),ROUNDDOWN(SUM(B30:C31)/30,1))</f>
        <v>0</v>
      </c>
      <c r="X30" s="983">
        <f>IF(J22="○",ROUNDDOWN(SUM(E30:F31)/25,1),ROUNDDOWN(SUM(E30:F31)/30,1))</f>
        <v>0</v>
      </c>
      <c r="Y30" s="403"/>
      <c r="Z30" s="983">
        <f>ROUNDDOWN(SUM(B30:C31)/30,1)</f>
        <v>0</v>
      </c>
      <c r="AA30" s="983">
        <f>ROUNDDOWN(SUM(E30:F31)/30,1)</f>
        <v>0</v>
      </c>
      <c r="AB30" s="403"/>
    </row>
    <row r="31" spans="1:28" ht="19.5" thickBot="1">
      <c r="A31" s="384" t="s">
        <v>322</v>
      </c>
      <c r="B31" s="390">
        <f>様式１!L13</f>
        <v>0</v>
      </c>
      <c r="C31" s="391">
        <f>様式１!L14</f>
        <v>0</v>
      </c>
      <c r="D31" s="986"/>
      <c r="E31" s="390">
        <f>様式１!U13</f>
        <v>0</v>
      </c>
      <c r="F31" s="391">
        <f>様式１!U14</f>
        <v>0</v>
      </c>
      <c r="G31" s="986"/>
      <c r="H31" s="400"/>
      <c r="I31" s="402"/>
      <c r="J31" s="402"/>
      <c r="K31" s="402"/>
      <c r="L31" s="402"/>
      <c r="M31" s="402"/>
      <c r="N31" s="408"/>
      <c r="O31" s="984"/>
      <c r="P31" s="984"/>
      <c r="Q31" s="403"/>
      <c r="R31" s="408"/>
      <c r="S31" s="984"/>
      <c r="T31" s="984"/>
      <c r="U31" s="403"/>
      <c r="V31" s="408"/>
      <c r="W31" s="984"/>
      <c r="X31" s="984"/>
      <c r="Y31" s="403"/>
      <c r="Z31" s="984"/>
      <c r="AA31" s="984"/>
      <c r="AB31" s="403"/>
    </row>
    <row r="32" spans="1:28">
      <c r="A32" s="989" t="str">
        <f>I32</f>
        <v>7月</v>
      </c>
      <c r="B32" s="992" t="s">
        <v>313</v>
      </c>
      <c r="C32" s="992"/>
      <c r="D32" s="992"/>
      <c r="E32" s="992" t="s">
        <v>314</v>
      </c>
      <c r="F32" s="992"/>
      <c r="G32" s="992"/>
      <c r="H32" s="987" t="s">
        <v>315</v>
      </c>
      <c r="I32" s="401" t="str">
        <f>加算等適用状況!A17</f>
        <v>7月</v>
      </c>
      <c r="J32" s="401" t="str">
        <f>加算等適用状況!G17</f>
        <v/>
      </c>
      <c r="K32" s="401" t="str">
        <f>加算等適用状況!H17</f>
        <v/>
      </c>
      <c r="L32" s="401" t="str">
        <f>加算等適用状況!I17</f>
        <v/>
      </c>
      <c r="M32" s="401" t="str">
        <f>加算等適用状況!J17</f>
        <v/>
      </c>
      <c r="N32" s="408"/>
      <c r="O32" s="401" t="s">
        <v>306</v>
      </c>
      <c r="P32" s="401" t="s">
        <v>307</v>
      </c>
      <c r="Q32" s="401" t="s">
        <v>141</v>
      </c>
      <c r="R32" s="408"/>
      <c r="S32" s="401" t="s">
        <v>306</v>
      </c>
      <c r="T32" s="401" t="s">
        <v>307</v>
      </c>
      <c r="U32" s="401" t="s">
        <v>141</v>
      </c>
      <c r="V32" s="408"/>
      <c r="W32" s="401" t="s">
        <v>306</v>
      </c>
      <c r="X32" s="401" t="s">
        <v>307</v>
      </c>
      <c r="Y32" s="401" t="s">
        <v>141</v>
      </c>
      <c r="Z32" s="401" t="s">
        <v>306</v>
      </c>
      <c r="AA32" s="401" t="s">
        <v>307</v>
      </c>
      <c r="AB32" s="401" t="s">
        <v>141</v>
      </c>
    </row>
    <row r="33" spans="1:28">
      <c r="A33" s="990"/>
      <c r="B33" s="993" t="s">
        <v>323</v>
      </c>
      <c r="C33" s="994"/>
      <c r="D33" s="381" t="s">
        <v>324</v>
      </c>
      <c r="E33" s="993" t="s">
        <v>323</v>
      </c>
      <c r="F33" s="994"/>
      <c r="G33" s="381" t="s">
        <v>324</v>
      </c>
      <c r="H33" s="988"/>
      <c r="I33" s="402"/>
      <c r="J33" s="402"/>
      <c r="K33" s="402"/>
      <c r="L33" s="402"/>
      <c r="M33" s="402"/>
      <c r="N33" s="408"/>
      <c r="O33" s="402"/>
      <c r="P33" s="402"/>
      <c r="Q33" s="402"/>
      <c r="R33" s="408"/>
      <c r="S33" s="402"/>
      <c r="T33" s="402"/>
      <c r="U33" s="402"/>
      <c r="V33" s="408"/>
      <c r="W33" s="402"/>
      <c r="X33" s="402"/>
      <c r="Y33" s="402"/>
      <c r="Z33" s="402"/>
      <c r="AA33" s="402"/>
      <c r="AB33" s="402"/>
    </row>
    <row r="34" spans="1:28" ht="19.5">
      <c r="A34" s="991"/>
      <c r="B34" s="385" t="s">
        <v>71</v>
      </c>
      <c r="C34" s="386" t="s">
        <v>325</v>
      </c>
      <c r="D34" s="415">
        <f>ROUND(SUM(D35:D41),0)</f>
        <v>0</v>
      </c>
      <c r="E34" s="385" t="s">
        <v>71</v>
      </c>
      <c r="F34" s="386" t="s">
        <v>325</v>
      </c>
      <c r="G34" s="415">
        <f>ROUND(SUM(G35:G41),0)</f>
        <v>0</v>
      </c>
      <c r="H34" s="414">
        <f>SUM(D34,G34)</f>
        <v>0</v>
      </c>
      <c r="I34" s="402"/>
      <c r="J34" s="402"/>
      <c r="K34" s="402"/>
      <c r="L34" s="402"/>
      <c r="M34" s="402"/>
      <c r="N34" s="408"/>
      <c r="O34" s="404">
        <f>ROUND(SUM(O35:O41),0)</f>
        <v>0</v>
      </c>
      <c r="P34" s="404">
        <f>ROUND(SUM(P35:P41),0)</f>
        <v>0</v>
      </c>
      <c r="Q34" s="413">
        <f>SUM(O34,P34)</f>
        <v>0</v>
      </c>
      <c r="R34" s="408"/>
      <c r="S34" s="404">
        <f>ROUND(SUM(S35:S41),0)</f>
        <v>0</v>
      </c>
      <c r="T34" s="404">
        <f>ROUND(SUM(T35:T41),0)</f>
        <v>0</v>
      </c>
      <c r="U34" s="413">
        <f>SUM(S34,T34)</f>
        <v>0</v>
      </c>
      <c r="V34" s="408"/>
      <c r="W34" s="404">
        <f>ROUND(SUM(W35:W41),0)</f>
        <v>0</v>
      </c>
      <c r="X34" s="404">
        <f>ROUND(SUM(X35:X41),0)</f>
        <v>0</v>
      </c>
      <c r="Y34" s="413">
        <f>SUM(W34,X34)</f>
        <v>0</v>
      </c>
      <c r="Z34" s="404">
        <f>ROUND(SUM(Z35:Z41),0)</f>
        <v>0</v>
      </c>
      <c r="AA34" s="404">
        <f>ROUND(SUM(AA35:AA41),0)</f>
        <v>0</v>
      </c>
      <c r="AB34" s="413">
        <f>SUM(Z34,AA34)</f>
        <v>0</v>
      </c>
    </row>
    <row r="35" spans="1:28">
      <c r="A35" s="382" t="s">
        <v>316</v>
      </c>
      <c r="B35" s="392"/>
      <c r="C35" s="394">
        <f>様式１!E18</f>
        <v>0</v>
      </c>
      <c r="D35" s="395">
        <f>ROUNDDOWN(C35/3,1)</f>
        <v>0</v>
      </c>
      <c r="E35" s="392"/>
      <c r="F35" s="394">
        <f>様式１!N18</f>
        <v>0</v>
      </c>
      <c r="G35" s="395">
        <f>ROUNDDOWN(F35/3,1)</f>
        <v>0</v>
      </c>
      <c r="H35" s="398"/>
      <c r="I35" s="402"/>
      <c r="J35" s="402"/>
      <c r="K35" s="402"/>
      <c r="L35" s="402"/>
      <c r="M35" s="402"/>
      <c r="N35" s="408"/>
      <c r="O35" s="403"/>
      <c r="P35" s="403"/>
      <c r="Q35" s="403"/>
      <c r="R35" s="408"/>
      <c r="S35" s="404">
        <f>D35</f>
        <v>0</v>
      </c>
      <c r="T35" s="404">
        <f>G35</f>
        <v>0</v>
      </c>
      <c r="U35" s="403"/>
      <c r="V35" s="408"/>
      <c r="W35" s="404">
        <f>D35</f>
        <v>0</v>
      </c>
      <c r="X35" s="404">
        <f>G35</f>
        <v>0</v>
      </c>
      <c r="Y35" s="403"/>
      <c r="Z35" s="404">
        <f>D35</f>
        <v>0</v>
      </c>
      <c r="AA35" s="404">
        <f>G35</f>
        <v>0</v>
      </c>
      <c r="AB35" s="403"/>
    </row>
    <row r="36" spans="1:28">
      <c r="A36" s="383" t="s">
        <v>317</v>
      </c>
      <c r="B36" s="393"/>
      <c r="C36" s="389">
        <f>様式１!F18</f>
        <v>0</v>
      </c>
      <c r="D36" s="396">
        <f>ROUNDDOWN(C36/5,1)</f>
        <v>0</v>
      </c>
      <c r="E36" s="393"/>
      <c r="F36" s="389">
        <f>様式１!O18</f>
        <v>0</v>
      </c>
      <c r="G36" s="396">
        <f>ROUNDDOWN(F36/5,1)</f>
        <v>0</v>
      </c>
      <c r="H36" s="399"/>
      <c r="I36" s="402"/>
      <c r="J36" s="402"/>
      <c r="K36" s="402"/>
      <c r="L36" s="402"/>
      <c r="M36" s="402"/>
      <c r="N36" s="408"/>
      <c r="O36" s="403"/>
      <c r="P36" s="403"/>
      <c r="Q36" s="403"/>
      <c r="R36" s="408"/>
      <c r="S36" s="404">
        <f>D36</f>
        <v>0</v>
      </c>
      <c r="T36" s="404">
        <f>G36</f>
        <v>0</v>
      </c>
      <c r="U36" s="403"/>
      <c r="V36" s="408"/>
      <c r="W36" s="983">
        <f>IF(L32="○",ROUNDDOWN(C36/5,1)+ROUNDDOWN(C37/6,1),ROUNDDOWN(SUM(C36:C37)/6,1))</f>
        <v>0</v>
      </c>
      <c r="X36" s="983">
        <f>IF(L32="○",ROUNDDOWN(F36/5,1)+ROUNDDOWN(F37/6,1),ROUNDDOWN(SUM(F36:F37)/6,1))</f>
        <v>0</v>
      </c>
      <c r="Y36" s="403"/>
      <c r="Z36" s="983">
        <f>ROUNDDOWN(SUM(C36:C37)/6,1)</f>
        <v>0</v>
      </c>
      <c r="AA36" s="983">
        <f>ROUNDDOWN(SUM(F36:F37)/6,1)</f>
        <v>0</v>
      </c>
      <c r="AB36" s="403"/>
    </row>
    <row r="37" spans="1:28">
      <c r="A37" s="383" t="s">
        <v>318</v>
      </c>
      <c r="B37" s="393"/>
      <c r="C37" s="389">
        <f>様式１!H18</f>
        <v>0</v>
      </c>
      <c r="D37" s="396">
        <f>ROUNDDOWN(C37/6,1)</f>
        <v>0</v>
      </c>
      <c r="E37" s="393"/>
      <c r="F37" s="389">
        <f>様式１!Q18</f>
        <v>0</v>
      </c>
      <c r="G37" s="396">
        <f>ROUNDDOWN(F37/6,1)</f>
        <v>0</v>
      </c>
      <c r="H37" s="399"/>
      <c r="I37" s="402"/>
      <c r="J37" s="402"/>
      <c r="K37" s="402"/>
      <c r="L37" s="402"/>
      <c r="M37" s="402"/>
      <c r="N37" s="408"/>
      <c r="O37" s="403"/>
      <c r="P37" s="403"/>
      <c r="Q37" s="403"/>
      <c r="R37" s="408"/>
      <c r="S37" s="404">
        <f>D37</f>
        <v>0</v>
      </c>
      <c r="T37" s="404">
        <f>G37</f>
        <v>0</v>
      </c>
      <c r="U37" s="403"/>
      <c r="V37" s="408"/>
      <c r="W37" s="984"/>
      <c r="X37" s="984"/>
      <c r="Y37" s="403"/>
      <c r="Z37" s="984"/>
      <c r="AA37" s="984"/>
      <c r="AB37" s="403"/>
    </row>
    <row r="38" spans="1:28">
      <c r="A38" s="383" t="s">
        <v>319</v>
      </c>
      <c r="B38" s="387">
        <f>様式１!I16</f>
        <v>0</v>
      </c>
      <c r="C38" s="388"/>
      <c r="D38" s="396">
        <f>IF($M32="○",ROUNDDOWN(B38/6,1),IF($K32="○",ROUNDDOWN(B38/15,1),ROUNDDOWN(B38/20,1)))</f>
        <v>0</v>
      </c>
      <c r="E38" s="387">
        <f>様式１!R16</f>
        <v>0</v>
      </c>
      <c r="F38" s="388"/>
      <c r="G38" s="396">
        <f>IF($M32="○",ROUNDDOWN(E38/6,1),IF($K32="○",ROUNDDOWN(E38/15,1),ROUNDDOWN(E38/20,1)))</f>
        <v>0</v>
      </c>
      <c r="H38" s="399"/>
      <c r="I38" s="402"/>
      <c r="J38" s="402"/>
      <c r="K38" s="402"/>
      <c r="L38" s="402"/>
      <c r="M38" s="402"/>
      <c r="N38" s="408"/>
      <c r="O38" s="404">
        <f>D38</f>
        <v>0</v>
      </c>
      <c r="P38" s="404">
        <f>G38</f>
        <v>0</v>
      </c>
      <c r="Q38" s="403"/>
      <c r="R38" s="408"/>
      <c r="S38" s="404">
        <f>IF($M32="○",ROUNDDOWN(B38/6,1),ROUNDDOWN(B38/15,1))</f>
        <v>0</v>
      </c>
      <c r="T38" s="404">
        <f>IF($M32="○",ROUNDDOWN(E38/6,1),ROUNDDOWN(E38/15,1))</f>
        <v>0</v>
      </c>
      <c r="U38" s="403"/>
      <c r="V38" s="408"/>
      <c r="W38" s="404">
        <f>D38</f>
        <v>0</v>
      </c>
      <c r="X38" s="404">
        <f>G38</f>
        <v>0</v>
      </c>
      <c r="Y38" s="403"/>
      <c r="Z38" s="404">
        <f>ROUNDDOWN(B38/20,1)</f>
        <v>0</v>
      </c>
      <c r="AA38" s="404">
        <f>ROUNDDOWN(E38/20,1)</f>
        <v>0</v>
      </c>
      <c r="AB38" s="403"/>
    </row>
    <row r="39" spans="1:28">
      <c r="A39" s="383" t="s">
        <v>320</v>
      </c>
      <c r="B39" s="387">
        <f>様式１!J16</f>
        <v>0</v>
      </c>
      <c r="C39" s="389">
        <f>様式１!J17</f>
        <v>0</v>
      </c>
      <c r="D39" s="396">
        <f>IF($K32="○",ROUNDDOWN((B39+C39)/15,1),ROUNDDOWN(B39/20,1)+ROUNDDOWN(C39/15,1))</f>
        <v>0</v>
      </c>
      <c r="E39" s="387">
        <f>様式１!S16</f>
        <v>0</v>
      </c>
      <c r="F39" s="389">
        <f>様式１!S17</f>
        <v>0</v>
      </c>
      <c r="G39" s="396">
        <f>IF($K32="○",ROUNDDOWN((E39+F39)/15,1),ROUNDDOWN(E39/20,1)+ROUNDDOWN(F39/15,1))</f>
        <v>0</v>
      </c>
      <c r="H39" s="399"/>
      <c r="I39" s="402"/>
      <c r="J39" s="402"/>
      <c r="K39" s="402"/>
      <c r="L39" s="402"/>
      <c r="M39" s="402"/>
      <c r="N39" s="408"/>
      <c r="O39" s="404">
        <f>IF($K32="○",ROUNDDOWN(B39/15,1),ROUNDDOWN(B39/20,1))</f>
        <v>0</v>
      </c>
      <c r="P39" s="404">
        <f>IF($K32="○",ROUNDDOWN(E39/15,1),ROUNDDOWN(E39/20,1))</f>
        <v>0</v>
      </c>
      <c r="Q39" s="403"/>
      <c r="R39" s="408"/>
      <c r="S39" s="404">
        <f>ROUNDDOWN((B39+C39)/15,1)</f>
        <v>0</v>
      </c>
      <c r="T39" s="404">
        <f>ROUNDDOWN((E39+F39)/15,1)</f>
        <v>0</v>
      </c>
      <c r="U39" s="403"/>
      <c r="V39" s="408"/>
      <c r="W39" s="404">
        <f>IF(K32="○",ROUNDDOWN(SUM(B39:C39)/15,1),ROUNDDOWN(SUM(B39:C39)/20,1))</f>
        <v>0</v>
      </c>
      <c r="X39" s="404">
        <f>IF(K32="○",ROUNDDOWN(SUM(E39:F39)/15,1),ROUNDDOWN(SUM(E39:F39)/20,1))</f>
        <v>0</v>
      </c>
      <c r="Y39" s="403"/>
      <c r="Z39" s="404">
        <f>ROUNDDOWN(SUM(B39:C39)/20,1)</f>
        <v>0</v>
      </c>
      <c r="AA39" s="404">
        <f>ROUNDDOWN(SUM(E39:F39)/20,1)</f>
        <v>0</v>
      </c>
      <c r="AB39" s="403"/>
    </row>
    <row r="40" spans="1:28">
      <c r="A40" s="383" t="s">
        <v>321</v>
      </c>
      <c r="B40" s="387">
        <f>様式１!K16</f>
        <v>0</v>
      </c>
      <c r="C40" s="389">
        <f>様式１!K17</f>
        <v>0</v>
      </c>
      <c r="D40" s="985">
        <f>IF($J32="○",ROUNDDOWN(SUM(B40,B41,C41)/25,1)+ROUNDDOWN(C40/20,1),ROUNDDOWN(SUM(B40,B41)/30,1)+ROUNDDOWN(C40/20,1)+ROUNDDOWN(C41/25,1))</f>
        <v>0</v>
      </c>
      <c r="E40" s="387">
        <f>様式１!T16</f>
        <v>0</v>
      </c>
      <c r="F40" s="389">
        <f>様式１!T17</f>
        <v>0</v>
      </c>
      <c r="G40" s="985">
        <f>IF($J32="○",ROUNDDOWN(SUM(E40,E41,F41)/25,1)+ROUNDDOWN(F40/20,1),ROUNDDOWN(SUM(E40,E41)/30,1)+ROUNDDOWN(F40/20,1)+ROUNDDOWN(F41/25,1))</f>
        <v>0</v>
      </c>
      <c r="H40" s="399"/>
      <c r="I40" s="402"/>
      <c r="J40" s="402"/>
      <c r="K40" s="402"/>
      <c r="L40" s="402"/>
      <c r="M40" s="402"/>
      <c r="N40" s="408"/>
      <c r="O40" s="983">
        <f>IF($J32="○",ROUNDDOWN(SUM(B40,B41)/25,1),ROUNDDOWN(SUM(B40,B41)/30,1))</f>
        <v>0</v>
      </c>
      <c r="P40" s="983">
        <f>IF($J32="○",ROUNDDOWN(SUM(E40,E41)/25,1),ROUNDDOWN(SUM(E40,E41)/30,1))</f>
        <v>0</v>
      </c>
      <c r="Q40" s="403"/>
      <c r="R40" s="408"/>
      <c r="S40" s="983">
        <f>ROUNDDOWN(SUM(B40,B41,C41)/25,1)+ROUNDDOWN(C40/20,1)</f>
        <v>0</v>
      </c>
      <c r="T40" s="983">
        <f>ROUNDDOWN(SUM(E40,E41,F41)/25,1)+ROUNDDOWN(F40/20,1)</f>
        <v>0</v>
      </c>
      <c r="U40" s="403"/>
      <c r="V40" s="408"/>
      <c r="W40" s="983">
        <f>IF(J32="○",ROUNDDOWN(SUM(B40:C41)/25,1),ROUNDDOWN(SUM(B40:C41)/30,1))</f>
        <v>0</v>
      </c>
      <c r="X40" s="983">
        <f>IF(J32="○",ROUNDDOWN(SUM(E40:F41)/25,1),ROUNDDOWN(SUM(E40:F41)/30,1))</f>
        <v>0</v>
      </c>
      <c r="Y40" s="403"/>
      <c r="Z40" s="983">
        <f>ROUNDDOWN(SUM(B40:C41)/30,1)</f>
        <v>0</v>
      </c>
      <c r="AA40" s="983">
        <f>ROUNDDOWN(SUM(E40:F41)/30,1)</f>
        <v>0</v>
      </c>
      <c r="AB40" s="403"/>
    </row>
    <row r="41" spans="1:28" ht="19.5" thickBot="1">
      <c r="A41" s="384" t="s">
        <v>322</v>
      </c>
      <c r="B41" s="390">
        <f>様式１!L16</f>
        <v>0</v>
      </c>
      <c r="C41" s="391">
        <f>様式１!L17</f>
        <v>0</v>
      </c>
      <c r="D41" s="986"/>
      <c r="E41" s="390">
        <f>様式１!U16</f>
        <v>0</v>
      </c>
      <c r="F41" s="391">
        <f>様式１!U17</f>
        <v>0</v>
      </c>
      <c r="G41" s="986"/>
      <c r="H41" s="400"/>
      <c r="I41" s="402"/>
      <c r="J41" s="402"/>
      <c r="K41" s="402"/>
      <c r="L41" s="402"/>
      <c r="M41" s="402"/>
      <c r="N41" s="408"/>
      <c r="O41" s="984"/>
      <c r="P41" s="984"/>
      <c r="Q41" s="403"/>
      <c r="R41" s="408"/>
      <c r="S41" s="984"/>
      <c r="T41" s="984"/>
      <c r="U41" s="403"/>
      <c r="V41" s="408"/>
      <c r="W41" s="984"/>
      <c r="X41" s="984"/>
      <c r="Y41" s="403"/>
      <c r="Z41" s="984"/>
      <c r="AA41" s="984"/>
      <c r="AB41" s="403"/>
    </row>
    <row r="42" spans="1:28">
      <c r="A42" s="989" t="str">
        <f>I42</f>
        <v>8月</v>
      </c>
      <c r="B42" s="992" t="s">
        <v>313</v>
      </c>
      <c r="C42" s="992"/>
      <c r="D42" s="992"/>
      <c r="E42" s="992" t="s">
        <v>314</v>
      </c>
      <c r="F42" s="992"/>
      <c r="G42" s="992"/>
      <c r="H42" s="987" t="s">
        <v>315</v>
      </c>
      <c r="I42" s="401" t="str">
        <f>加算等適用状況!A18</f>
        <v>8月</v>
      </c>
      <c r="J42" s="401" t="str">
        <f>加算等適用状況!G18</f>
        <v/>
      </c>
      <c r="K42" s="401" t="str">
        <f>加算等適用状況!H18</f>
        <v/>
      </c>
      <c r="L42" s="401" t="str">
        <f>加算等適用状況!I18</f>
        <v/>
      </c>
      <c r="M42" s="401" t="str">
        <f>加算等適用状況!J18</f>
        <v/>
      </c>
      <c r="N42" s="408"/>
      <c r="O42" s="401" t="s">
        <v>306</v>
      </c>
      <c r="P42" s="401" t="s">
        <v>307</v>
      </c>
      <c r="Q42" s="401" t="s">
        <v>141</v>
      </c>
      <c r="R42" s="408"/>
      <c r="S42" s="401" t="s">
        <v>306</v>
      </c>
      <c r="T42" s="401" t="s">
        <v>307</v>
      </c>
      <c r="U42" s="401" t="s">
        <v>141</v>
      </c>
      <c r="V42" s="408"/>
      <c r="W42" s="401" t="s">
        <v>306</v>
      </c>
      <c r="X42" s="401" t="s">
        <v>307</v>
      </c>
      <c r="Y42" s="401" t="s">
        <v>141</v>
      </c>
      <c r="Z42" s="401" t="s">
        <v>306</v>
      </c>
      <c r="AA42" s="401" t="s">
        <v>307</v>
      </c>
      <c r="AB42" s="401" t="s">
        <v>141</v>
      </c>
    </row>
    <row r="43" spans="1:28">
      <c r="A43" s="990"/>
      <c r="B43" s="993" t="s">
        <v>323</v>
      </c>
      <c r="C43" s="994"/>
      <c r="D43" s="381" t="s">
        <v>324</v>
      </c>
      <c r="E43" s="993" t="s">
        <v>323</v>
      </c>
      <c r="F43" s="994"/>
      <c r="G43" s="381" t="s">
        <v>324</v>
      </c>
      <c r="H43" s="988"/>
      <c r="I43" s="402"/>
      <c r="J43" s="402"/>
      <c r="K43" s="402"/>
      <c r="L43" s="402"/>
      <c r="M43" s="402"/>
      <c r="N43" s="408"/>
      <c r="O43" s="402"/>
      <c r="P43" s="402"/>
      <c r="Q43" s="402"/>
      <c r="R43" s="408"/>
      <c r="S43" s="402"/>
      <c r="T43" s="402"/>
      <c r="U43" s="402"/>
      <c r="V43" s="408"/>
      <c r="W43" s="402"/>
      <c r="X43" s="402"/>
      <c r="Y43" s="402"/>
      <c r="Z43" s="402"/>
      <c r="AA43" s="402"/>
      <c r="AB43" s="402"/>
    </row>
    <row r="44" spans="1:28" ht="19.5">
      <c r="A44" s="991"/>
      <c r="B44" s="385" t="s">
        <v>71</v>
      </c>
      <c r="C44" s="386" t="s">
        <v>325</v>
      </c>
      <c r="D44" s="415">
        <f>ROUND(SUM(D45:D51),0)</f>
        <v>0</v>
      </c>
      <c r="E44" s="385" t="s">
        <v>71</v>
      </c>
      <c r="F44" s="386" t="s">
        <v>325</v>
      </c>
      <c r="G44" s="415">
        <f>ROUND(SUM(G45:G51),0)</f>
        <v>0</v>
      </c>
      <c r="H44" s="414">
        <f>SUM(D44,G44)</f>
        <v>0</v>
      </c>
      <c r="I44" s="402"/>
      <c r="J44" s="402"/>
      <c r="K44" s="402"/>
      <c r="L44" s="402"/>
      <c r="M44" s="402"/>
      <c r="N44" s="408"/>
      <c r="O44" s="404">
        <f>ROUND(SUM(O45:O51),0)</f>
        <v>0</v>
      </c>
      <c r="P44" s="404">
        <f>ROUND(SUM(P45:P51),0)</f>
        <v>0</v>
      </c>
      <c r="Q44" s="413">
        <f>SUM(O44,P44)</f>
        <v>0</v>
      </c>
      <c r="R44" s="408"/>
      <c r="S44" s="404">
        <f>ROUND(SUM(S45:S51),0)</f>
        <v>0</v>
      </c>
      <c r="T44" s="404">
        <f>ROUND(SUM(T45:T51),0)</f>
        <v>0</v>
      </c>
      <c r="U44" s="413">
        <f>SUM(S44,T44)</f>
        <v>0</v>
      </c>
      <c r="V44" s="408"/>
      <c r="W44" s="404">
        <f>ROUND(SUM(W45:W51),0)</f>
        <v>0</v>
      </c>
      <c r="X44" s="404">
        <f>ROUND(SUM(X45:X51),0)</f>
        <v>0</v>
      </c>
      <c r="Y44" s="413">
        <f>SUM(W44,X44)</f>
        <v>0</v>
      </c>
      <c r="Z44" s="404">
        <f>ROUND(SUM(Z45:Z51),0)</f>
        <v>0</v>
      </c>
      <c r="AA44" s="404">
        <f>ROUND(SUM(AA45:AA51),0)</f>
        <v>0</v>
      </c>
      <c r="AB44" s="413">
        <f>SUM(Z44,AA44)</f>
        <v>0</v>
      </c>
    </row>
    <row r="45" spans="1:28">
      <c r="A45" s="382" t="s">
        <v>316</v>
      </c>
      <c r="B45" s="392"/>
      <c r="C45" s="394">
        <f>様式１!E21</f>
        <v>0</v>
      </c>
      <c r="D45" s="395">
        <f>ROUNDDOWN(C45/3,1)</f>
        <v>0</v>
      </c>
      <c r="E45" s="392"/>
      <c r="F45" s="394">
        <f>様式１!N21</f>
        <v>0</v>
      </c>
      <c r="G45" s="395">
        <f>ROUNDDOWN(F45/3,1)</f>
        <v>0</v>
      </c>
      <c r="H45" s="398"/>
      <c r="I45" s="402"/>
      <c r="J45" s="402"/>
      <c r="K45" s="402"/>
      <c r="L45" s="402"/>
      <c r="M45" s="402"/>
      <c r="N45" s="408"/>
      <c r="O45" s="403"/>
      <c r="P45" s="403"/>
      <c r="Q45" s="403"/>
      <c r="R45" s="408"/>
      <c r="S45" s="404">
        <f>D45</f>
        <v>0</v>
      </c>
      <c r="T45" s="404">
        <f>G45</f>
        <v>0</v>
      </c>
      <c r="U45" s="403"/>
      <c r="V45" s="408"/>
      <c r="W45" s="404">
        <f>D45</f>
        <v>0</v>
      </c>
      <c r="X45" s="404">
        <f>G45</f>
        <v>0</v>
      </c>
      <c r="Y45" s="403"/>
      <c r="Z45" s="404">
        <f>D45</f>
        <v>0</v>
      </c>
      <c r="AA45" s="404">
        <f>G45</f>
        <v>0</v>
      </c>
      <c r="AB45" s="403"/>
    </row>
    <row r="46" spans="1:28">
      <c r="A46" s="383" t="s">
        <v>317</v>
      </c>
      <c r="B46" s="393"/>
      <c r="C46" s="389">
        <f>様式１!F21</f>
        <v>0</v>
      </c>
      <c r="D46" s="396">
        <f>ROUNDDOWN(C46/5,1)</f>
        <v>0</v>
      </c>
      <c r="E46" s="393"/>
      <c r="F46" s="389">
        <f>様式１!O21</f>
        <v>0</v>
      </c>
      <c r="G46" s="396">
        <f>ROUNDDOWN(F46/5,1)</f>
        <v>0</v>
      </c>
      <c r="H46" s="399"/>
      <c r="I46" s="402"/>
      <c r="J46" s="402"/>
      <c r="K46" s="402"/>
      <c r="L46" s="402"/>
      <c r="M46" s="402"/>
      <c r="N46" s="408"/>
      <c r="O46" s="403"/>
      <c r="P46" s="403"/>
      <c r="Q46" s="403"/>
      <c r="R46" s="408"/>
      <c r="S46" s="404">
        <f>D46</f>
        <v>0</v>
      </c>
      <c r="T46" s="404">
        <f>G46</f>
        <v>0</v>
      </c>
      <c r="U46" s="403"/>
      <c r="V46" s="408"/>
      <c r="W46" s="983">
        <f>IF(L42="○",ROUNDDOWN(C46/5,1)+ROUNDDOWN(C47/6,1),ROUNDDOWN(SUM(C46:C47)/6,1))</f>
        <v>0</v>
      </c>
      <c r="X46" s="983">
        <f>IF(L42="○",ROUNDDOWN(F46/5,1)+ROUNDDOWN(F47/6,1),ROUNDDOWN(SUM(F46:F47)/6,1))</f>
        <v>0</v>
      </c>
      <c r="Y46" s="403"/>
      <c r="Z46" s="983">
        <f>ROUNDDOWN(SUM(C46:C47)/6,1)</f>
        <v>0</v>
      </c>
      <c r="AA46" s="983">
        <f>ROUNDDOWN(SUM(F46:F47)/6,1)</f>
        <v>0</v>
      </c>
      <c r="AB46" s="403"/>
    </row>
    <row r="47" spans="1:28">
      <c r="A47" s="383" t="s">
        <v>318</v>
      </c>
      <c r="B47" s="393"/>
      <c r="C47" s="389">
        <f>様式１!H21</f>
        <v>0</v>
      </c>
      <c r="D47" s="396">
        <f>ROUNDDOWN(C47/6,1)</f>
        <v>0</v>
      </c>
      <c r="E47" s="393"/>
      <c r="F47" s="389">
        <f>様式１!Q21</f>
        <v>0</v>
      </c>
      <c r="G47" s="396">
        <f>ROUNDDOWN(F47/6,1)</f>
        <v>0</v>
      </c>
      <c r="H47" s="399"/>
      <c r="I47" s="402"/>
      <c r="J47" s="402"/>
      <c r="K47" s="402"/>
      <c r="L47" s="402"/>
      <c r="M47" s="402"/>
      <c r="N47" s="408"/>
      <c r="O47" s="403"/>
      <c r="P47" s="403"/>
      <c r="Q47" s="403"/>
      <c r="R47" s="408"/>
      <c r="S47" s="404">
        <f>D47</f>
        <v>0</v>
      </c>
      <c r="T47" s="404">
        <f>G47</f>
        <v>0</v>
      </c>
      <c r="U47" s="403"/>
      <c r="V47" s="408"/>
      <c r="W47" s="984"/>
      <c r="X47" s="984"/>
      <c r="Y47" s="403"/>
      <c r="Z47" s="984"/>
      <c r="AA47" s="984"/>
      <c r="AB47" s="403"/>
    </row>
    <row r="48" spans="1:28">
      <c r="A48" s="383" t="s">
        <v>319</v>
      </c>
      <c r="B48" s="387">
        <f>様式１!I19</f>
        <v>0</v>
      </c>
      <c r="C48" s="388"/>
      <c r="D48" s="396">
        <f>IF($M42="○",ROUNDDOWN(B48/6,1),IF($K42="○",ROUNDDOWN(B48/15,1),ROUNDDOWN(B48/20,1)))</f>
        <v>0</v>
      </c>
      <c r="E48" s="387">
        <f>様式１!R19</f>
        <v>0</v>
      </c>
      <c r="F48" s="388"/>
      <c r="G48" s="396">
        <f>IF($M42="○",ROUNDDOWN(E48/6,1),IF($K42="○",ROUNDDOWN(E48/15,1),ROUNDDOWN(E48/20,1)))</f>
        <v>0</v>
      </c>
      <c r="H48" s="399"/>
      <c r="I48" s="402"/>
      <c r="J48" s="402"/>
      <c r="K48" s="402"/>
      <c r="L48" s="402"/>
      <c r="M48" s="402"/>
      <c r="N48" s="408"/>
      <c r="O48" s="404">
        <f>D48</f>
        <v>0</v>
      </c>
      <c r="P48" s="404">
        <f>G48</f>
        <v>0</v>
      </c>
      <c r="Q48" s="403"/>
      <c r="R48" s="408"/>
      <c r="S48" s="404">
        <f>IF($M42="○",ROUNDDOWN(B48/6,1),ROUNDDOWN(B48/15,1))</f>
        <v>0</v>
      </c>
      <c r="T48" s="404">
        <f>IF($M42="○",ROUNDDOWN(E48/6,1),ROUNDDOWN(E48/15,1))</f>
        <v>0</v>
      </c>
      <c r="U48" s="403"/>
      <c r="V48" s="408"/>
      <c r="W48" s="404">
        <f>D48</f>
        <v>0</v>
      </c>
      <c r="X48" s="404">
        <f>G48</f>
        <v>0</v>
      </c>
      <c r="Y48" s="403"/>
      <c r="Z48" s="404">
        <f>ROUNDDOWN(B48/20,1)</f>
        <v>0</v>
      </c>
      <c r="AA48" s="404">
        <f>ROUNDDOWN(E48/20,1)</f>
        <v>0</v>
      </c>
      <c r="AB48" s="403"/>
    </row>
    <row r="49" spans="1:28">
      <c r="A49" s="383" t="s">
        <v>320</v>
      </c>
      <c r="B49" s="387">
        <f>様式１!J19</f>
        <v>0</v>
      </c>
      <c r="C49" s="389">
        <f>様式１!J20</f>
        <v>0</v>
      </c>
      <c r="D49" s="396">
        <f>IF($K42="○",ROUNDDOWN((B49+C49)/15,1),ROUNDDOWN(B49/20,1)+ROUNDDOWN(C49/15,1))</f>
        <v>0</v>
      </c>
      <c r="E49" s="387">
        <f>様式１!S19</f>
        <v>0</v>
      </c>
      <c r="F49" s="389">
        <f>様式１!S20</f>
        <v>0</v>
      </c>
      <c r="G49" s="396">
        <f>IF($K42="○",ROUNDDOWN((E49+F49)/15,1),ROUNDDOWN(E49/20,1)+ROUNDDOWN(F49/15,1))</f>
        <v>0</v>
      </c>
      <c r="H49" s="399"/>
      <c r="I49" s="402"/>
      <c r="J49" s="402"/>
      <c r="K49" s="402"/>
      <c r="L49" s="402"/>
      <c r="M49" s="402"/>
      <c r="N49" s="408"/>
      <c r="O49" s="404">
        <f>IF($K42="○",ROUNDDOWN(B49/15,1),ROUNDDOWN(B49/20,1))</f>
        <v>0</v>
      </c>
      <c r="P49" s="404">
        <f>IF($K42="○",ROUNDDOWN(E49/15,1),ROUNDDOWN(E49/20,1))</f>
        <v>0</v>
      </c>
      <c r="Q49" s="403"/>
      <c r="R49" s="408"/>
      <c r="S49" s="404">
        <f>ROUNDDOWN((B49+C49)/15,1)</f>
        <v>0</v>
      </c>
      <c r="T49" s="404">
        <f>ROUNDDOWN((E49+F49)/15,1)</f>
        <v>0</v>
      </c>
      <c r="U49" s="403"/>
      <c r="V49" s="408"/>
      <c r="W49" s="404">
        <f>IF(K42="○",ROUNDDOWN(SUM(B49:C49)/15,1),ROUNDDOWN(SUM(B49:C49)/20,1))</f>
        <v>0</v>
      </c>
      <c r="X49" s="404">
        <f>IF(K42="○",ROUNDDOWN(SUM(E49:F49)/15,1),ROUNDDOWN(SUM(E49:F49)/20,1))</f>
        <v>0</v>
      </c>
      <c r="Y49" s="403"/>
      <c r="Z49" s="404">
        <f>ROUNDDOWN(SUM(B49:C49)/20,1)</f>
        <v>0</v>
      </c>
      <c r="AA49" s="404">
        <f>ROUNDDOWN(SUM(E49:F49)/20,1)</f>
        <v>0</v>
      </c>
      <c r="AB49" s="403"/>
    </row>
    <row r="50" spans="1:28">
      <c r="A50" s="383" t="s">
        <v>321</v>
      </c>
      <c r="B50" s="387">
        <f>様式１!K19</f>
        <v>0</v>
      </c>
      <c r="C50" s="389">
        <f>様式１!K20</f>
        <v>0</v>
      </c>
      <c r="D50" s="985">
        <f>IF($J42="○",ROUNDDOWN(SUM(B50,B51,C51)/25,1)+ROUNDDOWN(C50/20,1),ROUNDDOWN(SUM(B50,B51)/30,1)+ROUNDDOWN(C50/20,1)+ROUNDDOWN(C51/25,1))</f>
        <v>0</v>
      </c>
      <c r="E50" s="387">
        <f>様式１!T19</f>
        <v>0</v>
      </c>
      <c r="F50" s="389">
        <f>様式１!T20</f>
        <v>0</v>
      </c>
      <c r="G50" s="985">
        <f>IF($J42="○",ROUNDDOWN(SUM(E50,E51,F51)/25,1)+ROUNDDOWN(F50/20,1),ROUNDDOWN(SUM(E50,E51)/30,1)+ROUNDDOWN(F50/20,1)+ROUNDDOWN(F51/25,1))</f>
        <v>0</v>
      </c>
      <c r="H50" s="399"/>
      <c r="I50" s="402"/>
      <c r="J50" s="402"/>
      <c r="K50" s="402"/>
      <c r="L50" s="402"/>
      <c r="M50" s="402"/>
      <c r="N50" s="408"/>
      <c r="O50" s="983">
        <f>IF($J42="○",ROUNDDOWN(SUM(B50,B51)/25,1),ROUNDDOWN(SUM(B50,B51)/30,1))</f>
        <v>0</v>
      </c>
      <c r="P50" s="983">
        <f>IF($J42="○",ROUNDDOWN(SUM(E50,E51)/25,1),ROUNDDOWN(SUM(E50,E51)/30,1))</f>
        <v>0</v>
      </c>
      <c r="Q50" s="403"/>
      <c r="R50" s="408"/>
      <c r="S50" s="983">
        <f>ROUNDDOWN(SUM(B50,B51,C51)/25,1)+ROUNDDOWN(C50/20,1)</f>
        <v>0</v>
      </c>
      <c r="T50" s="983">
        <f>ROUNDDOWN(SUM(E50,E51,F51)/25,1)+ROUNDDOWN(F50/20,1)</f>
        <v>0</v>
      </c>
      <c r="U50" s="403"/>
      <c r="V50" s="408"/>
      <c r="W50" s="983">
        <f>IF(J42="○",ROUNDDOWN(SUM(B50:C51)/25,1),ROUNDDOWN(SUM(B50:C51)/30,1))</f>
        <v>0</v>
      </c>
      <c r="X50" s="983">
        <f>IF(J42="○",ROUNDDOWN(SUM(E50:F51)/25,1),ROUNDDOWN(SUM(E50:F51)/30,1))</f>
        <v>0</v>
      </c>
      <c r="Y50" s="403"/>
      <c r="Z50" s="983">
        <f>ROUNDDOWN(SUM(B50:C51)/30,1)</f>
        <v>0</v>
      </c>
      <c r="AA50" s="983">
        <f>ROUNDDOWN(SUM(E50:F51)/30,1)</f>
        <v>0</v>
      </c>
      <c r="AB50" s="403"/>
    </row>
    <row r="51" spans="1:28" ht="19.5" thickBot="1">
      <c r="A51" s="384" t="s">
        <v>322</v>
      </c>
      <c r="B51" s="390">
        <f>様式１!L19</f>
        <v>0</v>
      </c>
      <c r="C51" s="391">
        <f>様式１!L20</f>
        <v>0</v>
      </c>
      <c r="D51" s="986"/>
      <c r="E51" s="390">
        <f>様式１!U19</f>
        <v>0</v>
      </c>
      <c r="F51" s="391">
        <f>様式１!U20</f>
        <v>0</v>
      </c>
      <c r="G51" s="986"/>
      <c r="H51" s="400"/>
      <c r="I51" s="402"/>
      <c r="J51" s="402"/>
      <c r="K51" s="402"/>
      <c r="L51" s="402"/>
      <c r="M51" s="402"/>
      <c r="N51" s="408"/>
      <c r="O51" s="984"/>
      <c r="P51" s="984"/>
      <c r="Q51" s="403"/>
      <c r="R51" s="408"/>
      <c r="S51" s="984"/>
      <c r="T51" s="984"/>
      <c r="U51" s="403"/>
      <c r="V51" s="408"/>
      <c r="W51" s="984"/>
      <c r="X51" s="984"/>
      <c r="Y51" s="403"/>
      <c r="Z51" s="984"/>
      <c r="AA51" s="984"/>
      <c r="AB51" s="403"/>
    </row>
    <row r="52" spans="1:28">
      <c r="A52" s="989" t="str">
        <f>I52</f>
        <v>9月</v>
      </c>
      <c r="B52" s="992" t="s">
        <v>313</v>
      </c>
      <c r="C52" s="992"/>
      <c r="D52" s="992"/>
      <c r="E52" s="992" t="s">
        <v>314</v>
      </c>
      <c r="F52" s="992"/>
      <c r="G52" s="992"/>
      <c r="H52" s="987" t="s">
        <v>315</v>
      </c>
      <c r="I52" s="401" t="str">
        <f>加算等適用状況!A19</f>
        <v>9月</v>
      </c>
      <c r="J52" s="401" t="str">
        <f>加算等適用状況!G19</f>
        <v/>
      </c>
      <c r="K52" s="401" t="str">
        <f>加算等適用状況!H19</f>
        <v/>
      </c>
      <c r="L52" s="401" t="str">
        <f>加算等適用状況!I19</f>
        <v/>
      </c>
      <c r="M52" s="401" t="str">
        <f>加算等適用状況!J19</f>
        <v/>
      </c>
      <c r="N52" s="408"/>
      <c r="O52" s="401" t="s">
        <v>306</v>
      </c>
      <c r="P52" s="401" t="s">
        <v>307</v>
      </c>
      <c r="Q52" s="401" t="s">
        <v>141</v>
      </c>
      <c r="R52" s="408"/>
      <c r="S52" s="401" t="s">
        <v>306</v>
      </c>
      <c r="T52" s="401" t="s">
        <v>307</v>
      </c>
      <c r="U52" s="401" t="s">
        <v>141</v>
      </c>
      <c r="V52" s="408"/>
      <c r="W52" s="401" t="s">
        <v>306</v>
      </c>
      <c r="X52" s="401" t="s">
        <v>307</v>
      </c>
      <c r="Y52" s="401" t="s">
        <v>141</v>
      </c>
      <c r="Z52" s="401" t="s">
        <v>306</v>
      </c>
      <c r="AA52" s="401" t="s">
        <v>307</v>
      </c>
      <c r="AB52" s="401" t="s">
        <v>141</v>
      </c>
    </row>
    <row r="53" spans="1:28">
      <c r="A53" s="990"/>
      <c r="B53" s="993" t="s">
        <v>323</v>
      </c>
      <c r="C53" s="994"/>
      <c r="D53" s="381" t="s">
        <v>324</v>
      </c>
      <c r="E53" s="993" t="s">
        <v>323</v>
      </c>
      <c r="F53" s="994"/>
      <c r="G53" s="381" t="s">
        <v>324</v>
      </c>
      <c r="H53" s="988"/>
      <c r="I53" s="402"/>
      <c r="J53" s="402"/>
      <c r="K53" s="402"/>
      <c r="L53" s="402"/>
      <c r="M53" s="402"/>
      <c r="N53" s="408"/>
      <c r="O53" s="402"/>
      <c r="P53" s="402"/>
      <c r="Q53" s="402"/>
      <c r="R53" s="408"/>
      <c r="S53" s="402"/>
      <c r="T53" s="402"/>
      <c r="U53" s="402"/>
      <c r="V53" s="408"/>
      <c r="W53" s="402"/>
      <c r="X53" s="402"/>
      <c r="Y53" s="402"/>
      <c r="Z53" s="402"/>
      <c r="AA53" s="402"/>
      <c r="AB53" s="402"/>
    </row>
    <row r="54" spans="1:28" ht="19.5">
      <c r="A54" s="991"/>
      <c r="B54" s="385" t="s">
        <v>71</v>
      </c>
      <c r="C54" s="386" t="s">
        <v>325</v>
      </c>
      <c r="D54" s="415">
        <f>ROUND(SUM(D55:D61),0)</f>
        <v>0</v>
      </c>
      <c r="E54" s="385" t="s">
        <v>71</v>
      </c>
      <c r="F54" s="386" t="s">
        <v>325</v>
      </c>
      <c r="G54" s="415">
        <f>ROUND(SUM(G55:G61),0)</f>
        <v>0</v>
      </c>
      <c r="H54" s="414">
        <f>SUM(D54,G54)</f>
        <v>0</v>
      </c>
      <c r="I54" s="402"/>
      <c r="J54" s="402"/>
      <c r="K54" s="402"/>
      <c r="L54" s="402"/>
      <c r="M54" s="402"/>
      <c r="N54" s="408"/>
      <c r="O54" s="404">
        <f>ROUND(SUM(O55:O61),0)</f>
        <v>0</v>
      </c>
      <c r="P54" s="404">
        <f>ROUND(SUM(P55:P61),0)</f>
        <v>0</v>
      </c>
      <c r="Q54" s="413">
        <f>SUM(O54,P54)</f>
        <v>0</v>
      </c>
      <c r="R54" s="408"/>
      <c r="S54" s="404">
        <f>ROUND(SUM(S55:S61),0)</f>
        <v>0</v>
      </c>
      <c r="T54" s="404">
        <f>ROUND(SUM(T55:T61),0)</f>
        <v>0</v>
      </c>
      <c r="U54" s="413">
        <f>SUM(S54,T54)</f>
        <v>0</v>
      </c>
      <c r="V54" s="408"/>
      <c r="W54" s="404">
        <f>ROUND(SUM(W55:W61),0)</f>
        <v>0</v>
      </c>
      <c r="X54" s="404">
        <f>ROUND(SUM(X55:X61),0)</f>
        <v>0</v>
      </c>
      <c r="Y54" s="413">
        <f>SUM(W54,X54)</f>
        <v>0</v>
      </c>
      <c r="Z54" s="404">
        <f>ROUND(SUM(Z55:Z61),0)</f>
        <v>0</v>
      </c>
      <c r="AA54" s="404">
        <f>ROUND(SUM(AA55:AA61),0)</f>
        <v>0</v>
      </c>
      <c r="AB54" s="413">
        <f>SUM(Z54,AA54)</f>
        <v>0</v>
      </c>
    </row>
    <row r="55" spans="1:28">
      <c r="A55" s="382" t="s">
        <v>316</v>
      </c>
      <c r="B55" s="392"/>
      <c r="C55" s="394">
        <f>様式１!E24</f>
        <v>0</v>
      </c>
      <c r="D55" s="395">
        <f>ROUNDDOWN(C55/3,1)</f>
        <v>0</v>
      </c>
      <c r="E55" s="392"/>
      <c r="F55" s="394">
        <f>様式１!N24</f>
        <v>0</v>
      </c>
      <c r="G55" s="395">
        <f>ROUNDDOWN(F55/3,1)</f>
        <v>0</v>
      </c>
      <c r="H55" s="398"/>
      <c r="I55" s="402"/>
      <c r="J55" s="402"/>
      <c r="K55" s="402"/>
      <c r="L55" s="402"/>
      <c r="M55" s="402"/>
      <c r="N55" s="408"/>
      <c r="O55" s="403"/>
      <c r="P55" s="403"/>
      <c r="Q55" s="403"/>
      <c r="R55" s="408"/>
      <c r="S55" s="404">
        <f>D55</f>
        <v>0</v>
      </c>
      <c r="T55" s="404">
        <f>G55</f>
        <v>0</v>
      </c>
      <c r="U55" s="403"/>
      <c r="V55" s="408"/>
      <c r="W55" s="404">
        <f>D55</f>
        <v>0</v>
      </c>
      <c r="X55" s="404">
        <f>G55</f>
        <v>0</v>
      </c>
      <c r="Y55" s="403"/>
      <c r="Z55" s="404">
        <f>D55</f>
        <v>0</v>
      </c>
      <c r="AA55" s="404">
        <f>G55</f>
        <v>0</v>
      </c>
      <c r="AB55" s="403"/>
    </row>
    <row r="56" spans="1:28">
      <c r="A56" s="383" t="s">
        <v>317</v>
      </c>
      <c r="B56" s="393"/>
      <c r="C56" s="389">
        <f>様式１!F24</f>
        <v>0</v>
      </c>
      <c r="D56" s="396">
        <f>ROUNDDOWN(C56/5,1)</f>
        <v>0</v>
      </c>
      <c r="E56" s="393"/>
      <c r="F56" s="389">
        <f>様式１!O24</f>
        <v>0</v>
      </c>
      <c r="G56" s="396">
        <f>ROUNDDOWN(F56/5,1)</f>
        <v>0</v>
      </c>
      <c r="H56" s="399"/>
      <c r="I56" s="402"/>
      <c r="J56" s="402"/>
      <c r="K56" s="402"/>
      <c r="L56" s="402"/>
      <c r="M56" s="402"/>
      <c r="N56" s="408"/>
      <c r="O56" s="403"/>
      <c r="P56" s="403"/>
      <c r="Q56" s="403"/>
      <c r="R56" s="408"/>
      <c r="S56" s="404">
        <f>D56</f>
        <v>0</v>
      </c>
      <c r="T56" s="404">
        <f>G56</f>
        <v>0</v>
      </c>
      <c r="U56" s="403"/>
      <c r="V56" s="408"/>
      <c r="W56" s="983">
        <f>IF(L52="○",ROUNDDOWN(C56/5,1)+ROUNDDOWN(C57/6,1),ROUNDDOWN(SUM(C56:C57)/6,1))</f>
        <v>0</v>
      </c>
      <c r="X56" s="983">
        <f>IF(L52="○",ROUNDDOWN(F56/5,1)+ROUNDDOWN(F57/6,1),ROUNDDOWN(SUM(F56:F57)/6,1))</f>
        <v>0</v>
      </c>
      <c r="Y56" s="403"/>
      <c r="Z56" s="983">
        <f>ROUNDDOWN(SUM(C56:C57)/6,1)</f>
        <v>0</v>
      </c>
      <c r="AA56" s="983">
        <f>ROUNDDOWN(SUM(F56:F57)/6,1)</f>
        <v>0</v>
      </c>
      <c r="AB56" s="403"/>
    </row>
    <row r="57" spans="1:28">
      <c r="A57" s="383" t="s">
        <v>318</v>
      </c>
      <c r="B57" s="393"/>
      <c r="C57" s="389">
        <f>様式１!H24</f>
        <v>0</v>
      </c>
      <c r="D57" s="396">
        <f>ROUNDDOWN(C57/6,1)</f>
        <v>0</v>
      </c>
      <c r="E57" s="393"/>
      <c r="F57" s="389">
        <f>様式１!Q24</f>
        <v>0</v>
      </c>
      <c r="G57" s="396">
        <f>ROUNDDOWN(F57/6,1)</f>
        <v>0</v>
      </c>
      <c r="H57" s="399"/>
      <c r="I57" s="402"/>
      <c r="J57" s="402"/>
      <c r="K57" s="402"/>
      <c r="L57" s="402"/>
      <c r="M57" s="402"/>
      <c r="N57" s="408"/>
      <c r="O57" s="403"/>
      <c r="P57" s="403"/>
      <c r="Q57" s="403"/>
      <c r="R57" s="408"/>
      <c r="S57" s="404">
        <f>D57</f>
        <v>0</v>
      </c>
      <c r="T57" s="404">
        <f>G57</f>
        <v>0</v>
      </c>
      <c r="U57" s="403"/>
      <c r="V57" s="408"/>
      <c r="W57" s="984"/>
      <c r="X57" s="984"/>
      <c r="Y57" s="403"/>
      <c r="Z57" s="984"/>
      <c r="AA57" s="984"/>
      <c r="AB57" s="403"/>
    </row>
    <row r="58" spans="1:28">
      <c r="A58" s="383" t="s">
        <v>319</v>
      </c>
      <c r="B58" s="387">
        <f>様式１!I22</f>
        <v>0</v>
      </c>
      <c r="C58" s="388"/>
      <c r="D58" s="396">
        <f>IF($M52="○",ROUNDDOWN(B58/6,1),IF($K52="○",ROUNDDOWN(B58/15,1),ROUNDDOWN(B58/20,1)))</f>
        <v>0</v>
      </c>
      <c r="E58" s="387">
        <f>様式１!R22</f>
        <v>0</v>
      </c>
      <c r="F58" s="388"/>
      <c r="G58" s="396">
        <f>IF($M52="○",ROUNDDOWN(E58/6,1),IF($K52="○",ROUNDDOWN(E58/15,1),ROUNDDOWN(E58/20,1)))</f>
        <v>0</v>
      </c>
      <c r="H58" s="399"/>
      <c r="I58" s="402"/>
      <c r="J58" s="402"/>
      <c r="K58" s="402"/>
      <c r="L58" s="402"/>
      <c r="M58" s="402"/>
      <c r="N58" s="408"/>
      <c r="O58" s="404">
        <f>D58</f>
        <v>0</v>
      </c>
      <c r="P58" s="404">
        <f>G58</f>
        <v>0</v>
      </c>
      <c r="Q58" s="403"/>
      <c r="R58" s="408"/>
      <c r="S58" s="404">
        <f>IF($M52="○",ROUNDDOWN(B58/6,1),ROUNDDOWN(B58/15,1))</f>
        <v>0</v>
      </c>
      <c r="T58" s="404">
        <f>IF($M52="○",ROUNDDOWN(E58/6,1),ROUNDDOWN(E58/15,1))</f>
        <v>0</v>
      </c>
      <c r="U58" s="403"/>
      <c r="V58" s="408"/>
      <c r="W58" s="404">
        <f>D58</f>
        <v>0</v>
      </c>
      <c r="X58" s="404">
        <f>G58</f>
        <v>0</v>
      </c>
      <c r="Y58" s="403"/>
      <c r="Z58" s="404">
        <f>ROUNDDOWN(B58/20,1)</f>
        <v>0</v>
      </c>
      <c r="AA58" s="404">
        <f>ROUNDDOWN(E58/20,1)</f>
        <v>0</v>
      </c>
      <c r="AB58" s="403"/>
    </row>
    <row r="59" spans="1:28">
      <c r="A59" s="383" t="s">
        <v>320</v>
      </c>
      <c r="B59" s="387">
        <f>様式１!J22</f>
        <v>0</v>
      </c>
      <c r="C59" s="389">
        <f>様式１!J23</f>
        <v>0</v>
      </c>
      <c r="D59" s="396">
        <f>IF($K52="○",ROUNDDOWN((B59+C59)/15,1),ROUNDDOWN(B59/20,1)+ROUNDDOWN(C59/15,1))</f>
        <v>0</v>
      </c>
      <c r="E59" s="387">
        <f>様式１!S22</f>
        <v>0</v>
      </c>
      <c r="F59" s="389">
        <f>様式１!S23</f>
        <v>0</v>
      </c>
      <c r="G59" s="396">
        <f>IF($K52="○",ROUNDDOWN((E59+F59)/15,1),ROUNDDOWN(E59/20,1)+ROUNDDOWN(F59/15,1))</f>
        <v>0</v>
      </c>
      <c r="H59" s="399"/>
      <c r="I59" s="402"/>
      <c r="J59" s="402"/>
      <c r="K59" s="402"/>
      <c r="L59" s="402"/>
      <c r="M59" s="402"/>
      <c r="N59" s="408"/>
      <c r="O59" s="404">
        <f>IF($K52="○",ROUNDDOWN(B59/15,1),ROUNDDOWN(B59/20,1))</f>
        <v>0</v>
      </c>
      <c r="P59" s="404">
        <f>IF($K52="○",ROUNDDOWN(E59/15,1),ROUNDDOWN(E59/20,1))</f>
        <v>0</v>
      </c>
      <c r="Q59" s="403"/>
      <c r="R59" s="408"/>
      <c r="S59" s="404">
        <f>ROUNDDOWN((B59+C59)/15,1)</f>
        <v>0</v>
      </c>
      <c r="T59" s="404">
        <f>ROUNDDOWN((E59+F59)/15,1)</f>
        <v>0</v>
      </c>
      <c r="U59" s="403"/>
      <c r="V59" s="408"/>
      <c r="W59" s="404">
        <f>IF(K52="○",ROUNDDOWN(SUM(B59:C59)/15,1),ROUNDDOWN(SUM(B59:C59)/20,1))</f>
        <v>0</v>
      </c>
      <c r="X59" s="404">
        <f>IF(K52="○",ROUNDDOWN(SUM(E59:F59)/15,1),ROUNDDOWN(SUM(E59:F59)/20,1))</f>
        <v>0</v>
      </c>
      <c r="Y59" s="403"/>
      <c r="Z59" s="404">
        <f>ROUNDDOWN(SUM(B59:C59)/20,1)</f>
        <v>0</v>
      </c>
      <c r="AA59" s="404">
        <f>ROUNDDOWN(SUM(E59:F59)/20,1)</f>
        <v>0</v>
      </c>
      <c r="AB59" s="403"/>
    </row>
    <row r="60" spans="1:28">
      <c r="A60" s="383" t="s">
        <v>321</v>
      </c>
      <c r="B60" s="387">
        <f>様式１!K22</f>
        <v>0</v>
      </c>
      <c r="C60" s="389">
        <f>様式１!K23</f>
        <v>0</v>
      </c>
      <c r="D60" s="985">
        <f>IF($J52="○",ROUNDDOWN(SUM(B60,B61,C61)/25,1)+ROUNDDOWN(C60/20,1),ROUNDDOWN(SUM(B60,B61)/30,1)+ROUNDDOWN(C60/20,1)+ROUNDDOWN(C61/25,1))</f>
        <v>0</v>
      </c>
      <c r="E60" s="387">
        <f>様式１!T22</f>
        <v>0</v>
      </c>
      <c r="F60" s="389">
        <f>様式１!T23</f>
        <v>0</v>
      </c>
      <c r="G60" s="985">
        <f>IF($J52="○",ROUNDDOWN(SUM(E60,E61,F61)/25,1)+ROUNDDOWN(F60/20,1),ROUNDDOWN(SUM(E60,E61)/30,1)+ROUNDDOWN(F60/20,1)+ROUNDDOWN(F61/25,1))</f>
        <v>0</v>
      </c>
      <c r="H60" s="399"/>
      <c r="I60" s="402"/>
      <c r="J60" s="402"/>
      <c r="K60" s="402"/>
      <c r="L60" s="402"/>
      <c r="M60" s="402"/>
      <c r="N60" s="408"/>
      <c r="O60" s="404">
        <f>IF($J52="○",ROUNDDOWN(B60/25,1),ROUNDDOWN(B60/30,1))</f>
        <v>0</v>
      </c>
      <c r="P60" s="404">
        <f>IF($J52="○",ROUNDDOWN(E60/25,1),ROUNDDOWN(E60/30,1))</f>
        <v>0</v>
      </c>
      <c r="Q60" s="403"/>
      <c r="R60" s="408"/>
      <c r="S60" s="404">
        <f>ROUNDDOWN(B60/25,1)+ROUNDDOWN(C60/20,1)</f>
        <v>0</v>
      </c>
      <c r="T60" s="404">
        <f>ROUNDDOWN(E60/25,1)+ROUNDDOWN(F60/20,1)</f>
        <v>0</v>
      </c>
      <c r="U60" s="403"/>
      <c r="V60" s="408"/>
      <c r="W60" s="983">
        <f>IF(J52="○",ROUNDDOWN(SUM(B60:C61)/25,1),ROUNDDOWN(SUM(B60:C61)/30,1))</f>
        <v>0</v>
      </c>
      <c r="X60" s="983">
        <f>IF(J52="○",ROUNDDOWN(SUM(E60:F61)/25,1),ROUNDDOWN(SUM(E60:F61)/30,1))</f>
        <v>0</v>
      </c>
      <c r="Y60" s="403"/>
      <c r="Z60" s="983">
        <f>ROUNDDOWN(SUM(B60:C61)/30,1)</f>
        <v>0</v>
      </c>
      <c r="AA60" s="983">
        <f>ROUNDDOWN(SUM(E60:F61)/30,1)</f>
        <v>0</v>
      </c>
      <c r="AB60" s="403"/>
    </row>
    <row r="61" spans="1:28" ht="19.5" thickBot="1">
      <c r="A61" s="384" t="s">
        <v>322</v>
      </c>
      <c r="B61" s="390">
        <f>様式１!L22</f>
        <v>0</v>
      </c>
      <c r="C61" s="391">
        <f>様式１!L23</f>
        <v>0</v>
      </c>
      <c r="D61" s="986"/>
      <c r="E61" s="390">
        <f>様式１!U22</f>
        <v>0</v>
      </c>
      <c r="F61" s="391">
        <f>様式１!U23</f>
        <v>0</v>
      </c>
      <c r="G61" s="986"/>
      <c r="H61" s="400"/>
      <c r="I61" s="402"/>
      <c r="J61" s="402"/>
      <c r="K61" s="402"/>
      <c r="L61" s="402"/>
      <c r="M61" s="402"/>
      <c r="N61" s="408"/>
      <c r="O61" s="404">
        <f>IF($J52="○",ROUNDDOWN(B61/25,1),ROUNDDOWN(B61/30,1))</f>
        <v>0</v>
      </c>
      <c r="P61" s="404">
        <f>IF($J52="○",ROUNDDOWN(E61/25,1),ROUNDDOWN(E61/30,1))</f>
        <v>0</v>
      </c>
      <c r="Q61" s="403"/>
      <c r="R61" s="408"/>
      <c r="S61" s="404">
        <f>ROUNDDOWN((B61+C61)/25,1)</f>
        <v>0</v>
      </c>
      <c r="T61" s="404">
        <f>ROUNDDOWN((E61+F61)/25,1)</f>
        <v>0</v>
      </c>
      <c r="U61" s="403"/>
      <c r="V61" s="408"/>
      <c r="W61" s="984"/>
      <c r="X61" s="984"/>
      <c r="Y61" s="403"/>
      <c r="Z61" s="984"/>
      <c r="AA61" s="984"/>
      <c r="AB61" s="403"/>
    </row>
    <row r="62" spans="1:28">
      <c r="A62" s="989" t="str">
        <f>I62</f>
        <v>10月</v>
      </c>
      <c r="B62" s="992" t="s">
        <v>313</v>
      </c>
      <c r="C62" s="992"/>
      <c r="D62" s="992"/>
      <c r="E62" s="992" t="s">
        <v>314</v>
      </c>
      <c r="F62" s="992"/>
      <c r="G62" s="992"/>
      <c r="H62" s="987" t="s">
        <v>315</v>
      </c>
      <c r="I62" s="401" t="str">
        <f>加算等適用状況!A20</f>
        <v>10月</v>
      </c>
      <c r="J62" s="401" t="str">
        <f>加算等適用状況!G20</f>
        <v/>
      </c>
      <c r="K62" s="401" t="str">
        <f>加算等適用状況!H20</f>
        <v/>
      </c>
      <c r="L62" s="401" t="str">
        <f>加算等適用状況!I20</f>
        <v/>
      </c>
      <c r="M62" s="401" t="str">
        <f>加算等適用状況!J20</f>
        <v/>
      </c>
      <c r="N62" s="408"/>
      <c r="O62" s="401" t="s">
        <v>306</v>
      </c>
      <c r="P62" s="401" t="s">
        <v>307</v>
      </c>
      <c r="Q62" s="401" t="s">
        <v>141</v>
      </c>
      <c r="R62" s="408"/>
      <c r="S62" s="401" t="s">
        <v>306</v>
      </c>
      <c r="T62" s="401" t="s">
        <v>307</v>
      </c>
      <c r="U62" s="401" t="s">
        <v>141</v>
      </c>
      <c r="V62" s="408"/>
      <c r="W62" s="401" t="s">
        <v>306</v>
      </c>
      <c r="X62" s="401" t="s">
        <v>307</v>
      </c>
      <c r="Y62" s="401" t="s">
        <v>141</v>
      </c>
      <c r="Z62" s="401" t="s">
        <v>306</v>
      </c>
      <c r="AA62" s="401" t="s">
        <v>307</v>
      </c>
      <c r="AB62" s="401" t="s">
        <v>141</v>
      </c>
    </row>
    <row r="63" spans="1:28">
      <c r="A63" s="990"/>
      <c r="B63" s="993" t="s">
        <v>323</v>
      </c>
      <c r="C63" s="994"/>
      <c r="D63" s="381" t="s">
        <v>324</v>
      </c>
      <c r="E63" s="993" t="s">
        <v>323</v>
      </c>
      <c r="F63" s="994"/>
      <c r="G63" s="381" t="s">
        <v>324</v>
      </c>
      <c r="H63" s="988"/>
      <c r="I63" s="402"/>
      <c r="J63" s="402"/>
      <c r="K63" s="402"/>
      <c r="L63" s="402"/>
      <c r="M63" s="402"/>
      <c r="N63" s="408"/>
      <c r="O63" s="402"/>
      <c r="P63" s="402"/>
      <c r="Q63" s="402"/>
      <c r="R63" s="408"/>
      <c r="S63" s="402"/>
      <c r="T63" s="402"/>
      <c r="U63" s="402"/>
      <c r="V63" s="408"/>
      <c r="W63" s="402"/>
      <c r="X63" s="402"/>
      <c r="Y63" s="402"/>
      <c r="Z63" s="402"/>
      <c r="AA63" s="402"/>
      <c r="AB63" s="402"/>
    </row>
    <row r="64" spans="1:28" ht="19.5">
      <c r="A64" s="991"/>
      <c r="B64" s="385" t="s">
        <v>71</v>
      </c>
      <c r="C64" s="386" t="s">
        <v>325</v>
      </c>
      <c r="D64" s="415">
        <f>ROUND(SUM(D65:D71),0)</f>
        <v>0</v>
      </c>
      <c r="E64" s="385" t="s">
        <v>71</v>
      </c>
      <c r="F64" s="386" t="s">
        <v>325</v>
      </c>
      <c r="G64" s="415">
        <f>ROUND(SUM(G65:G71),0)</f>
        <v>0</v>
      </c>
      <c r="H64" s="414">
        <f>SUM(D64,G64)</f>
        <v>0</v>
      </c>
      <c r="I64" s="402"/>
      <c r="J64" s="402"/>
      <c r="K64" s="402"/>
      <c r="L64" s="402"/>
      <c r="M64" s="402"/>
      <c r="N64" s="408"/>
      <c r="O64" s="404">
        <f>ROUND(SUM(O65:O71),0)</f>
        <v>0</v>
      </c>
      <c r="P64" s="404">
        <f>ROUND(SUM(P65:P71),0)</f>
        <v>0</v>
      </c>
      <c r="Q64" s="413">
        <f>SUM(O64,P64)</f>
        <v>0</v>
      </c>
      <c r="R64" s="408"/>
      <c r="S64" s="404">
        <f>ROUND(SUM(S65:S71),0)</f>
        <v>0</v>
      </c>
      <c r="T64" s="404">
        <f>ROUND(SUM(T65:T71),0)</f>
        <v>0</v>
      </c>
      <c r="U64" s="413">
        <f>SUM(S64,T64)</f>
        <v>0</v>
      </c>
      <c r="V64" s="408"/>
      <c r="W64" s="404">
        <f>ROUND(SUM(W65:W71),0)</f>
        <v>0</v>
      </c>
      <c r="X64" s="404">
        <f>ROUND(SUM(X65:X71),0)</f>
        <v>0</v>
      </c>
      <c r="Y64" s="413">
        <f>SUM(W64,X64)</f>
        <v>0</v>
      </c>
      <c r="Z64" s="404">
        <f>ROUND(SUM(Z65:Z71),0)</f>
        <v>0</v>
      </c>
      <c r="AA64" s="404">
        <f>ROUND(SUM(AA65:AA71),0)</f>
        <v>0</v>
      </c>
      <c r="AB64" s="413">
        <f>SUM(Z64,AA64)</f>
        <v>0</v>
      </c>
    </row>
    <row r="65" spans="1:28">
      <c r="A65" s="382" t="s">
        <v>316</v>
      </c>
      <c r="B65" s="392"/>
      <c r="C65" s="394">
        <f>様式１!E27</f>
        <v>0</v>
      </c>
      <c r="D65" s="395">
        <f>ROUNDDOWN(C65/3,1)</f>
        <v>0</v>
      </c>
      <c r="E65" s="392"/>
      <c r="F65" s="394">
        <f>様式１!N27</f>
        <v>0</v>
      </c>
      <c r="G65" s="395">
        <f>ROUNDDOWN(F65/3,1)</f>
        <v>0</v>
      </c>
      <c r="H65" s="398"/>
      <c r="I65" s="402"/>
      <c r="J65" s="402"/>
      <c r="K65" s="402"/>
      <c r="L65" s="402"/>
      <c r="M65" s="402"/>
      <c r="N65" s="408"/>
      <c r="O65" s="403"/>
      <c r="P65" s="403"/>
      <c r="Q65" s="403"/>
      <c r="R65" s="408"/>
      <c r="S65" s="404">
        <f>D65</f>
        <v>0</v>
      </c>
      <c r="T65" s="404">
        <f>G65</f>
        <v>0</v>
      </c>
      <c r="U65" s="403"/>
      <c r="V65" s="408"/>
      <c r="W65" s="404">
        <f>D65</f>
        <v>0</v>
      </c>
      <c r="X65" s="404">
        <f>G65</f>
        <v>0</v>
      </c>
      <c r="Y65" s="403"/>
      <c r="Z65" s="404">
        <f>D65</f>
        <v>0</v>
      </c>
      <c r="AA65" s="404">
        <f>G65</f>
        <v>0</v>
      </c>
      <c r="AB65" s="403"/>
    </row>
    <row r="66" spans="1:28">
      <c r="A66" s="383" t="s">
        <v>317</v>
      </c>
      <c r="B66" s="393"/>
      <c r="C66" s="389">
        <f>様式１!F27</f>
        <v>0</v>
      </c>
      <c r="D66" s="396">
        <f>ROUNDDOWN(C66/5,1)</f>
        <v>0</v>
      </c>
      <c r="E66" s="393"/>
      <c r="F66" s="389">
        <f>様式１!O27</f>
        <v>0</v>
      </c>
      <c r="G66" s="396">
        <f>ROUNDDOWN(F66/5,1)</f>
        <v>0</v>
      </c>
      <c r="H66" s="399"/>
      <c r="I66" s="402"/>
      <c r="J66" s="402"/>
      <c r="K66" s="402"/>
      <c r="L66" s="402"/>
      <c r="M66" s="402"/>
      <c r="N66" s="408"/>
      <c r="O66" s="403"/>
      <c r="P66" s="403"/>
      <c r="Q66" s="403"/>
      <c r="R66" s="408"/>
      <c r="S66" s="404">
        <f>D66</f>
        <v>0</v>
      </c>
      <c r="T66" s="404">
        <f>G66</f>
        <v>0</v>
      </c>
      <c r="U66" s="403"/>
      <c r="V66" s="408"/>
      <c r="W66" s="983">
        <f>IF(L62="○",ROUNDDOWN(C66/5,1)+ROUNDDOWN(C67/6,1),ROUNDDOWN(SUM(C66:C67)/6,1))</f>
        <v>0</v>
      </c>
      <c r="X66" s="983">
        <f>IF(L62="○",ROUNDDOWN(F66/5,1)+ROUNDDOWN(F67/6,1),ROUNDDOWN(SUM(F66:F67)/6,1))</f>
        <v>0</v>
      </c>
      <c r="Y66" s="403"/>
      <c r="Z66" s="983">
        <f>ROUNDDOWN(SUM(C66:C67)/6,1)</f>
        <v>0</v>
      </c>
      <c r="AA66" s="983">
        <f>ROUNDDOWN(SUM(F66:F67)/6,1)</f>
        <v>0</v>
      </c>
      <c r="AB66" s="403"/>
    </row>
    <row r="67" spans="1:28">
      <c r="A67" s="383" t="s">
        <v>318</v>
      </c>
      <c r="B67" s="393"/>
      <c r="C67" s="389">
        <f>様式１!H27</f>
        <v>0</v>
      </c>
      <c r="D67" s="396">
        <f>ROUNDDOWN(C67/6,1)</f>
        <v>0</v>
      </c>
      <c r="E67" s="393"/>
      <c r="F67" s="389">
        <f>様式１!Q27</f>
        <v>0</v>
      </c>
      <c r="G67" s="396">
        <f>ROUNDDOWN(F67/6,1)</f>
        <v>0</v>
      </c>
      <c r="H67" s="399"/>
      <c r="I67" s="402"/>
      <c r="J67" s="402"/>
      <c r="K67" s="402"/>
      <c r="L67" s="402"/>
      <c r="M67" s="402"/>
      <c r="N67" s="408"/>
      <c r="O67" s="403"/>
      <c r="P67" s="403"/>
      <c r="Q67" s="403"/>
      <c r="R67" s="408"/>
      <c r="S67" s="404">
        <f>D67</f>
        <v>0</v>
      </c>
      <c r="T67" s="404">
        <f>G67</f>
        <v>0</v>
      </c>
      <c r="U67" s="403"/>
      <c r="V67" s="408"/>
      <c r="W67" s="984"/>
      <c r="X67" s="984"/>
      <c r="Y67" s="403"/>
      <c r="Z67" s="984"/>
      <c r="AA67" s="984"/>
      <c r="AB67" s="403"/>
    </row>
    <row r="68" spans="1:28">
      <c r="A68" s="383" t="s">
        <v>319</v>
      </c>
      <c r="B68" s="387">
        <f>様式１!I25</f>
        <v>0</v>
      </c>
      <c r="C68" s="388"/>
      <c r="D68" s="396">
        <f>IF($M62="○",ROUNDDOWN(B68/6,1),IF($K62="○",ROUNDDOWN(B68/15,1),ROUNDDOWN(B68/20,1)))</f>
        <v>0</v>
      </c>
      <c r="E68" s="387">
        <f>様式１!R25</f>
        <v>0</v>
      </c>
      <c r="F68" s="388"/>
      <c r="G68" s="396">
        <f>IF($M62="○",ROUNDDOWN(E68/6,1),IF($K62="○",ROUNDDOWN(E68/15,1),ROUNDDOWN(E68/20,1)))</f>
        <v>0</v>
      </c>
      <c r="H68" s="399"/>
      <c r="I68" s="402"/>
      <c r="J68" s="402"/>
      <c r="K68" s="402"/>
      <c r="L68" s="402"/>
      <c r="M68" s="402"/>
      <c r="N68" s="408"/>
      <c r="O68" s="404">
        <f>D68</f>
        <v>0</v>
      </c>
      <c r="P68" s="404">
        <f>G68</f>
        <v>0</v>
      </c>
      <c r="Q68" s="403"/>
      <c r="R68" s="408"/>
      <c r="S68" s="404">
        <f>IF($M62="○",ROUNDDOWN(B68/6,1),ROUNDDOWN(B68/15,1))</f>
        <v>0</v>
      </c>
      <c r="T68" s="404">
        <f>IF($M62="○",ROUNDDOWN(E68/6,1),ROUNDDOWN(E68/15,1))</f>
        <v>0</v>
      </c>
      <c r="U68" s="403"/>
      <c r="V68" s="408"/>
      <c r="W68" s="404">
        <f>D68</f>
        <v>0</v>
      </c>
      <c r="X68" s="404">
        <f>G68</f>
        <v>0</v>
      </c>
      <c r="Y68" s="403"/>
      <c r="Z68" s="404">
        <f>ROUNDDOWN(B68/20,1)</f>
        <v>0</v>
      </c>
      <c r="AA68" s="404">
        <f>ROUNDDOWN(E68/20,1)</f>
        <v>0</v>
      </c>
      <c r="AB68" s="403"/>
    </row>
    <row r="69" spans="1:28">
      <c r="A69" s="383" t="s">
        <v>320</v>
      </c>
      <c r="B69" s="387">
        <f>様式１!J25</f>
        <v>0</v>
      </c>
      <c r="C69" s="389">
        <f>様式１!J26</f>
        <v>0</v>
      </c>
      <c r="D69" s="396">
        <f>IF($K62="○",ROUNDDOWN((B69+C69)/15,1),ROUNDDOWN(B69/20,1)+ROUNDDOWN(C69/15,1))</f>
        <v>0</v>
      </c>
      <c r="E69" s="387">
        <f>様式１!S25</f>
        <v>0</v>
      </c>
      <c r="F69" s="389">
        <f>様式１!S26</f>
        <v>0</v>
      </c>
      <c r="G69" s="396">
        <f>IF($K62="○",ROUNDDOWN((E69+F69)/15,1),ROUNDDOWN(E69/20,1)+ROUNDDOWN(F69/15,1))</f>
        <v>0</v>
      </c>
      <c r="H69" s="399"/>
      <c r="I69" s="402"/>
      <c r="J69" s="402"/>
      <c r="K69" s="402"/>
      <c r="L69" s="402"/>
      <c r="M69" s="402"/>
      <c r="N69" s="408"/>
      <c r="O69" s="404">
        <f>IF($K62="○",ROUNDDOWN(B69/15,1),ROUNDDOWN(B69/20,1))</f>
        <v>0</v>
      </c>
      <c r="P69" s="404">
        <f>IF($K62="○",ROUNDDOWN(E69/15,1),ROUNDDOWN(E69/20,1))</f>
        <v>0</v>
      </c>
      <c r="Q69" s="403"/>
      <c r="R69" s="408"/>
      <c r="S69" s="404">
        <f>ROUNDDOWN((B69+C69)/15,1)</f>
        <v>0</v>
      </c>
      <c r="T69" s="404">
        <f>ROUNDDOWN((E69+F69)/15,1)</f>
        <v>0</v>
      </c>
      <c r="U69" s="403"/>
      <c r="V69" s="408"/>
      <c r="W69" s="404">
        <f>IF(K62="○",ROUNDDOWN(SUM(B69:C69)/15,1),ROUNDDOWN(SUM(B69:C69)/20,1))</f>
        <v>0</v>
      </c>
      <c r="X69" s="404">
        <f>IF(K62="○",ROUNDDOWN(SUM(E69:F69)/15,1),ROUNDDOWN(SUM(E69:F69)/20,1))</f>
        <v>0</v>
      </c>
      <c r="Y69" s="403"/>
      <c r="Z69" s="404">
        <f>ROUNDDOWN(SUM(B69:C69)/20,1)</f>
        <v>0</v>
      </c>
      <c r="AA69" s="404">
        <f>ROUNDDOWN(SUM(E69:F69)/20,1)</f>
        <v>0</v>
      </c>
      <c r="AB69" s="403"/>
    </row>
    <row r="70" spans="1:28">
      <c r="A70" s="383" t="s">
        <v>321</v>
      </c>
      <c r="B70" s="387">
        <f>様式１!K25</f>
        <v>0</v>
      </c>
      <c r="C70" s="389">
        <f>様式１!K26</f>
        <v>0</v>
      </c>
      <c r="D70" s="985">
        <f>IF($J62="○",ROUNDDOWN(SUM(B70,B71,C71)/25,1)+ROUNDDOWN(C70/20,1),ROUNDDOWN(SUM(B70,B71)/30,1)+ROUNDDOWN(C70/20,1)+ROUNDDOWN(C71/25,1))</f>
        <v>0</v>
      </c>
      <c r="E70" s="387">
        <f>様式１!T25</f>
        <v>0</v>
      </c>
      <c r="F70" s="389">
        <f>様式１!T26</f>
        <v>0</v>
      </c>
      <c r="G70" s="985">
        <f>IF($J62="○",ROUNDDOWN(SUM(E70,E71,F71)/25,1)+ROUNDDOWN(F70/20,1),ROUNDDOWN(SUM(E70,E71)/30,1)+ROUNDDOWN(F70/20,1)+ROUNDDOWN(F71/25,1))</f>
        <v>0</v>
      </c>
      <c r="H70" s="399"/>
      <c r="I70" s="402"/>
      <c r="J70" s="402"/>
      <c r="K70" s="402"/>
      <c r="L70" s="402"/>
      <c r="M70" s="402"/>
      <c r="N70" s="408"/>
      <c r="O70" s="983">
        <f>IF($J62="○",ROUNDDOWN(SUM(B70,B71)/25,1),ROUNDDOWN(SUM(B70,B71)/30,1))</f>
        <v>0</v>
      </c>
      <c r="P70" s="983">
        <f>IF($J62="○",ROUNDDOWN(SUM(E70,E71)/25,1),ROUNDDOWN(SUM(E70,E71)/30,1))</f>
        <v>0</v>
      </c>
      <c r="Q70" s="403"/>
      <c r="R70" s="408"/>
      <c r="S70" s="983">
        <f>ROUNDDOWN(SUM(B70,B71,C71)/25,1)+ROUNDDOWN(C70/20,1)</f>
        <v>0</v>
      </c>
      <c r="T70" s="983">
        <f>ROUNDDOWN(SUM(E70,E71,F71)/25,1)+ROUNDDOWN(F70/20,1)</f>
        <v>0</v>
      </c>
      <c r="U70" s="403"/>
      <c r="V70" s="408"/>
      <c r="W70" s="983">
        <f>IF(J62="○",ROUNDDOWN(SUM(B70:C71)/25,1),ROUNDDOWN(SUM(B70:C71)/30,1))</f>
        <v>0</v>
      </c>
      <c r="X70" s="983">
        <f>IF(J62="○",ROUNDDOWN(SUM(E70:F71)/25,1),ROUNDDOWN(SUM(E70:F71)/30,1))</f>
        <v>0</v>
      </c>
      <c r="Y70" s="403"/>
      <c r="Z70" s="983">
        <f>ROUNDDOWN(SUM(B70:C71)/30,1)</f>
        <v>0</v>
      </c>
      <c r="AA70" s="983">
        <f>ROUNDDOWN(SUM(E70:F71)/30,1)</f>
        <v>0</v>
      </c>
      <c r="AB70" s="403"/>
    </row>
    <row r="71" spans="1:28" ht="19.5" thickBot="1">
      <c r="A71" s="384" t="s">
        <v>322</v>
      </c>
      <c r="B71" s="390">
        <f>様式１!L25</f>
        <v>0</v>
      </c>
      <c r="C71" s="391">
        <f>様式１!L26</f>
        <v>0</v>
      </c>
      <c r="D71" s="986"/>
      <c r="E71" s="390">
        <f>様式１!U25</f>
        <v>0</v>
      </c>
      <c r="F71" s="391">
        <f>様式１!U26</f>
        <v>0</v>
      </c>
      <c r="G71" s="986"/>
      <c r="H71" s="400"/>
      <c r="I71" s="402"/>
      <c r="J71" s="402"/>
      <c r="K71" s="402"/>
      <c r="L71" s="402"/>
      <c r="M71" s="402"/>
      <c r="N71" s="408"/>
      <c r="O71" s="984"/>
      <c r="P71" s="984"/>
      <c r="Q71" s="403"/>
      <c r="R71" s="408"/>
      <c r="S71" s="984"/>
      <c r="T71" s="984"/>
      <c r="U71" s="403"/>
      <c r="V71" s="408"/>
      <c r="W71" s="984"/>
      <c r="X71" s="984"/>
      <c r="Y71" s="403"/>
      <c r="Z71" s="984"/>
      <c r="AA71" s="984"/>
      <c r="AB71" s="403"/>
    </row>
    <row r="72" spans="1:28">
      <c r="A72" s="989" t="str">
        <f>I72</f>
        <v>11月</v>
      </c>
      <c r="B72" s="992" t="s">
        <v>313</v>
      </c>
      <c r="C72" s="992"/>
      <c r="D72" s="992"/>
      <c r="E72" s="992" t="s">
        <v>314</v>
      </c>
      <c r="F72" s="992"/>
      <c r="G72" s="992"/>
      <c r="H72" s="987" t="s">
        <v>315</v>
      </c>
      <c r="I72" s="401" t="str">
        <f>加算等適用状況!A21</f>
        <v>11月</v>
      </c>
      <c r="J72" s="401" t="str">
        <f>加算等適用状況!G21</f>
        <v/>
      </c>
      <c r="K72" s="401" t="str">
        <f>加算等適用状況!H21</f>
        <v/>
      </c>
      <c r="L72" s="401" t="str">
        <f>加算等適用状況!I21</f>
        <v/>
      </c>
      <c r="M72" s="401" t="str">
        <f>加算等適用状況!J21</f>
        <v/>
      </c>
      <c r="N72" s="408"/>
      <c r="O72" s="401" t="s">
        <v>306</v>
      </c>
      <c r="P72" s="401" t="s">
        <v>307</v>
      </c>
      <c r="Q72" s="401" t="s">
        <v>141</v>
      </c>
      <c r="R72" s="408"/>
      <c r="S72" s="401" t="s">
        <v>306</v>
      </c>
      <c r="T72" s="401" t="s">
        <v>307</v>
      </c>
      <c r="U72" s="401" t="s">
        <v>141</v>
      </c>
      <c r="V72" s="408"/>
      <c r="W72" s="401" t="s">
        <v>306</v>
      </c>
      <c r="X72" s="401" t="s">
        <v>307</v>
      </c>
      <c r="Y72" s="401" t="s">
        <v>141</v>
      </c>
      <c r="Z72" s="401" t="s">
        <v>306</v>
      </c>
      <c r="AA72" s="401" t="s">
        <v>307</v>
      </c>
      <c r="AB72" s="401" t="s">
        <v>141</v>
      </c>
    </row>
    <row r="73" spans="1:28">
      <c r="A73" s="990"/>
      <c r="B73" s="993" t="s">
        <v>323</v>
      </c>
      <c r="C73" s="994"/>
      <c r="D73" s="381" t="s">
        <v>324</v>
      </c>
      <c r="E73" s="993" t="s">
        <v>323</v>
      </c>
      <c r="F73" s="994"/>
      <c r="G73" s="381" t="s">
        <v>324</v>
      </c>
      <c r="H73" s="988"/>
      <c r="I73" s="402"/>
      <c r="J73" s="402"/>
      <c r="K73" s="402"/>
      <c r="L73" s="402"/>
      <c r="M73" s="402"/>
      <c r="N73" s="408"/>
      <c r="O73" s="402"/>
      <c r="P73" s="402"/>
      <c r="Q73" s="402"/>
      <c r="R73" s="408"/>
      <c r="S73" s="402"/>
      <c r="T73" s="402"/>
      <c r="U73" s="402"/>
      <c r="V73" s="408"/>
      <c r="W73" s="402"/>
      <c r="X73" s="402"/>
      <c r="Y73" s="402"/>
      <c r="Z73" s="402"/>
      <c r="AA73" s="402"/>
      <c r="AB73" s="402"/>
    </row>
    <row r="74" spans="1:28" ht="19.5">
      <c r="A74" s="991"/>
      <c r="B74" s="385" t="s">
        <v>71</v>
      </c>
      <c r="C74" s="386" t="s">
        <v>325</v>
      </c>
      <c r="D74" s="415">
        <f>ROUND(SUM(D75:D81),0)</f>
        <v>0</v>
      </c>
      <c r="E74" s="385" t="s">
        <v>71</v>
      </c>
      <c r="F74" s="386" t="s">
        <v>325</v>
      </c>
      <c r="G74" s="415">
        <f>ROUND(SUM(G75:G81),0)</f>
        <v>0</v>
      </c>
      <c r="H74" s="414">
        <f>SUM(D74,G74)</f>
        <v>0</v>
      </c>
      <c r="I74" s="402"/>
      <c r="J74" s="402"/>
      <c r="K74" s="402"/>
      <c r="L74" s="402"/>
      <c r="M74" s="402"/>
      <c r="N74" s="408"/>
      <c r="O74" s="404">
        <f>ROUND(SUM(O75:O81),0)</f>
        <v>0</v>
      </c>
      <c r="P74" s="404">
        <f>ROUND(SUM(P75:P81),0)</f>
        <v>0</v>
      </c>
      <c r="Q74" s="413">
        <f>SUM(O74,P74)</f>
        <v>0</v>
      </c>
      <c r="R74" s="408"/>
      <c r="S74" s="404">
        <f>ROUND(SUM(S75:S81),0)</f>
        <v>0</v>
      </c>
      <c r="T74" s="404">
        <f>ROUND(SUM(T75:T81),0)</f>
        <v>0</v>
      </c>
      <c r="U74" s="413">
        <f>SUM(S74,T74)</f>
        <v>0</v>
      </c>
      <c r="V74" s="408"/>
      <c r="W74" s="404">
        <f>ROUND(SUM(W75:W81),0)</f>
        <v>0</v>
      </c>
      <c r="X74" s="404">
        <f>ROUND(SUM(X75:X81),0)</f>
        <v>0</v>
      </c>
      <c r="Y74" s="413">
        <f>SUM(W74,X74)</f>
        <v>0</v>
      </c>
      <c r="Z74" s="404">
        <f>ROUND(SUM(Z75:Z81),0)</f>
        <v>0</v>
      </c>
      <c r="AA74" s="404">
        <f>ROUND(SUM(AA75:AA81),0)</f>
        <v>0</v>
      </c>
      <c r="AB74" s="413">
        <f>SUM(Z74,AA74)</f>
        <v>0</v>
      </c>
    </row>
    <row r="75" spans="1:28">
      <c r="A75" s="382" t="s">
        <v>316</v>
      </c>
      <c r="B75" s="392"/>
      <c r="C75" s="394">
        <f>様式１!E30</f>
        <v>0</v>
      </c>
      <c r="D75" s="395">
        <f>ROUNDDOWN(C75/3,1)</f>
        <v>0</v>
      </c>
      <c r="E75" s="392"/>
      <c r="F75" s="394">
        <f>様式１!N30</f>
        <v>0</v>
      </c>
      <c r="G75" s="395">
        <f>ROUNDDOWN(F75/3,1)</f>
        <v>0</v>
      </c>
      <c r="H75" s="398"/>
      <c r="I75" s="402"/>
      <c r="J75" s="402"/>
      <c r="K75" s="402"/>
      <c r="L75" s="402"/>
      <c r="M75" s="402"/>
      <c r="N75" s="408"/>
      <c r="O75" s="403"/>
      <c r="P75" s="403"/>
      <c r="Q75" s="403"/>
      <c r="R75" s="408"/>
      <c r="S75" s="404">
        <f>D75</f>
        <v>0</v>
      </c>
      <c r="T75" s="404">
        <f>G75</f>
        <v>0</v>
      </c>
      <c r="U75" s="403"/>
      <c r="V75" s="408"/>
      <c r="W75" s="404">
        <f>D75</f>
        <v>0</v>
      </c>
      <c r="X75" s="404">
        <f>G75</f>
        <v>0</v>
      </c>
      <c r="Y75" s="403"/>
      <c r="Z75" s="404">
        <f>D75</f>
        <v>0</v>
      </c>
      <c r="AA75" s="404">
        <f>G75</f>
        <v>0</v>
      </c>
      <c r="AB75" s="403"/>
    </row>
    <row r="76" spans="1:28">
      <c r="A76" s="383" t="s">
        <v>317</v>
      </c>
      <c r="B76" s="393"/>
      <c r="C76" s="389">
        <f>様式１!F30</f>
        <v>0</v>
      </c>
      <c r="D76" s="396">
        <f>ROUNDDOWN(C76/5,1)</f>
        <v>0</v>
      </c>
      <c r="E76" s="393"/>
      <c r="F76" s="389">
        <f>様式１!O30</f>
        <v>0</v>
      </c>
      <c r="G76" s="396">
        <f>ROUNDDOWN(F76/5,1)</f>
        <v>0</v>
      </c>
      <c r="H76" s="399"/>
      <c r="I76" s="402"/>
      <c r="J76" s="402"/>
      <c r="K76" s="402"/>
      <c r="L76" s="402"/>
      <c r="M76" s="402"/>
      <c r="N76" s="408"/>
      <c r="O76" s="403"/>
      <c r="P76" s="403"/>
      <c r="Q76" s="403"/>
      <c r="R76" s="408"/>
      <c r="S76" s="404">
        <f>D76</f>
        <v>0</v>
      </c>
      <c r="T76" s="404">
        <f>G76</f>
        <v>0</v>
      </c>
      <c r="U76" s="403"/>
      <c r="V76" s="408"/>
      <c r="W76" s="983">
        <f>IF(L72="○",ROUNDDOWN(C76/5,1)+ROUNDDOWN(C77/6,1),ROUNDDOWN(SUM(C76:C77)/6,1))</f>
        <v>0</v>
      </c>
      <c r="X76" s="983">
        <f>IF(L72="○",ROUNDDOWN(F76/5,1)+ROUNDDOWN(F77/6,1),ROUNDDOWN(SUM(F76:F77)/6,1))</f>
        <v>0</v>
      </c>
      <c r="Y76" s="403"/>
      <c r="Z76" s="983">
        <f>ROUNDDOWN(SUM(C76:C77)/6,1)</f>
        <v>0</v>
      </c>
      <c r="AA76" s="983">
        <f>ROUNDDOWN(SUM(F76:F77)/6,1)</f>
        <v>0</v>
      </c>
      <c r="AB76" s="403"/>
    </row>
    <row r="77" spans="1:28">
      <c r="A77" s="383" t="s">
        <v>318</v>
      </c>
      <c r="B77" s="393"/>
      <c r="C77" s="389">
        <f>様式１!H30</f>
        <v>0</v>
      </c>
      <c r="D77" s="396">
        <f>ROUNDDOWN(C77/6,1)</f>
        <v>0</v>
      </c>
      <c r="E77" s="393"/>
      <c r="F77" s="389">
        <f>様式１!Q30</f>
        <v>0</v>
      </c>
      <c r="G77" s="396">
        <f>ROUNDDOWN(F77/6,1)</f>
        <v>0</v>
      </c>
      <c r="H77" s="399"/>
      <c r="I77" s="402"/>
      <c r="J77" s="402"/>
      <c r="K77" s="402"/>
      <c r="L77" s="402"/>
      <c r="M77" s="402"/>
      <c r="N77" s="408"/>
      <c r="O77" s="403"/>
      <c r="P77" s="403"/>
      <c r="Q77" s="403"/>
      <c r="R77" s="408"/>
      <c r="S77" s="404">
        <f>D77</f>
        <v>0</v>
      </c>
      <c r="T77" s="404">
        <f>G77</f>
        <v>0</v>
      </c>
      <c r="U77" s="403"/>
      <c r="V77" s="408"/>
      <c r="W77" s="984"/>
      <c r="X77" s="984"/>
      <c r="Y77" s="403"/>
      <c r="Z77" s="984"/>
      <c r="AA77" s="984"/>
      <c r="AB77" s="403"/>
    </row>
    <row r="78" spans="1:28">
      <c r="A78" s="383" t="s">
        <v>319</v>
      </c>
      <c r="B78" s="387">
        <f>様式１!I28</f>
        <v>0</v>
      </c>
      <c r="C78" s="388"/>
      <c r="D78" s="396">
        <f>IF($M72="○",ROUNDDOWN(B78/6,1),IF($K72="○",ROUNDDOWN(B78/15,1),ROUNDDOWN(B78/20,1)))</f>
        <v>0</v>
      </c>
      <c r="E78" s="387">
        <f>様式１!R28</f>
        <v>0</v>
      </c>
      <c r="F78" s="388"/>
      <c r="G78" s="396">
        <f>IF($M72="○",ROUNDDOWN(E78/6,1),IF($K72="○",ROUNDDOWN(E78/15,1),ROUNDDOWN(E78/20,1)))</f>
        <v>0</v>
      </c>
      <c r="H78" s="399"/>
      <c r="I78" s="402"/>
      <c r="J78" s="402"/>
      <c r="K78" s="402"/>
      <c r="L78" s="402"/>
      <c r="M78" s="402"/>
      <c r="N78" s="408"/>
      <c r="O78" s="404">
        <f>D78</f>
        <v>0</v>
      </c>
      <c r="P78" s="404">
        <f>G78</f>
        <v>0</v>
      </c>
      <c r="Q78" s="403"/>
      <c r="R78" s="408"/>
      <c r="S78" s="404">
        <f>IF($M72="○",ROUNDDOWN(B78/6,1),ROUNDDOWN(B78/15,1))</f>
        <v>0</v>
      </c>
      <c r="T78" s="404">
        <f>IF($M72="○",ROUNDDOWN(E78/6,1),ROUNDDOWN(E78/15,1))</f>
        <v>0</v>
      </c>
      <c r="U78" s="403"/>
      <c r="V78" s="408"/>
      <c r="W78" s="404">
        <f>D78</f>
        <v>0</v>
      </c>
      <c r="X78" s="404">
        <f>G78</f>
        <v>0</v>
      </c>
      <c r="Y78" s="403"/>
      <c r="Z78" s="404">
        <f>ROUNDDOWN(B78/20,1)</f>
        <v>0</v>
      </c>
      <c r="AA78" s="404">
        <f>ROUNDDOWN(E78/20,1)</f>
        <v>0</v>
      </c>
      <c r="AB78" s="403"/>
    </row>
    <row r="79" spans="1:28">
      <c r="A79" s="383" t="s">
        <v>320</v>
      </c>
      <c r="B79" s="387">
        <f>様式１!J28</f>
        <v>0</v>
      </c>
      <c r="C79" s="389">
        <f>様式１!J29</f>
        <v>0</v>
      </c>
      <c r="D79" s="396">
        <f>IF($K72="○",ROUNDDOWN((B79+C79)/15,1),ROUNDDOWN(B79/20,1)+ROUNDDOWN(C79/15,1))</f>
        <v>0</v>
      </c>
      <c r="E79" s="387">
        <f>様式１!S28</f>
        <v>0</v>
      </c>
      <c r="F79" s="389">
        <f>様式１!S29</f>
        <v>0</v>
      </c>
      <c r="G79" s="396">
        <f>IF($K72="○",ROUNDDOWN((E79+F79)/15,1),ROUNDDOWN(E79/20,1)+ROUNDDOWN(F79/15,1))</f>
        <v>0</v>
      </c>
      <c r="H79" s="399"/>
      <c r="I79" s="402"/>
      <c r="J79" s="402"/>
      <c r="K79" s="402"/>
      <c r="L79" s="402"/>
      <c r="M79" s="402"/>
      <c r="N79" s="408"/>
      <c r="O79" s="404">
        <f>IF($K72="○",ROUNDDOWN(B79/15,1),ROUNDDOWN(B79/20,1))</f>
        <v>0</v>
      </c>
      <c r="P79" s="404">
        <f>IF($K72="○",ROUNDDOWN(E79/15,1),ROUNDDOWN(E79/20,1))</f>
        <v>0</v>
      </c>
      <c r="Q79" s="403"/>
      <c r="R79" s="408"/>
      <c r="S79" s="404">
        <f>ROUNDDOWN((B79+C79)/15,1)</f>
        <v>0</v>
      </c>
      <c r="T79" s="404">
        <f>ROUNDDOWN((E79+F79)/15,1)</f>
        <v>0</v>
      </c>
      <c r="U79" s="403"/>
      <c r="V79" s="408"/>
      <c r="W79" s="404">
        <f>IF(K72="○",ROUNDDOWN(SUM(B79:C79)/15,1),ROUNDDOWN(SUM(B79:C79)/20,1))</f>
        <v>0</v>
      </c>
      <c r="X79" s="404">
        <f>IF(K72="○",ROUNDDOWN(SUM(E79:F79)/15,1),ROUNDDOWN(SUM(E79:F79)/20,1))</f>
        <v>0</v>
      </c>
      <c r="Y79" s="403"/>
      <c r="Z79" s="404">
        <f>ROUNDDOWN(SUM(B79:C79)/20,1)</f>
        <v>0</v>
      </c>
      <c r="AA79" s="404">
        <f>ROUNDDOWN(SUM(E79:F79)/20,1)</f>
        <v>0</v>
      </c>
      <c r="AB79" s="403"/>
    </row>
    <row r="80" spans="1:28">
      <c r="A80" s="383" t="s">
        <v>321</v>
      </c>
      <c r="B80" s="387">
        <f>様式１!K28</f>
        <v>0</v>
      </c>
      <c r="C80" s="389">
        <f>様式１!K29</f>
        <v>0</v>
      </c>
      <c r="D80" s="985">
        <f>IF($J72="○",ROUNDDOWN(SUM(B80,B81,C81)/25,1)+ROUNDDOWN(C80/20,1),ROUNDDOWN(SUM(B80,B81)/30,1)+ROUNDDOWN(C80/20,1)+ROUNDDOWN(C81/25,1))</f>
        <v>0</v>
      </c>
      <c r="E80" s="387">
        <f>様式１!T28</f>
        <v>0</v>
      </c>
      <c r="F80" s="389">
        <f>様式１!T29</f>
        <v>0</v>
      </c>
      <c r="G80" s="985">
        <f>IF($J72="○",ROUNDDOWN(SUM(E80,E81,F81)/25,1)+ROUNDDOWN(F80/20,1),ROUNDDOWN(SUM(E80,E81)/30,1)+ROUNDDOWN(F80/20,1)+ROUNDDOWN(F81/25,1))</f>
        <v>0</v>
      </c>
      <c r="H80" s="399"/>
      <c r="I80" s="402"/>
      <c r="J80" s="402"/>
      <c r="K80" s="402"/>
      <c r="L80" s="402"/>
      <c r="M80" s="402"/>
      <c r="N80" s="408"/>
      <c r="O80" s="983">
        <f>IF($J72="○",ROUNDDOWN(SUM(B80,B81)/25,1),ROUNDDOWN(SUM(B80,B81)/30,1))</f>
        <v>0</v>
      </c>
      <c r="P80" s="983">
        <f>IF($J72="○",ROUNDDOWN(SUM(E80,E81)/25,1),ROUNDDOWN(SUM(E80,E81)/30,1))</f>
        <v>0</v>
      </c>
      <c r="Q80" s="403"/>
      <c r="R80" s="408"/>
      <c r="S80" s="983">
        <f>ROUNDDOWN(SUM(B80,B81,C81)/25,1)+ROUNDDOWN(C80/20,1)</f>
        <v>0</v>
      </c>
      <c r="T80" s="983">
        <f>ROUNDDOWN(SUM(E80,E81,F81)/25,1)+ROUNDDOWN(F80/20,1)</f>
        <v>0</v>
      </c>
      <c r="U80" s="403"/>
      <c r="V80" s="408"/>
      <c r="W80" s="983">
        <f>IF(J72="○",ROUNDDOWN(SUM(B80:C81)/25,1),ROUNDDOWN(SUM(B80:C81)/30,1))</f>
        <v>0</v>
      </c>
      <c r="X80" s="983">
        <f>IF(J72="○",ROUNDDOWN(SUM(E80:F81)/25,1),ROUNDDOWN(SUM(E80:F81)/30,1))</f>
        <v>0</v>
      </c>
      <c r="Y80" s="403"/>
      <c r="Z80" s="983">
        <f>ROUNDDOWN(SUM(B80:C81)/30,1)</f>
        <v>0</v>
      </c>
      <c r="AA80" s="983">
        <f>ROUNDDOWN(SUM(E80:F81)/30,1)</f>
        <v>0</v>
      </c>
      <c r="AB80" s="403"/>
    </row>
    <row r="81" spans="1:28" ht="19.5" thickBot="1">
      <c r="A81" s="384" t="s">
        <v>322</v>
      </c>
      <c r="B81" s="390">
        <f>様式１!L28</f>
        <v>0</v>
      </c>
      <c r="C81" s="391">
        <f>様式１!L29</f>
        <v>0</v>
      </c>
      <c r="D81" s="986"/>
      <c r="E81" s="390">
        <f>様式１!U28</f>
        <v>0</v>
      </c>
      <c r="F81" s="391">
        <f>様式１!U29</f>
        <v>0</v>
      </c>
      <c r="G81" s="986"/>
      <c r="H81" s="400"/>
      <c r="I81" s="402"/>
      <c r="J81" s="402"/>
      <c r="K81" s="402"/>
      <c r="L81" s="402"/>
      <c r="M81" s="402"/>
      <c r="N81" s="408"/>
      <c r="O81" s="984"/>
      <c r="P81" s="984"/>
      <c r="Q81" s="403"/>
      <c r="R81" s="408"/>
      <c r="S81" s="984"/>
      <c r="T81" s="984"/>
      <c r="U81" s="403"/>
      <c r="V81" s="408"/>
      <c r="W81" s="984"/>
      <c r="X81" s="984"/>
      <c r="Y81" s="403"/>
      <c r="Z81" s="984"/>
      <c r="AA81" s="984"/>
      <c r="AB81" s="403"/>
    </row>
    <row r="82" spans="1:28">
      <c r="A82" s="989" t="str">
        <f>I82</f>
        <v>12月</v>
      </c>
      <c r="B82" s="992" t="s">
        <v>313</v>
      </c>
      <c r="C82" s="992"/>
      <c r="D82" s="992"/>
      <c r="E82" s="992" t="s">
        <v>314</v>
      </c>
      <c r="F82" s="992"/>
      <c r="G82" s="992"/>
      <c r="H82" s="987" t="s">
        <v>315</v>
      </c>
      <c r="I82" s="401" t="str">
        <f>加算等適用状況!A22</f>
        <v>12月</v>
      </c>
      <c r="J82" s="401" t="str">
        <f>加算等適用状況!G22</f>
        <v/>
      </c>
      <c r="K82" s="401" t="str">
        <f>加算等適用状況!H22</f>
        <v/>
      </c>
      <c r="L82" s="401" t="str">
        <f>加算等適用状況!I22</f>
        <v/>
      </c>
      <c r="M82" s="401" t="str">
        <f>加算等適用状況!J22</f>
        <v/>
      </c>
      <c r="N82" s="408"/>
      <c r="O82" s="401" t="s">
        <v>306</v>
      </c>
      <c r="P82" s="401" t="s">
        <v>307</v>
      </c>
      <c r="Q82" s="401" t="s">
        <v>141</v>
      </c>
      <c r="R82" s="408"/>
      <c r="S82" s="401" t="s">
        <v>306</v>
      </c>
      <c r="T82" s="401" t="s">
        <v>307</v>
      </c>
      <c r="U82" s="401" t="s">
        <v>141</v>
      </c>
      <c r="V82" s="408"/>
      <c r="W82" s="401" t="s">
        <v>306</v>
      </c>
      <c r="X82" s="401" t="s">
        <v>307</v>
      </c>
      <c r="Y82" s="401" t="s">
        <v>141</v>
      </c>
      <c r="Z82" s="401" t="s">
        <v>306</v>
      </c>
      <c r="AA82" s="401" t="s">
        <v>307</v>
      </c>
      <c r="AB82" s="401" t="s">
        <v>141</v>
      </c>
    </row>
    <row r="83" spans="1:28">
      <c r="A83" s="990"/>
      <c r="B83" s="993" t="s">
        <v>323</v>
      </c>
      <c r="C83" s="994"/>
      <c r="D83" s="381" t="s">
        <v>324</v>
      </c>
      <c r="E83" s="993" t="s">
        <v>323</v>
      </c>
      <c r="F83" s="994"/>
      <c r="G83" s="381" t="s">
        <v>324</v>
      </c>
      <c r="H83" s="988"/>
      <c r="I83" s="402"/>
      <c r="J83" s="402"/>
      <c r="K83" s="402"/>
      <c r="L83" s="402"/>
      <c r="M83" s="402"/>
      <c r="N83" s="408"/>
      <c r="O83" s="402"/>
      <c r="P83" s="402"/>
      <c r="Q83" s="402"/>
      <c r="R83" s="408"/>
      <c r="S83" s="402"/>
      <c r="T83" s="402"/>
      <c r="U83" s="402"/>
      <c r="V83" s="408"/>
      <c r="W83" s="402"/>
      <c r="X83" s="402"/>
      <c r="Y83" s="402"/>
      <c r="Z83" s="402"/>
      <c r="AA83" s="402"/>
      <c r="AB83" s="402"/>
    </row>
    <row r="84" spans="1:28" ht="19.5">
      <c r="A84" s="991"/>
      <c r="B84" s="385" t="s">
        <v>71</v>
      </c>
      <c r="C84" s="386" t="s">
        <v>325</v>
      </c>
      <c r="D84" s="415">
        <f>ROUND(SUM(D85:D91),0)</f>
        <v>0</v>
      </c>
      <c r="E84" s="385" t="s">
        <v>71</v>
      </c>
      <c r="F84" s="386" t="s">
        <v>325</v>
      </c>
      <c r="G84" s="415">
        <f>ROUND(SUM(G85:G91),0)</f>
        <v>0</v>
      </c>
      <c r="H84" s="414">
        <f>SUM(D84,G84)</f>
        <v>0</v>
      </c>
      <c r="I84" s="402"/>
      <c r="J84" s="402"/>
      <c r="K84" s="402"/>
      <c r="L84" s="402"/>
      <c r="M84" s="402"/>
      <c r="N84" s="408"/>
      <c r="O84" s="404">
        <f>ROUND(SUM(O85:O91),0)</f>
        <v>0</v>
      </c>
      <c r="P84" s="404">
        <f>ROUND(SUM(P85:P91),0)</f>
        <v>0</v>
      </c>
      <c r="Q84" s="413">
        <f>SUM(O84,P84)</f>
        <v>0</v>
      </c>
      <c r="R84" s="408"/>
      <c r="S84" s="404">
        <f>ROUND(SUM(S85:S91),0)</f>
        <v>0</v>
      </c>
      <c r="T84" s="404">
        <f>ROUND(SUM(T85:T91),0)</f>
        <v>0</v>
      </c>
      <c r="U84" s="413">
        <f>SUM(S84,T84)</f>
        <v>0</v>
      </c>
      <c r="V84" s="408"/>
      <c r="W84" s="404">
        <f>ROUND(SUM(W85:W91),0)</f>
        <v>0</v>
      </c>
      <c r="X84" s="404">
        <f>ROUND(SUM(X85:X91),0)</f>
        <v>0</v>
      </c>
      <c r="Y84" s="413">
        <f>SUM(W84,X84)</f>
        <v>0</v>
      </c>
      <c r="Z84" s="404">
        <f>ROUND(SUM(Z85:Z91),0)</f>
        <v>0</v>
      </c>
      <c r="AA84" s="404">
        <f>ROUND(SUM(AA85:AA91),0)</f>
        <v>0</v>
      </c>
      <c r="AB84" s="413">
        <f>SUM(Z84,AA84)</f>
        <v>0</v>
      </c>
    </row>
    <row r="85" spans="1:28">
      <c r="A85" s="382" t="s">
        <v>316</v>
      </c>
      <c r="B85" s="392"/>
      <c r="C85" s="394">
        <f>様式１!E33</f>
        <v>0</v>
      </c>
      <c r="D85" s="395">
        <f>ROUNDDOWN(C85/3,1)</f>
        <v>0</v>
      </c>
      <c r="E85" s="392"/>
      <c r="F85" s="394">
        <f>様式１!N33</f>
        <v>0</v>
      </c>
      <c r="G85" s="395">
        <f>ROUNDDOWN(F85/3,1)</f>
        <v>0</v>
      </c>
      <c r="H85" s="398"/>
      <c r="I85" s="402"/>
      <c r="J85" s="402"/>
      <c r="K85" s="402"/>
      <c r="L85" s="402"/>
      <c r="M85" s="402"/>
      <c r="N85" s="408"/>
      <c r="O85" s="403"/>
      <c r="P85" s="403"/>
      <c r="Q85" s="403"/>
      <c r="R85" s="408"/>
      <c r="S85" s="404">
        <f>D85</f>
        <v>0</v>
      </c>
      <c r="T85" s="404">
        <f>G85</f>
        <v>0</v>
      </c>
      <c r="U85" s="403"/>
      <c r="V85" s="408"/>
      <c r="W85" s="404">
        <f>D85</f>
        <v>0</v>
      </c>
      <c r="X85" s="404">
        <f>G85</f>
        <v>0</v>
      </c>
      <c r="Y85" s="403"/>
      <c r="Z85" s="404">
        <f>D85</f>
        <v>0</v>
      </c>
      <c r="AA85" s="404">
        <f>G85</f>
        <v>0</v>
      </c>
      <c r="AB85" s="403"/>
    </row>
    <row r="86" spans="1:28">
      <c r="A86" s="383" t="s">
        <v>317</v>
      </c>
      <c r="B86" s="393"/>
      <c r="C86" s="389">
        <f>様式１!F33</f>
        <v>0</v>
      </c>
      <c r="D86" s="396">
        <f>ROUNDDOWN(C86/5,1)</f>
        <v>0</v>
      </c>
      <c r="E86" s="393"/>
      <c r="F86" s="389">
        <f>様式１!O33</f>
        <v>0</v>
      </c>
      <c r="G86" s="396">
        <f>ROUNDDOWN(F86/5,1)</f>
        <v>0</v>
      </c>
      <c r="H86" s="399"/>
      <c r="I86" s="402"/>
      <c r="J86" s="402"/>
      <c r="K86" s="402"/>
      <c r="L86" s="402"/>
      <c r="M86" s="402"/>
      <c r="N86" s="408"/>
      <c r="O86" s="403"/>
      <c r="P86" s="403"/>
      <c r="Q86" s="403"/>
      <c r="R86" s="408"/>
      <c r="S86" s="404">
        <f>D86</f>
        <v>0</v>
      </c>
      <c r="T86" s="404">
        <f>G86</f>
        <v>0</v>
      </c>
      <c r="U86" s="403"/>
      <c r="V86" s="408"/>
      <c r="W86" s="983">
        <f>IF(L82="○",ROUNDDOWN(C86/5,1)+ROUNDDOWN(C87/6,1),ROUNDDOWN(SUM(C86:C87)/6,1))</f>
        <v>0</v>
      </c>
      <c r="X86" s="983">
        <f>IF(L82="○",ROUNDDOWN(F86/5,1)+ROUNDDOWN(F87/6,1),ROUNDDOWN(SUM(F86:F87)/6,1))</f>
        <v>0</v>
      </c>
      <c r="Y86" s="403"/>
      <c r="Z86" s="983">
        <f>ROUNDDOWN(SUM(C86:C87)/6,1)</f>
        <v>0</v>
      </c>
      <c r="AA86" s="983">
        <f>ROUNDDOWN(SUM(F86:F87)/6,1)</f>
        <v>0</v>
      </c>
      <c r="AB86" s="403"/>
    </row>
    <row r="87" spans="1:28">
      <c r="A87" s="383" t="s">
        <v>318</v>
      </c>
      <c r="B87" s="393"/>
      <c r="C87" s="389">
        <f>様式１!H33</f>
        <v>0</v>
      </c>
      <c r="D87" s="396">
        <f>ROUNDDOWN(C87/6,1)</f>
        <v>0</v>
      </c>
      <c r="E87" s="393"/>
      <c r="F87" s="389">
        <f>様式１!Q33</f>
        <v>0</v>
      </c>
      <c r="G87" s="396">
        <f>ROUNDDOWN(F87/6,1)</f>
        <v>0</v>
      </c>
      <c r="H87" s="399"/>
      <c r="I87" s="402"/>
      <c r="J87" s="402"/>
      <c r="K87" s="402"/>
      <c r="L87" s="402"/>
      <c r="M87" s="402"/>
      <c r="N87" s="408"/>
      <c r="O87" s="403"/>
      <c r="P87" s="403"/>
      <c r="Q87" s="403"/>
      <c r="R87" s="408"/>
      <c r="S87" s="404">
        <f>D87</f>
        <v>0</v>
      </c>
      <c r="T87" s="404">
        <f>G87</f>
        <v>0</v>
      </c>
      <c r="U87" s="403"/>
      <c r="V87" s="408"/>
      <c r="W87" s="984"/>
      <c r="X87" s="984"/>
      <c r="Y87" s="403"/>
      <c r="Z87" s="984"/>
      <c r="AA87" s="984"/>
      <c r="AB87" s="403"/>
    </row>
    <row r="88" spans="1:28">
      <c r="A88" s="383" t="s">
        <v>319</v>
      </c>
      <c r="B88" s="387">
        <f>様式１!I31</f>
        <v>0</v>
      </c>
      <c r="C88" s="388"/>
      <c r="D88" s="396">
        <f>IF($M82="○",ROUNDDOWN(B88/6,1),IF($K82="○",ROUNDDOWN(B88/15,1),ROUNDDOWN(B88/20,1)))</f>
        <v>0</v>
      </c>
      <c r="E88" s="387">
        <f>様式１!R31</f>
        <v>0</v>
      </c>
      <c r="F88" s="388"/>
      <c r="G88" s="396">
        <f>IF($M82="○",ROUNDDOWN(E88/6,1),IF($K82="○",ROUNDDOWN(E88/15,1),ROUNDDOWN(E88/20,1)))</f>
        <v>0</v>
      </c>
      <c r="H88" s="399"/>
      <c r="I88" s="402"/>
      <c r="J88" s="402"/>
      <c r="K88" s="402"/>
      <c r="L88" s="402"/>
      <c r="M88" s="402"/>
      <c r="N88" s="408"/>
      <c r="O88" s="404">
        <f>D88</f>
        <v>0</v>
      </c>
      <c r="P88" s="404">
        <f>G88</f>
        <v>0</v>
      </c>
      <c r="Q88" s="403"/>
      <c r="R88" s="408"/>
      <c r="S88" s="404">
        <f>IF($M82="○",ROUNDDOWN(B88/6,1),ROUNDDOWN(B88/15,1))</f>
        <v>0</v>
      </c>
      <c r="T88" s="404">
        <f>IF($M82="○",ROUNDDOWN(E88/6,1),ROUNDDOWN(E88/15,1))</f>
        <v>0</v>
      </c>
      <c r="U88" s="403"/>
      <c r="V88" s="408"/>
      <c r="W88" s="404">
        <f>D88</f>
        <v>0</v>
      </c>
      <c r="X88" s="404">
        <f>G88</f>
        <v>0</v>
      </c>
      <c r="Y88" s="403"/>
      <c r="Z88" s="404">
        <f>ROUNDDOWN(B88/20,1)</f>
        <v>0</v>
      </c>
      <c r="AA88" s="404">
        <f>ROUNDDOWN(E88/20,1)</f>
        <v>0</v>
      </c>
      <c r="AB88" s="403"/>
    </row>
    <row r="89" spans="1:28">
      <c r="A89" s="383" t="s">
        <v>320</v>
      </c>
      <c r="B89" s="387">
        <f>様式１!J31</f>
        <v>0</v>
      </c>
      <c r="C89" s="389">
        <f>様式１!J32</f>
        <v>0</v>
      </c>
      <c r="D89" s="396">
        <f>IF($K82="○",ROUNDDOWN((B89+C89)/15,1),ROUNDDOWN(B89/20,1)+ROUNDDOWN(C89/15,1))</f>
        <v>0</v>
      </c>
      <c r="E89" s="387">
        <f>様式１!S31</f>
        <v>0</v>
      </c>
      <c r="F89" s="389">
        <f>様式１!S32</f>
        <v>0</v>
      </c>
      <c r="G89" s="396">
        <f>IF($K82="○",ROUNDDOWN((E89+F89)/15,1),ROUNDDOWN(E89/20,1)+ROUNDDOWN(F89/15,1))</f>
        <v>0</v>
      </c>
      <c r="H89" s="399"/>
      <c r="I89" s="402"/>
      <c r="J89" s="402"/>
      <c r="K89" s="402"/>
      <c r="L89" s="402"/>
      <c r="M89" s="402"/>
      <c r="N89" s="408"/>
      <c r="O89" s="404">
        <f>IF($K82="○",ROUNDDOWN(B89/15,1),ROUNDDOWN(B89/20,1))</f>
        <v>0</v>
      </c>
      <c r="P89" s="404">
        <f>IF($K82="○",ROUNDDOWN(E89/15,1),ROUNDDOWN(E89/20,1))</f>
        <v>0</v>
      </c>
      <c r="Q89" s="403"/>
      <c r="R89" s="408"/>
      <c r="S89" s="404">
        <f>ROUNDDOWN((B89+C89)/15,1)</f>
        <v>0</v>
      </c>
      <c r="T89" s="404">
        <f>ROUNDDOWN((E89+F89)/15,1)</f>
        <v>0</v>
      </c>
      <c r="U89" s="403"/>
      <c r="V89" s="408"/>
      <c r="W89" s="404">
        <f>IF(K82="○",ROUNDDOWN(SUM(B89:C89)/15,1),ROUNDDOWN(SUM(B89:C89)/20,1))</f>
        <v>0</v>
      </c>
      <c r="X89" s="404">
        <f>IF(K82="○",ROUNDDOWN(SUM(E89:F89)/15,1),ROUNDDOWN(SUM(E89:F89)/20,1))</f>
        <v>0</v>
      </c>
      <c r="Y89" s="403"/>
      <c r="Z89" s="404">
        <f>ROUNDDOWN(SUM(B89:C89)/20,1)</f>
        <v>0</v>
      </c>
      <c r="AA89" s="404">
        <f>ROUNDDOWN(SUM(E89:F89)/20,1)</f>
        <v>0</v>
      </c>
      <c r="AB89" s="403"/>
    </row>
    <row r="90" spans="1:28">
      <c r="A90" s="383" t="s">
        <v>321</v>
      </c>
      <c r="B90" s="387">
        <f>様式１!K31</f>
        <v>0</v>
      </c>
      <c r="C90" s="389">
        <f>様式１!K32</f>
        <v>0</v>
      </c>
      <c r="D90" s="985">
        <f>IF($J82="○",ROUNDDOWN(SUM(B90,B91,C91)/25,1)+ROUNDDOWN(C90/20,1),ROUNDDOWN(SUM(B90,B91)/30,1)+ROUNDDOWN(C90/20,1)+ROUNDDOWN(C91/25,1))</f>
        <v>0</v>
      </c>
      <c r="E90" s="387">
        <f>様式１!T31</f>
        <v>0</v>
      </c>
      <c r="F90" s="389">
        <f>様式１!T32</f>
        <v>0</v>
      </c>
      <c r="G90" s="985">
        <f>IF($J82="○",ROUNDDOWN(SUM(E90,E91,F91)/25,1)+ROUNDDOWN(F90/20,1),ROUNDDOWN(SUM(E90,E91)/30,1)+ROUNDDOWN(F90/20,1)+ROUNDDOWN(F91/25,1))</f>
        <v>0</v>
      </c>
      <c r="H90" s="399"/>
      <c r="I90" s="402"/>
      <c r="J90" s="402"/>
      <c r="K90" s="402"/>
      <c r="L90" s="402"/>
      <c r="M90" s="402"/>
      <c r="N90" s="408"/>
      <c r="O90" s="983">
        <f>IF($J82="○",ROUNDDOWN(SUM(B90,B91)/25,1),ROUNDDOWN(SUM(B90,B91)/30,1))</f>
        <v>0</v>
      </c>
      <c r="P90" s="983">
        <f>IF($J82="○",ROUNDDOWN(SUM(E90,E91)/25,1),ROUNDDOWN(SUM(E90,E91)/30,1))</f>
        <v>0</v>
      </c>
      <c r="Q90" s="403"/>
      <c r="R90" s="408"/>
      <c r="S90" s="983">
        <f>ROUNDDOWN(SUM(B90,B91,C91)/25,1)+ROUNDDOWN(C90/20,1)</f>
        <v>0</v>
      </c>
      <c r="T90" s="983">
        <f>ROUNDDOWN(SUM(E90,E91,F91)/25,1)+ROUNDDOWN(F90/20,1)</f>
        <v>0</v>
      </c>
      <c r="U90" s="403"/>
      <c r="V90" s="408"/>
      <c r="W90" s="983">
        <f>IF(J82="○",ROUNDDOWN(SUM(B90:C91)/25,1),ROUNDDOWN(SUM(B90:C91)/30,1))</f>
        <v>0</v>
      </c>
      <c r="X90" s="983">
        <f>IF(J82="○",ROUNDDOWN(SUM(E90:F91)/25,1),ROUNDDOWN(SUM(E90:F91)/30,1))</f>
        <v>0</v>
      </c>
      <c r="Y90" s="403"/>
      <c r="Z90" s="983">
        <f>ROUNDDOWN(SUM(B90:C91)/30,1)</f>
        <v>0</v>
      </c>
      <c r="AA90" s="983">
        <f>ROUNDDOWN(SUM(E90:F91)/30,1)</f>
        <v>0</v>
      </c>
      <c r="AB90" s="403"/>
    </row>
    <row r="91" spans="1:28" ht="19.5" thickBot="1">
      <c r="A91" s="384" t="s">
        <v>322</v>
      </c>
      <c r="B91" s="390">
        <f>様式１!L31</f>
        <v>0</v>
      </c>
      <c r="C91" s="391">
        <f>様式１!L32</f>
        <v>0</v>
      </c>
      <c r="D91" s="986"/>
      <c r="E91" s="390">
        <f>様式１!U31</f>
        <v>0</v>
      </c>
      <c r="F91" s="391">
        <f>様式１!U32</f>
        <v>0</v>
      </c>
      <c r="G91" s="986"/>
      <c r="H91" s="400"/>
      <c r="I91" s="402"/>
      <c r="J91" s="402"/>
      <c r="K91" s="402"/>
      <c r="L91" s="402"/>
      <c r="M91" s="402"/>
      <c r="N91" s="408"/>
      <c r="O91" s="984"/>
      <c r="P91" s="984"/>
      <c r="Q91" s="403"/>
      <c r="R91" s="408"/>
      <c r="S91" s="984"/>
      <c r="T91" s="984"/>
      <c r="U91" s="403"/>
      <c r="V91" s="408"/>
      <c r="W91" s="984"/>
      <c r="X91" s="984"/>
      <c r="Y91" s="403"/>
      <c r="Z91" s="984"/>
      <c r="AA91" s="984"/>
      <c r="AB91" s="403"/>
    </row>
    <row r="92" spans="1:28">
      <c r="A92" s="989" t="str">
        <f>I92</f>
        <v>1月</v>
      </c>
      <c r="B92" s="992" t="s">
        <v>313</v>
      </c>
      <c r="C92" s="992"/>
      <c r="D92" s="992"/>
      <c r="E92" s="992" t="s">
        <v>314</v>
      </c>
      <c r="F92" s="992"/>
      <c r="G92" s="992"/>
      <c r="H92" s="987" t="s">
        <v>315</v>
      </c>
      <c r="I92" s="401" t="str">
        <f>加算等適用状況!A23</f>
        <v>1月</v>
      </c>
      <c r="J92" s="401" t="str">
        <f>加算等適用状況!G23</f>
        <v/>
      </c>
      <c r="K92" s="401" t="str">
        <f>加算等適用状況!H23</f>
        <v/>
      </c>
      <c r="L92" s="401" t="str">
        <f>加算等適用状況!I23</f>
        <v/>
      </c>
      <c r="M92" s="401" t="str">
        <f>加算等適用状況!J23</f>
        <v/>
      </c>
      <c r="N92" s="408"/>
      <c r="O92" s="401" t="s">
        <v>306</v>
      </c>
      <c r="P92" s="401" t="s">
        <v>307</v>
      </c>
      <c r="Q92" s="401" t="s">
        <v>141</v>
      </c>
      <c r="R92" s="408"/>
      <c r="S92" s="401" t="s">
        <v>306</v>
      </c>
      <c r="T92" s="401" t="s">
        <v>307</v>
      </c>
      <c r="U92" s="401" t="s">
        <v>141</v>
      </c>
      <c r="V92" s="408"/>
      <c r="W92" s="401" t="s">
        <v>306</v>
      </c>
      <c r="X92" s="401" t="s">
        <v>307</v>
      </c>
      <c r="Y92" s="401" t="s">
        <v>141</v>
      </c>
      <c r="Z92" s="401" t="s">
        <v>306</v>
      </c>
      <c r="AA92" s="401" t="s">
        <v>307</v>
      </c>
      <c r="AB92" s="401" t="s">
        <v>141</v>
      </c>
    </row>
    <row r="93" spans="1:28">
      <c r="A93" s="990"/>
      <c r="B93" s="993" t="s">
        <v>323</v>
      </c>
      <c r="C93" s="994"/>
      <c r="D93" s="381" t="s">
        <v>324</v>
      </c>
      <c r="E93" s="993" t="s">
        <v>323</v>
      </c>
      <c r="F93" s="994"/>
      <c r="G93" s="381" t="s">
        <v>324</v>
      </c>
      <c r="H93" s="988"/>
      <c r="I93" s="402"/>
      <c r="J93" s="402"/>
      <c r="K93" s="402"/>
      <c r="L93" s="402"/>
      <c r="M93" s="402"/>
      <c r="N93" s="408"/>
      <c r="O93" s="402"/>
      <c r="P93" s="402"/>
      <c r="Q93" s="402"/>
      <c r="R93" s="408"/>
      <c r="S93" s="402"/>
      <c r="T93" s="402"/>
      <c r="U93" s="402"/>
      <c r="V93" s="408"/>
      <c r="W93" s="402"/>
      <c r="X93" s="402"/>
      <c r="Y93" s="402"/>
      <c r="Z93" s="402"/>
      <c r="AA93" s="402"/>
      <c r="AB93" s="402"/>
    </row>
    <row r="94" spans="1:28" ht="19.5">
      <c r="A94" s="991"/>
      <c r="B94" s="385" t="s">
        <v>71</v>
      </c>
      <c r="C94" s="386" t="s">
        <v>325</v>
      </c>
      <c r="D94" s="415">
        <f>ROUND(SUM(D95:D101),0)</f>
        <v>0</v>
      </c>
      <c r="E94" s="385" t="s">
        <v>71</v>
      </c>
      <c r="F94" s="386" t="s">
        <v>325</v>
      </c>
      <c r="G94" s="415">
        <f>ROUND(SUM(G95:G101),0)</f>
        <v>0</v>
      </c>
      <c r="H94" s="414">
        <f>SUM(D94,G94)</f>
        <v>0</v>
      </c>
      <c r="I94" s="402"/>
      <c r="J94" s="402"/>
      <c r="K94" s="402"/>
      <c r="L94" s="402"/>
      <c r="M94" s="402"/>
      <c r="N94" s="408"/>
      <c r="O94" s="404">
        <f>ROUND(SUM(O95:O101),0)</f>
        <v>0</v>
      </c>
      <c r="P94" s="404">
        <f>ROUND(SUM(P95:P101),0)</f>
        <v>0</v>
      </c>
      <c r="Q94" s="413">
        <f>SUM(O94,P94)</f>
        <v>0</v>
      </c>
      <c r="R94" s="408"/>
      <c r="S94" s="404">
        <f>ROUND(SUM(S95:S101),0)</f>
        <v>0</v>
      </c>
      <c r="T94" s="404">
        <f>ROUND(SUM(T95:T101),0)</f>
        <v>0</v>
      </c>
      <c r="U94" s="413">
        <f>SUM(S94,T94)</f>
        <v>0</v>
      </c>
      <c r="V94" s="408"/>
      <c r="W94" s="404">
        <f>ROUND(SUM(W95:W101),0)</f>
        <v>0</v>
      </c>
      <c r="X94" s="404">
        <f>ROUND(SUM(X95:X101),0)</f>
        <v>0</v>
      </c>
      <c r="Y94" s="413">
        <f>SUM(W94,X94)</f>
        <v>0</v>
      </c>
      <c r="Z94" s="404">
        <f>ROUND(SUM(Z95:Z101),0)</f>
        <v>0</v>
      </c>
      <c r="AA94" s="404">
        <f>ROUND(SUM(AA95:AA101),0)</f>
        <v>0</v>
      </c>
      <c r="AB94" s="413">
        <f>SUM(Z94,AA94)</f>
        <v>0</v>
      </c>
    </row>
    <row r="95" spans="1:28">
      <c r="A95" s="382" t="s">
        <v>316</v>
      </c>
      <c r="B95" s="392"/>
      <c r="C95" s="394">
        <f>様式１!E36</f>
        <v>0</v>
      </c>
      <c r="D95" s="395">
        <f>ROUNDDOWN(C95/3,1)</f>
        <v>0</v>
      </c>
      <c r="E95" s="392"/>
      <c r="F95" s="394">
        <f>様式１!N36</f>
        <v>0</v>
      </c>
      <c r="G95" s="395">
        <f>ROUNDDOWN(F95/3,1)</f>
        <v>0</v>
      </c>
      <c r="H95" s="398"/>
      <c r="I95" s="402"/>
      <c r="J95" s="402"/>
      <c r="K95" s="402"/>
      <c r="L95" s="402"/>
      <c r="M95" s="402"/>
      <c r="N95" s="408"/>
      <c r="O95" s="403"/>
      <c r="P95" s="403"/>
      <c r="Q95" s="403"/>
      <c r="R95" s="408"/>
      <c r="S95" s="404">
        <f>D95</f>
        <v>0</v>
      </c>
      <c r="T95" s="404">
        <f>G95</f>
        <v>0</v>
      </c>
      <c r="U95" s="403"/>
      <c r="V95" s="408"/>
      <c r="W95" s="404">
        <f>D95</f>
        <v>0</v>
      </c>
      <c r="X95" s="404">
        <f>G95</f>
        <v>0</v>
      </c>
      <c r="Y95" s="403"/>
      <c r="Z95" s="404">
        <f>D95</f>
        <v>0</v>
      </c>
      <c r="AA95" s="404">
        <f>G95</f>
        <v>0</v>
      </c>
      <c r="AB95" s="403"/>
    </row>
    <row r="96" spans="1:28">
      <c r="A96" s="383" t="s">
        <v>317</v>
      </c>
      <c r="B96" s="393"/>
      <c r="C96" s="389">
        <f>様式１!F36</f>
        <v>0</v>
      </c>
      <c r="D96" s="396">
        <f>ROUNDDOWN(C96/5,1)</f>
        <v>0</v>
      </c>
      <c r="E96" s="393"/>
      <c r="F96" s="389">
        <f>様式１!O36</f>
        <v>0</v>
      </c>
      <c r="G96" s="396">
        <f>ROUNDDOWN(F96/5,1)</f>
        <v>0</v>
      </c>
      <c r="H96" s="399"/>
      <c r="I96" s="402"/>
      <c r="J96" s="402"/>
      <c r="K96" s="402"/>
      <c r="L96" s="402"/>
      <c r="M96" s="402"/>
      <c r="N96" s="408"/>
      <c r="O96" s="403"/>
      <c r="P96" s="403"/>
      <c r="Q96" s="403"/>
      <c r="R96" s="408"/>
      <c r="S96" s="404">
        <f>D96</f>
        <v>0</v>
      </c>
      <c r="T96" s="404">
        <f>G96</f>
        <v>0</v>
      </c>
      <c r="U96" s="403"/>
      <c r="V96" s="408"/>
      <c r="W96" s="983">
        <f>IF(L92="○",ROUNDDOWN(C96/5,1)+ROUNDDOWN(C97/6,1),ROUNDDOWN(SUM(C96:C97)/6,1))</f>
        <v>0</v>
      </c>
      <c r="X96" s="983">
        <f>IF(L92="○",ROUNDDOWN(F96/5,1)+ROUNDDOWN(F97/6,1),ROUNDDOWN(SUM(F96:F97)/6,1))</f>
        <v>0</v>
      </c>
      <c r="Y96" s="403"/>
      <c r="Z96" s="983">
        <f>ROUNDDOWN(SUM(C96:C97)/6,1)</f>
        <v>0</v>
      </c>
      <c r="AA96" s="983">
        <f>ROUNDDOWN(SUM(F96:F97)/6,1)</f>
        <v>0</v>
      </c>
      <c r="AB96" s="403"/>
    </row>
    <row r="97" spans="1:28">
      <c r="A97" s="383" t="s">
        <v>318</v>
      </c>
      <c r="B97" s="393"/>
      <c r="C97" s="389">
        <f>様式１!H36</f>
        <v>0</v>
      </c>
      <c r="D97" s="396">
        <f>ROUNDDOWN(C97/6,1)</f>
        <v>0</v>
      </c>
      <c r="E97" s="393"/>
      <c r="F97" s="389">
        <f>様式１!Q36</f>
        <v>0</v>
      </c>
      <c r="G97" s="396">
        <f>ROUNDDOWN(F97/6,1)</f>
        <v>0</v>
      </c>
      <c r="H97" s="399"/>
      <c r="I97" s="402"/>
      <c r="J97" s="402"/>
      <c r="K97" s="402"/>
      <c r="L97" s="402"/>
      <c r="M97" s="402"/>
      <c r="N97" s="408"/>
      <c r="O97" s="403"/>
      <c r="P97" s="403"/>
      <c r="Q97" s="403"/>
      <c r="R97" s="408"/>
      <c r="S97" s="404">
        <f>D97</f>
        <v>0</v>
      </c>
      <c r="T97" s="404">
        <f>G97</f>
        <v>0</v>
      </c>
      <c r="U97" s="403"/>
      <c r="V97" s="408"/>
      <c r="W97" s="984"/>
      <c r="X97" s="984"/>
      <c r="Y97" s="403"/>
      <c r="Z97" s="984"/>
      <c r="AA97" s="984"/>
      <c r="AB97" s="403"/>
    </row>
    <row r="98" spans="1:28">
      <c r="A98" s="383" t="s">
        <v>319</v>
      </c>
      <c r="B98" s="387">
        <f>様式１!I34</f>
        <v>0</v>
      </c>
      <c r="C98" s="388"/>
      <c r="D98" s="396">
        <f>IF($M92="○",ROUNDDOWN(B98/6,1),IF($K92="○",ROUNDDOWN(B98/15,1),ROUNDDOWN(B98/20,1)))</f>
        <v>0</v>
      </c>
      <c r="E98" s="387">
        <f>様式１!R34</f>
        <v>0</v>
      </c>
      <c r="F98" s="388"/>
      <c r="G98" s="396">
        <f>IF($M92="○",ROUNDDOWN(E98/6,1),IF($K92="○",ROUNDDOWN(E98/15,1),ROUNDDOWN(E98/20,1)))</f>
        <v>0</v>
      </c>
      <c r="H98" s="399"/>
      <c r="I98" s="402"/>
      <c r="J98" s="402"/>
      <c r="K98" s="402"/>
      <c r="L98" s="402"/>
      <c r="M98" s="402"/>
      <c r="N98" s="408"/>
      <c r="O98" s="404">
        <f>D98</f>
        <v>0</v>
      </c>
      <c r="P98" s="404">
        <f>G98</f>
        <v>0</v>
      </c>
      <c r="Q98" s="403"/>
      <c r="R98" s="408"/>
      <c r="S98" s="404">
        <f>IF($M92="○",ROUNDDOWN(B98/6,1),ROUNDDOWN(B98/15,1))</f>
        <v>0</v>
      </c>
      <c r="T98" s="404">
        <f>IF($M92="○",ROUNDDOWN(E98/6,1),ROUNDDOWN(E98/15,1))</f>
        <v>0</v>
      </c>
      <c r="U98" s="403"/>
      <c r="V98" s="408"/>
      <c r="W98" s="404">
        <f>D98</f>
        <v>0</v>
      </c>
      <c r="X98" s="404">
        <f>G98</f>
        <v>0</v>
      </c>
      <c r="Y98" s="403"/>
      <c r="Z98" s="404">
        <f>ROUNDDOWN(B98/20,1)</f>
        <v>0</v>
      </c>
      <c r="AA98" s="404">
        <f>ROUNDDOWN(E98/20,1)</f>
        <v>0</v>
      </c>
      <c r="AB98" s="403"/>
    </row>
    <row r="99" spans="1:28">
      <c r="A99" s="383" t="s">
        <v>320</v>
      </c>
      <c r="B99" s="387">
        <f>様式１!J34</f>
        <v>0</v>
      </c>
      <c r="C99" s="389">
        <f>様式１!J35</f>
        <v>0</v>
      </c>
      <c r="D99" s="396">
        <f>IF($K92="○",ROUNDDOWN((B99+C99)/15,1),ROUNDDOWN(B99/20,1)+ROUNDDOWN(C99/15,1))</f>
        <v>0</v>
      </c>
      <c r="E99" s="387">
        <f>様式１!S34</f>
        <v>0</v>
      </c>
      <c r="F99" s="389">
        <f>様式１!S35</f>
        <v>0</v>
      </c>
      <c r="G99" s="396">
        <f>IF($K92="○",ROUNDDOWN((E99+F99)/15,1),ROUNDDOWN(E99/20,1)+ROUNDDOWN(F99/15,1))</f>
        <v>0</v>
      </c>
      <c r="H99" s="399"/>
      <c r="I99" s="402"/>
      <c r="J99" s="402"/>
      <c r="K99" s="402"/>
      <c r="L99" s="402"/>
      <c r="M99" s="402"/>
      <c r="N99" s="408"/>
      <c r="O99" s="404">
        <f>IF($K92="○",ROUNDDOWN(B99/15,1),ROUNDDOWN(B99/20,1))</f>
        <v>0</v>
      </c>
      <c r="P99" s="404">
        <f>IF($K92="○",ROUNDDOWN(E99/15,1),ROUNDDOWN(E99/20,1))</f>
        <v>0</v>
      </c>
      <c r="Q99" s="403"/>
      <c r="R99" s="408"/>
      <c r="S99" s="404">
        <f>ROUNDDOWN((B99+C99)/15,1)</f>
        <v>0</v>
      </c>
      <c r="T99" s="404">
        <f>ROUNDDOWN((E99+F99)/15,1)</f>
        <v>0</v>
      </c>
      <c r="U99" s="403"/>
      <c r="V99" s="408"/>
      <c r="W99" s="404">
        <f>IF(K92="○",ROUNDDOWN(SUM(B99:C99)/15,1),ROUNDDOWN(SUM(B99:C99)/20,1))</f>
        <v>0</v>
      </c>
      <c r="X99" s="404">
        <f>IF(K92="○",ROUNDDOWN(SUM(E99:F99)/15,1),ROUNDDOWN(SUM(E99:F99)/20,1))</f>
        <v>0</v>
      </c>
      <c r="Y99" s="403"/>
      <c r="Z99" s="404">
        <f>ROUNDDOWN(SUM(B99:C99)/20,1)</f>
        <v>0</v>
      </c>
      <c r="AA99" s="404">
        <f>ROUNDDOWN(SUM(E99:F99)/20,1)</f>
        <v>0</v>
      </c>
      <c r="AB99" s="403"/>
    </row>
    <row r="100" spans="1:28">
      <c r="A100" s="383" t="s">
        <v>321</v>
      </c>
      <c r="B100" s="387">
        <f>様式１!K34</f>
        <v>0</v>
      </c>
      <c r="C100" s="389">
        <f>様式１!K35</f>
        <v>0</v>
      </c>
      <c r="D100" s="985">
        <f>IF($J92="○",ROUNDDOWN(SUM(B100,B101,C101)/25,1)+ROUNDDOWN(C100/20,1),ROUNDDOWN(SUM(B100,B101)/30,1)+ROUNDDOWN(C100/20,1)+ROUNDDOWN(C101/25,1))</f>
        <v>0</v>
      </c>
      <c r="E100" s="387">
        <f>様式１!T34</f>
        <v>0</v>
      </c>
      <c r="F100" s="389">
        <f>様式１!T35</f>
        <v>0</v>
      </c>
      <c r="G100" s="985">
        <f>IF($J92="○",ROUNDDOWN(SUM(E100,E101,F101)/25,1)+ROUNDDOWN(F100/20,1),ROUNDDOWN(SUM(E100,E101)/30,1)+ROUNDDOWN(F100/20,1)+ROUNDDOWN(F101/25,1))</f>
        <v>0</v>
      </c>
      <c r="H100" s="399"/>
      <c r="I100" s="402"/>
      <c r="J100" s="402"/>
      <c r="K100" s="402"/>
      <c r="L100" s="402"/>
      <c r="M100" s="402"/>
      <c r="N100" s="408"/>
      <c r="O100" s="983">
        <f>IF($J92="○",ROUNDDOWN(SUM(B100,B101)/25,1),ROUNDDOWN(SUM(B100,B101)/30,1))</f>
        <v>0</v>
      </c>
      <c r="P100" s="983">
        <f>IF($J92="○",ROUNDDOWN(SUM(E100,E101)/25,1),ROUNDDOWN(SUM(E100,E101)/30,1))</f>
        <v>0</v>
      </c>
      <c r="Q100" s="403"/>
      <c r="R100" s="408"/>
      <c r="S100" s="983">
        <f>ROUNDDOWN(SUM(B100,B101,C101)/25,1)+ROUNDDOWN(C100/20,1)</f>
        <v>0</v>
      </c>
      <c r="T100" s="983">
        <f>ROUNDDOWN(SUM(E100,E101,F101)/25,1)+ROUNDDOWN(F100/20,1)</f>
        <v>0</v>
      </c>
      <c r="U100" s="403"/>
      <c r="V100" s="408"/>
      <c r="W100" s="983">
        <f>IF(J92="○",ROUNDDOWN(SUM(B100:C101)/25,1),ROUNDDOWN(SUM(B100:C101)/30,1))</f>
        <v>0</v>
      </c>
      <c r="X100" s="983">
        <f>IF(J92="○",ROUNDDOWN(SUM(E100:F101)/25,1),ROUNDDOWN(SUM(E100:F101)/30,1))</f>
        <v>0</v>
      </c>
      <c r="Y100" s="403"/>
      <c r="Z100" s="983">
        <f>ROUNDDOWN(SUM(B100:C101)/30,1)</f>
        <v>0</v>
      </c>
      <c r="AA100" s="983">
        <f>ROUNDDOWN(SUM(E100:F101)/30,1)</f>
        <v>0</v>
      </c>
      <c r="AB100" s="403"/>
    </row>
    <row r="101" spans="1:28" ht="19.5" thickBot="1">
      <c r="A101" s="384" t="s">
        <v>322</v>
      </c>
      <c r="B101" s="390">
        <f>様式１!L34</f>
        <v>0</v>
      </c>
      <c r="C101" s="391">
        <f>様式１!L35</f>
        <v>0</v>
      </c>
      <c r="D101" s="986"/>
      <c r="E101" s="390">
        <f>様式１!U34</f>
        <v>0</v>
      </c>
      <c r="F101" s="391">
        <f>様式１!U35</f>
        <v>0</v>
      </c>
      <c r="G101" s="986"/>
      <c r="H101" s="400"/>
      <c r="I101" s="402"/>
      <c r="J101" s="402"/>
      <c r="K101" s="402"/>
      <c r="L101" s="402"/>
      <c r="M101" s="402"/>
      <c r="N101" s="408"/>
      <c r="O101" s="984"/>
      <c r="P101" s="984"/>
      <c r="Q101" s="403"/>
      <c r="R101" s="408"/>
      <c r="S101" s="984"/>
      <c r="T101" s="984"/>
      <c r="U101" s="403"/>
      <c r="V101" s="408"/>
      <c r="W101" s="984"/>
      <c r="X101" s="984"/>
      <c r="Y101" s="403"/>
      <c r="Z101" s="984"/>
      <c r="AA101" s="984"/>
      <c r="AB101" s="403"/>
    </row>
    <row r="102" spans="1:28">
      <c r="A102" s="989" t="str">
        <f>I102</f>
        <v>2月</v>
      </c>
      <c r="B102" s="992" t="s">
        <v>313</v>
      </c>
      <c r="C102" s="992"/>
      <c r="D102" s="992"/>
      <c r="E102" s="992" t="s">
        <v>314</v>
      </c>
      <c r="F102" s="992"/>
      <c r="G102" s="992"/>
      <c r="H102" s="987" t="s">
        <v>315</v>
      </c>
      <c r="I102" s="401" t="str">
        <f>加算等適用状況!A24</f>
        <v>2月</v>
      </c>
      <c r="J102" s="401" t="str">
        <f>加算等適用状況!G24</f>
        <v/>
      </c>
      <c r="K102" s="401" t="str">
        <f>加算等適用状況!H24</f>
        <v/>
      </c>
      <c r="L102" s="401" t="str">
        <f>加算等適用状況!I24</f>
        <v/>
      </c>
      <c r="M102" s="401" t="str">
        <f>加算等適用状況!J24</f>
        <v/>
      </c>
      <c r="N102" s="408"/>
      <c r="O102" s="401" t="s">
        <v>306</v>
      </c>
      <c r="P102" s="401" t="s">
        <v>307</v>
      </c>
      <c r="Q102" s="401" t="s">
        <v>141</v>
      </c>
      <c r="R102" s="408"/>
      <c r="S102" s="401" t="s">
        <v>306</v>
      </c>
      <c r="T102" s="401" t="s">
        <v>307</v>
      </c>
      <c r="U102" s="401" t="s">
        <v>141</v>
      </c>
      <c r="V102" s="408"/>
      <c r="W102" s="401" t="s">
        <v>306</v>
      </c>
      <c r="X102" s="401" t="s">
        <v>307</v>
      </c>
      <c r="Y102" s="401" t="s">
        <v>141</v>
      </c>
      <c r="Z102" s="401" t="s">
        <v>306</v>
      </c>
      <c r="AA102" s="401" t="s">
        <v>307</v>
      </c>
      <c r="AB102" s="401" t="s">
        <v>141</v>
      </c>
    </row>
    <row r="103" spans="1:28">
      <c r="A103" s="990"/>
      <c r="B103" s="993" t="s">
        <v>323</v>
      </c>
      <c r="C103" s="994"/>
      <c r="D103" s="381" t="s">
        <v>324</v>
      </c>
      <c r="E103" s="993" t="s">
        <v>323</v>
      </c>
      <c r="F103" s="994"/>
      <c r="G103" s="381" t="s">
        <v>324</v>
      </c>
      <c r="H103" s="988"/>
      <c r="I103" s="402"/>
      <c r="J103" s="402"/>
      <c r="K103" s="402"/>
      <c r="L103" s="402"/>
      <c r="M103" s="402"/>
      <c r="N103" s="408"/>
      <c r="O103" s="402"/>
      <c r="P103" s="402"/>
      <c r="Q103" s="402"/>
      <c r="R103" s="408"/>
      <c r="S103" s="402"/>
      <c r="T103" s="402"/>
      <c r="U103" s="402"/>
      <c r="V103" s="408"/>
      <c r="W103" s="402"/>
      <c r="X103" s="402"/>
      <c r="Y103" s="402"/>
      <c r="Z103" s="402"/>
      <c r="AA103" s="402"/>
      <c r="AB103" s="402"/>
    </row>
    <row r="104" spans="1:28" ht="19.5">
      <c r="A104" s="991"/>
      <c r="B104" s="385" t="s">
        <v>71</v>
      </c>
      <c r="C104" s="386" t="s">
        <v>325</v>
      </c>
      <c r="D104" s="415">
        <f>ROUND(SUM(D105:D111),0)</f>
        <v>0</v>
      </c>
      <c r="E104" s="385" t="s">
        <v>71</v>
      </c>
      <c r="F104" s="386" t="s">
        <v>325</v>
      </c>
      <c r="G104" s="415">
        <f>ROUND(SUM(G105:G111),0)</f>
        <v>0</v>
      </c>
      <c r="H104" s="414">
        <f>SUM(D104,G104)</f>
        <v>0</v>
      </c>
      <c r="I104" s="402"/>
      <c r="J104" s="402"/>
      <c r="K104" s="402"/>
      <c r="L104" s="402"/>
      <c r="M104" s="402"/>
      <c r="N104" s="408"/>
      <c r="O104" s="404">
        <f>ROUND(SUM(O105:O111),0)</f>
        <v>0</v>
      </c>
      <c r="P104" s="404">
        <f>ROUND(SUM(P105:P111),0)</f>
        <v>0</v>
      </c>
      <c r="Q104" s="413">
        <f>SUM(O104,P104)</f>
        <v>0</v>
      </c>
      <c r="R104" s="408"/>
      <c r="S104" s="404">
        <f>ROUND(SUM(S105:S111),0)</f>
        <v>0</v>
      </c>
      <c r="T104" s="404">
        <f>ROUND(SUM(T105:T111),0)</f>
        <v>0</v>
      </c>
      <c r="U104" s="413">
        <f>SUM(S104,T104)</f>
        <v>0</v>
      </c>
      <c r="V104" s="408"/>
      <c r="W104" s="404">
        <f>ROUND(SUM(W105:W111),0)</f>
        <v>0</v>
      </c>
      <c r="X104" s="404">
        <f>ROUND(SUM(X105:X111),0)</f>
        <v>0</v>
      </c>
      <c r="Y104" s="413">
        <f>SUM(W104,X104)</f>
        <v>0</v>
      </c>
      <c r="Z104" s="404">
        <f>ROUND(SUM(Z105:Z111),0)</f>
        <v>0</v>
      </c>
      <c r="AA104" s="404">
        <f>ROUND(SUM(AA105:AA111),0)</f>
        <v>0</v>
      </c>
      <c r="AB104" s="413">
        <f>SUM(Z104,AA104)</f>
        <v>0</v>
      </c>
    </row>
    <row r="105" spans="1:28">
      <c r="A105" s="382" t="s">
        <v>316</v>
      </c>
      <c r="B105" s="392"/>
      <c r="C105" s="394">
        <f>様式１!E39</f>
        <v>0</v>
      </c>
      <c r="D105" s="395">
        <f>ROUNDDOWN(C105/3,1)</f>
        <v>0</v>
      </c>
      <c r="E105" s="392"/>
      <c r="F105" s="394">
        <f>様式１!N39</f>
        <v>0</v>
      </c>
      <c r="G105" s="395">
        <f>ROUNDDOWN(F105/3,1)</f>
        <v>0</v>
      </c>
      <c r="H105" s="398"/>
      <c r="I105" s="402"/>
      <c r="J105" s="402"/>
      <c r="K105" s="402"/>
      <c r="L105" s="402"/>
      <c r="M105" s="402"/>
      <c r="N105" s="408"/>
      <c r="O105" s="403"/>
      <c r="P105" s="403"/>
      <c r="Q105" s="403"/>
      <c r="R105" s="408"/>
      <c r="S105" s="404">
        <f>D105</f>
        <v>0</v>
      </c>
      <c r="T105" s="404">
        <f>G105</f>
        <v>0</v>
      </c>
      <c r="U105" s="403"/>
      <c r="V105" s="408"/>
      <c r="W105" s="404">
        <f>D105</f>
        <v>0</v>
      </c>
      <c r="X105" s="404">
        <f>G105</f>
        <v>0</v>
      </c>
      <c r="Y105" s="403"/>
      <c r="Z105" s="404">
        <f>D105</f>
        <v>0</v>
      </c>
      <c r="AA105" s="404">
        <f>G105</f>
        <v>0</v>
      </c>
      <c r="AB105" s="403"/>
    </row>
    <row r="106" spans="1:28">
      <c r="A106" s="383" t="s">
        <v>317</v>
      </c>
      <c r="B106" s="393"/>
      <c r="C106" s="389">
        <f>様式１!F39</f>
        <v>0</v>
      </c>
      <c r="D106" s="396">
        <f>ROUNDDOWN(C106/5,1)</f>
        <v>0</v>
      </c>
      <c r="E106" s="393"/>
      <c r="F106" s="389">
        <f>様式１!O39</f>
        <v>0</v>
      </c>
      <c r="G106" s="396">
        <f>ROUNDDOWN(F106/5,1)</f>
        <v>0</v>
      </c>
      <c r="H106" s="399"/>
      <c r="I106" s="402"/>
      <c r="J106" s="402"/>
      <c r="K106" s="402"/>
      <c r="L106" s="402"/>
      <c r="M106" s="402"/>
      <c r="N106" s="408"/>
      <c r="O106" s="403"/>
      <c r="P106" s="403"/>
      <c r="Q106" s="403"/>
      <c r="R106" s="408"/>
      <c r="S106" s="404">
        <f>D106</f>
        <v>0</v>
      </c>
      <c r="T106" s="404">
        <f>G106</f>
        <v>0</v>
      </c>
      <c r="U106" s="403"/>
      <c r="V106" s="408"/>
      <c r="W106" s="983">
        <f>IF(L102="○",ROUNDDOWN(C106/5,1)+ROUNDDOWN(C107/6,1),ROUNDDOWN(SUM(C106:C107)/6,1))</f>
        <v>0</v>
      </c>
      <c r="X106" s="983">
        <f>IF(L102="○",ROUNDDOWN(F106/5,1)+ROUNDDOWN(F107/6,1),ROUNDDOWN(SUM(F106:F107)/6,1))</f>
        <v>0</v>
      </c>
      <c r="Y106" s="403"/>
      <c r="Z106" s="983">
        <f>ROUNDDOWN(SUM(C106:C107)/6,1)</f>
        <v>0</v>
      </c>
      <c r="AA106" s="983">
        <f>ROUNDDOWN(SUM(F106:F107)/6,1)</f>
        <v>0</v>
      </c>
      <c r="AB106" s="403"/>
    </row>
    <row r="107" spans="1:28">
      <c r="A107" s="383" t="s">
        <v>318</v>
      </c>
      <c r="B107" s="393"/>
      <c r="C107" s="389">
        <f>様式１!H39</f>
        <v>0</v>
      </c>
      <c r="D107" s="396">
        <f>ROUNDDOWN(C107/6,1)</f>
        <v>0</v>
      </c>
      <c r="E107" s="393"/>
      <c r="F107" s="389">
        <f>様式１!Q39</f>
        <v>0</v>
      </c>
      <c r="G107" s="396">
        <f>ROUNDDOWN(F107/6,1)</f>
        <v>0</v>
      </c>
      <c r="H107" s="399"/>
      <c r="I107" s="402"/>
      <c r="J107" s="402"/>
      <c r="K107" s="402"/>
      <c r="L107" s="402"/>
      <c r="M107" s="402"/>
      <c r="N107" s="408"/>
      <c r="O107" s="403"/>
      <c r="P107" s="403"/>
      <c r="Q107" s="403"/>
      <c r="R107" s="408"/>
      <c r="S107" s="404">
        <f>D107</f>
        <v>0</v>
      </c>
      <c r="T107" s="404">
        <f>G107</f>
        <v>0</v>
      </c>
      <c r="U107" s="403"/>
      <c r="V107" s="408"/>
      <c r="W107" s="984"/>
      <c r="X107" s="984"/>
      <c r="Y107" s="403"/>
      <c r="Z107" s="984"/>
      <c r="AA107" s="984"/>
      <c r="AB107" s="403"/>
    </row>
    <row r="108" spans="1:28">
      <c r="A108" s="383" t="s">
        <v>319</v>
      </c>
      <c r="B108" s="387">
        <f>様式１!I37</f>
        <v>0</v>
      </c>
      <c r="C108" s="388"/>
      <c r="D108" s="396">
        <f>IF($M102="○",ROUNDDOWN(B108/6,1),IF($K102="○",ROUNDDOWN(B108/15,1),ROUNDDOWN(B108/20,1)))</f>
        <v>0</v>
      </c>
      <c r="E108" s="387">
        <f>様式１!R37</f>
        <v>0</v>
      </c>
      <c r="F108" s="388"/>
      <c r="G108" s="396">
        <f>IF($M102="○",ROUNDDOWN(E108/6,1),IF($K102="○",ROUNDDOWN(E108/15,1),ROUNDDOWN(E108/20,1)))</f>
        <v>0</v>
      </c>
      <c r="H108" s="399"/>
      <c r="I108" s="402"/>
      <c r="J108" s="402"/>
      <c r="K108" s="402"/>
      <c r="L108" s="402"/>
      <c r="M108" s="402"/>
      <c r="N108" s="408"/>
      <c r="O108" s="404">
        <f>D108</f>
        <v>0</v>
      </c>
      <c r="P108" s="404">
        <f>G108</f>
        <v>0</v>
      </c>
      <c r="Q108" s="403"/>
      <c r="R108" s="408"/>
      <c r="S108" s="404">
        <f>IF($M102="○",ROUNDDOWN(B108/6,1),ROUNDDOWN(B108/15,1))</f>
        <v>0</v>
      </c>
      <c r="T108" s="404">
        <f>IF($M102="○",ROUNDDOWN(E108/6,1),ROUNDDOWN(E108/15,1))</f>
        <v>0</v>
      </c>
      <c r="U108" s="403"/>
      <c r="V108" s="408"/>
      <c r="W108" s="404">
        <f>D108</f>
        <v>0</v>
      </c>
      <c r="X108" s="404">
        <f>G108</f>
        <v>0</v>
      </c>
      <c r="Y108" s="403"/>
      <c r="Z108" s="404">
        <f>ROUNDDOWN(B108/20,1)</f>
        <v>0</v>
      </c>
      <c r="AA108" s="404">
        <f>ROUNDDOWN(E108/20,1)</f>
        <v>0</v>
      </c>
      <c r="AB108" s="403"/>
    </row>
    <row r="109" spans="1:28">
      <c r="A109" s="383" t="s">
        <v>320</v>
      </c>
      <c r="B109" s="387">
        <f>様式１!J37</f>
        <v>0</v>
      </c>
      <c r="C109" s="389">
        <f>様式１!J38</f>
        <v>0</v>
      </c>
      <c r="D109" s="396">
        <f>IF($K102="○",ROUNDDOWN((B109+C109)/15,1),ROUNDDOWN(B109/20,1)+ROUNDDOWN(C109/15,1))</f>
        <v>0</v>
      </c>
      <c r="E109" s="387">
        <f>様式１!S37</f>
        <v>0</v>
      </c>
      <c r="F109" s="389">
        <f>様式１!S38</f>
        <v>0</v>
      </c>
      <c r="G109" s="396">
        <f>IF($K102="○",ROUNDDOWN((E109+F109)/15,1),ROUNDDOWN(E109/20,1)+ROUNDDOWN(F109/15,1))</f>
        <v>0</v>
      </c>
      <c r="H109" s="399"/>
      <c r="I109" s="402"/>
      <c r="J109" s="402"/>
      <c r="K109" s="402"/>
      <c r="L109" s="402"/>
      <c r="M109" s="402"/>
      <c r="N109" s="408"/>
      <c r="O109" s="404">
        <f>IF($K102="○",ROUNDDOWN(B109/15,1),ROUNDDOWN(B109/20,1))</f>
        <v>0</v>
      </c>
      <c r="P109" s="404">
        <f>IF($K102="○",ROUNDDOWN(E109/15,1),ROUNDDOWN(E109/20,1))</f>
        <v>0</v>
      </c>
      <c r="Q109" s="403"/>
      <c r="R109" s="408"/>
      <c r="S109" s="404">
        <f>ROUNDDOWN((B109+C109)/15,1)</f>
        <v>0</v>
      </c>
      <c r="T109" s="404">
        <f>ROUNDDOWN((E109+F109)/15,1)</f>
        <v>0</v>
      </c>
      <c r="U109" s="403"/>
      <c r="V109" s="408"/>
      <c r="W109" s="404">
        <f>IF(K102="○",ROUNDDOWN(SUM(B109:C109)/15,1),ROUNDDOWN(SUM(B109:C109)/20,1))</f>
        <v>0</v>
      </c>
      <c r="X109" s="404">
        <f>IF(K102="○",ROUNDDOWN(SUM(E109:F109)/15,1),ROUNDDOWN(SUM(E109:F109)/20,1))</f>
        <v>0</v>
      </c>
      <c r="Y109" s="403"/>
      <c r="Z109" s="404">
        <f>ROUNDDOWN(SUM(B109:C109)/20,1)</f>
        <v>0</v>
      </c>
      <c r="AA109" s="404">
        <f>ROUNDDOWN(SUM(E109:F109)/20,1)</f>
        <v>0</v>
      </c>
      <c r="AB109" s="403"/>
    </row>
    <row r="110" spans="1:28">
      <c r="A110" s="383" t="s">
        <v>321</v>
      </c>
      <c r="B110" s="387">
        <f>様式１!K37</f>
        <v>0</v>
      </c>
      <c r="C110" s="389">
        <f>様式１!K38</f>
        <v>0</v>
      </c>
      <c r="D110" s="985">
        <f>IF($J102="○",ROUNDDOWN(SUM(B110,B111,C111)/25,1)+ROUNDDOWN(C110/20,1),ROUNDDOWN(SUM(B110,B111)/30,1)+ROUNDDOWN(C110/20,1)+ROUNDDOWN(C111/25,1))</f>
        <v>0</v>
      </c>
      <c r="E110" s="387">
        <f>様式１!T37</f>
        <v>0</v>
      </c>
      <c r="F110" s="389">
        <f>様式１!T38</f>
        <v>0</v>
      </c>
      <c r="G110" s="985">
        <f>IF($J102="○",ROUNDDOWN(SUM(E110,E111,F111)/25,1)+ROUNDDOWN(F110/20,1),ROUNDDOWN(SUM(E110,E111)/30,1)+ROUNDDOWN(F110/20,1)+ROUNDDOWN(F111/25,1))</f>
        <v>0</v>
      </c>
      <c r="H110" s="399"/>
      <c r="I110" s="402"/>
      <c r="J110" s="402"/>
      <c r="K110" s="402"/>
      <c r="L110" s="402"/>
      <c r="M110" s="402"/>
      <c r="N110" s="408"/>
      <c r="O110" s="983">
        <f>IF($J102="○",ROUNDDOWN(SUM(B110,B111)/25,1),ROUNDDOWN(SUM(B110,B111)/30,1))</f>
        <v>0</v>
      </c>
      <c r="P110" s="983">
        <f>IF($J102="○",ROUNDDOWN(SUM(E110,E111)/25,1),ROUNDDOWN(SUM(E110,E111)/30,1))</f>
        <v>0</v>
      </c>
      <c r="Q110" s="403"/>
      <c r="R110" s="408"/>
      <c r="S110" s="983">
        <f>ROUNDDOWN(SUM(B110,B111,C111)/25,1)+ROUNDDOWN(C110/20,1)</f>
        <v>0</v>
      </c>
      <c r="T110" s="983">
        <f>ROUNDDOWN(SUM(E110,E111,F111)/25,1)+ROUNDDOWN(F110/20,1)</f>
        <v>0</v>
      </c>
      <c r="U110" s="403"/>
      <c r="V110" s="408"/>
      <c r="W110" s="983">
        <f>IF(J102="○",ROUNDDOWN(SUM(B110:C111)/25,1),ROUNDDOWN(SUM(B110:C111)/30,1))</f>
        <v>0</v>
      </c>
      <c r="X110" s="983">
        <f>IF(J102="○",ROUNDDOWN(SUM(E110:F111)/25,1),ROUNDDOWN(SUM(E110:F111)/30,1))</f>
        <v>0</v>
      </c>
      <c r="Y110" s="403"/>
      <c r="Z110" s="983">
        <f>ROUNDDOWN(SUM(B110:C111)/30,1)</f>
        <v>0</v>
      </c>
      <c r="AA110" s="983">
        <f>ROUNDDOWN(SUM(E110:F111)/30,1)</f>
        <v>0</v>
      </c>
      <c r="AB110" s="403"/>
    </row>
    <row r="111" spans="1:28" ht="19.5" thickBot="1">
      <c r="A111" s="384" t="s">
        <v>322</v>
      </c>
      <c r="B111" s="390">
        <f>様式１!L37</f>
        <v>0</v>
      </c>
      <c r="C111" s="391">
        <f>様式１!L38</f>
        <v>0</v>
      </c>
      <c r="D111" s="986"/>
      <c r="E111" s="390">
        <f>様式１!U37</f>
        <v>0</v>
      </c>
      <c r="F111" s="391">
        <f>様式１!U38</f>
        <v>0</v>
      </c>
      <c r="G111" s="986"/>
      <c r="H111" s="400"/>
      <c r="I111" s="402"/>
      <c r="J111" s="402"/>
      <c r="K111" s="402"/>
      <c r="L111" s="402"/>
      <c r="M111" s="402"/>
      <c r="N111" s="408"/>
      <c r="O111" s="984"/>
      <c r="P111" s="984"/>
      <c r="Q111" s="403"/>
      <c r="R111" s="408"/>
      <c r="S111" s="984"/>
      <c r="T111" s="984"/>
      <c r="U111" s="403"/>
      <c r="V111" s="408"/>
      <c r="W111" s="984"/>
      <c r="X111" s="984"/>
      <c r="Y111" s="403"/>
      <c r="Z111" s="984"/>
      <c r="AA111" s="984"/>
      <c r="AB111" s="403"/>
    </row>
    <row r="112" spans="1:28">
      <c r="A112" s="989" t="str">
        <f>I112</f>
        <v>3月</v>
      </c>
      <c r="B112" s="992" t="s">
        <v>313</v>
      </c>
      <c r="C112" s="992"/>
      <c r="D112" s="992"/>
      <c r="E112" s="992" t="s">
        <v>314</v>
      </c>
      <c r="F112" s="992"/>
      <c r="G112" s="992"/>
      <c r="H112" s="987" t="s">
        <v>315</v>
      </c>
      <c r="I112" s="401" t="str">
        <f>加算等適用状況!A25</f>
        <v>3月</v>
      </c>
      <c r="J112" s="401" t="str">
        <f>加算等適用状況!G25</f>
        <v/>
      </c>
      <c r="K112" s="401" t="str">
        <f>加算等適用状況!H25</f>
        <v/>
      </c>
      <c r="L112" s="401" t="str">
        <f>加算等適用状況!I25</f>
        <v/>
      </c>
      <c r="M112" s="401" t="str">
        <f>加算等適用状況!J25</f>
        <v/>
      </c>
      <c r="N112" s="408"/>
      <c r="O112" s="401" t="s">
        <v>306</v>
      </c>
      <c r="P112" s="401" t="s">
        <v>307</v>
      </c>
      <c r="Q112" s="401" t="s">
        <v>141</v>
      </c>
      <c r="R112" s="408"/>
      <c r="S112" s="401" t="s">
        <v>306</v>
      </c>
      <c r="T112" s="401" t="s">
        <v>307</v>
      </c>
      <c r="U112" s="401" t="s">
        <v>141</v>
      </c>
      <c r="V112" s="408"/>
      <c r="W112" s="401" t="s">
        <v>306</v>
      </c>
      <c r="X112" s="401" t="s">
        <v>307</v>
      </c>
      <c r="Y112" s="401" t="s">
        <v>141</v>
      </c>
      <c r="Z112" s="401" t="s">
        <v>306</v>
      </c>
      <c r="AA112" s="401" t="s">
        <v>307</v>
      </c>
      <c r="AB112" s="401" t="s">
        <v>141</v>
      </c>
    </row>
    <row r="113" spans="1:28">
      <c r="A113" s="990"/>
      <c r="B113" s="993" t="s">
        <v>323</v>
      </c>
      <c r="C113" s="994"/>
      <c r="D113" s="381" t="s">
        <v>324</v>
      </c>
      <c r="E113" s="993" t="s">
        <v>323</v>
      </c>
      <c r="F113" s="994"/>
      <c r="G113" s="381" t="s">
        <v>324</v>
      </c>
      <c r="H113" s="988"/>
      <c r="I113" s="402"/>
      <c r="J113" s="402"/>
      <c r="K113" s="402"/>
      <c r="L113" s="402"/>
      <c r="M113" s="402"/>
      <c r="N113" s="408"/>
      <c r="O113" s="402"/>
      <c r="P113" s="402"/>
      <c r="Q113" s="402"/>
      <c r="R113" s="408"/>
      <c r="S113" s="402"/>
      <c r="T113" s="402"/>
      <c r="U113" s="402"/>
      <c r="V113" s="408"/>
      <c r="W113" s="402"/>
      <c r="X113" s="402"/>
      <c r="Y113" s="402"/>
      <c r="Z113" s="402"/>
      <c r="AA113" s="402"/>
      <c r="AB113" s="402"/>
    </row>
    <row r="114" spans="1:28" ht="19.5">
      <c r="A114" s="991"/>
      <c r="B114" s="385" t="s">
        <v>71</v>
      </c>
      <c r="C114" s="386" t="s">
        <v>325</v>
      </c>
      <c r="D114" s="415">
        <f>ROUND(SUM(D115:D121),0)</f>
        <v>0</v>
      </c>
      <c r="E114" s="385" t="s">
        <v>71</v>
      </c>
      <c r="F114" s="386" t="s">
        <v>325</v>
      </c>
      <c r="G114" s="415">
        <f>ROUND(SUM(G115:G121),0)</f>
        <v>0</v>
      </c>
      <c r="H114" s="414">
        <f>SUM(D114,G114)</f>
        <v>0</v>
      </c>
      <c r="I114" s="402"/>
      <c r="J114" s="402"/>
      <c r="K114" s="402"/>
      <c r="L114" s="402"/>
      <c r="M114" s="402"/>
      <c r="N114" s="408"/>
      <c r="O114" s="404">
        <f>ROUND(SUM(O115:O121),0)</f>
        <v>0</v>
      </c>
      <c r="P114" s="404">
        <f>ROUND(SUM(P115:P121),0)</f>
        <v>0</v>
      </c>
      <c r="Q114" s="413">
        <f>SUM(O114,P114)</f>
        <v>0</v>
      </c>
      <c r="R114" s="408"/>
      <c r="S114" s="404">
        <f>ROUND(SUM(S115:S121),0)</f>
        <v>0</v>
      </c>
      <c r="T114" s="404">
        <f>ROUND(SUM(T115:T121),0)</f>
        <v>0</v>
      </c>
      <c r="U114" s="413">
        <f>SUM(S114,T114)</f>
        <v>0</v>
      </c>
      <c r="V114" s="408"/>
      <c r="W114" s="404">
        <f>ROUND(SUM(W115:W121),0)</f>
        <v>0</v>
      </c>
      <c r="X114" s="404">
        <f>ROUND(SUM(X115:X121),0)</f>
        <v>0</v>
      </c>
      <c r="Y114" s="413">
        <f>SUM(W114,X114)</f>
        <v>0</v>
      </c>
      <c r="Z114" s="404">
        <f>ROUND(SUM(Z115:Z121),0)</f>
        <v>0</v>
      </c>
      <c r="AA114" s="404">
        <f>ROUND(SUM(AA115:AA121),0)</f>
        <v>0</v>
      </c>
      <c r="AB114" s="413">
        <f>SUM(Z114,AA114)</f>
        <v>0</v>
      </c>
    </row>
    <row r="115" spans="1:28">
      <c r="A115" s="382" t="s">
        <v>316</v>
      </c>
      <c r="B115" s="392"/>
      <c r="C115" s="394">
        <f>様式１!E42</f>
        <v>0</v>
      </c>
      <c r="D115" s="395">
        <f>ROUNDDOWN(C115/3,1)</f>
        <v>0</v>
      </c>
      <c r="E115" s="392"/>
      <c r="F115" s="394">
        <f>様式１!N42</f>
        <v>0</v>
      </c>
      <c r="G115" s="395">
        <f>ROUNDDOWN(F115/3,1)</f>
        <v>0</v>
      </c>
      <c r="H115" s="398"/>
      <c r="I115" s="402"/>
      <c r="J115" s="402"/>
      <c r="K115" s="402"/>
      <c r="L115" s="402"/>
      <c r="M115" s="402"/>
      <c r="N115" s="408"/>
      <c r="O115" s="403"/>
      <c r="P115" s="403"/>
      <c r="Q115" s="403"/>
      <c r="R115" s="408"/>
      <c r="S115" s="404">
        <f>D115</f>
        <v>0</v>
      </c>
      <c r="T115" s="404">
        <f>G115</f>
        <v>0</v>
      </c>
      <c r="U115" s="403"/>
      <c r="V115" s="408"/>
      <c r="W115" s="404">
        <f>D115</f>
        <v>0</v>
      </c>
      <c r="X115" s="404">
        <f>G115</f>
        <v>0</v>
      </c>
      <c r="Y115" s="403"/>
      <c r="Z115" s="404">
        <f>D115</f>
        <v>0</v>
      </c>
      <c r="AA115" s="404">
        <f>G115</f>
        <v>0</v>
      </c>
      <c r="AB115" s="403"/>
    </row>
    <row r="116" spans="1:28">
      <c r="A116" s="383" t="s">
        <v>317</v>
      </c>
      <c r="B116" s="393"/>
      <c r="C116" s="389">
        <f>様式１!F42</f>
        <v>0</v>
      </c>
      <c r="D116" s="396">
        <f>ROUNDDOWN(C116/5,1)</f>
        <v>0</v>
      </c>
      <c r="E116" s="393"/>
      <c r="F116" s="389">
        <f>様式１!O42</f>
        <v>0</v>
      </c>
      <c r="G116" s="396">
        <f>ROUNDDOWN(F116/5,1)</f>
        <v>0</v>
      </c>
      <c r="H116" s="399"/>
      <c r="I116" s="402"/>
      <c r="J116" s="402"/>
      <c r="K116" s="402"/>
      <c r="L116" s="402"/>
      <c r="M116" s="402"/>
      <c r="N116" s="408"/>
      <c r="O116" s="403"/>
      <c r="P116" s="403"/>
      <c r="Q116" s="403"/>
      <c r="R116" s="408"/>
      <c r="S116" s="404">
        <f>D116</f>
        <v>0</v>
      </c>
      <c r="T116" s="404">
        <f>G116</f>
        <v>0</v>
      </c>
      <c r="U116" s="403"/>
      <c r="V116" s="408"/>
      <c r="W116" s="983">
        <f>IF(L112="○",ROUNDDOWN(C116/5,1)+ROUNDDOWN(C117/6,1),ROUNDDOWN(SUM(C116:C117)/6,1))</f>
        <v>0</v>
      </c>
      <c r="X116" s="983">
        <f>IF(L112="○",ROUNDDOWN(F116/5,1)+ROUNDDOWN(F117/6,1),ROUNDDOWN(SUM(F116:F117)/6,1))</f>
        <v>0</v>
      </c>
      <c r="Y116" s="403"/>
      <c r="Z116" s="983">
        <f>ROUNDDOWN(SUM(C116:C117)/6,1)</f>
        <v>0</v>
      </c>
      <c r="AA116" s="983">
        <f>ROUNDDOWN(SUM(F116:F117)/6,1)</f>
        <v>0</v>
      </c>
      <c r="AB116" s="403"/>
    </row>
    <row r="117" spans="1:28">
      <c r="A117" s="383" t="s">
        <v>318</v>
      </c>
      <c r="B117" s="393"/>
      <c r="C117" s="389">
        <f>様式１!H42</f>
        <v>0</v>
      </c>
      <c r="D117" s="396">
        <f>ROUNDDOWN(C117/6,1)</f>
        <v>0</v>
      </c>
      <c r="E117" s="393"/>
      <c r="F117" s="389">
        <f>様式１!Q42</f>
        <v>0</v>
      </c>
      <c r="G117" s="396">
        <f>ROUNDDOWN(F117/6,1)</f>
        <v>0</v>
      </c>
      <c r="H117" s="399"/>
      <c r="I117" s="402"/>
      <c r="J117" s="402"/>
      <c r="K117" s="402"/>
      <c r="L117" s="402"/>
      <c r="M117" s="402"/>
      <c r="N117" s="408"/>
      <c r="O117" s="403"/>
      <c r="P117" s="403"/>
      <c r="Q117" s="403"/>
      <c r="R117" s="408"/>
      <c r="S117" s="404">
        <f>D117</f>
        <v>0</v>
      </c>
      <c r="T117" s="404">
        <f>G117</f>
        <v>0</v>
      </c>
      <c r="U117" s="403"/>
      <c r="V117" s="408"/>
      <c r="W117" s="984"/>
      <c r="X117" s="984"/>
      <c r="Y117" s="403"/>
      <c r="Z117" s="984"/>
      <c r="AA117" s="984"/>
      <c r="AB117" s="403"/>
    </row>
    <row r="118" spans="1:28">
      <c r="A118" s="383" t="s">
        <v>319</v>
      </c>
      <c r="B118" s="387">
        <f>様式１!I40</f>
        <v>0</v>
      </c>
      <c r="C118" s="388"/>
      <c r="D118" s="396">
        <f>IF($M112="○",ROUNDDOWN(B118/6,1),IF($K112="○",ROUNDDOWN(B118/15,1),ROUNDDOWN(B118/20,1)))</f>
        <v>0</v>
      </c>
      <c r="E118" s="387">
        <f>様式１!R40</f>
        <v>0</v>
      </c>
      <c r="F118" s="388"/>
      <c r="G118" s="396">
        <f>IF($M112="○",ROUNDDOWN(E118/6,1),IF($K112="○",ROUNDDOWN(E118/15,1),ROUNDDOWN(E118/20,1)))</f>
        <v>0</v>
      </c>
      <c r="H118" s="399"/>
      <c r="I118" s="402"/>
      <c r="J118" s="402"/>
      <c r="K118" s="402"/>
      <c r="L118" s="402"/>
      <c r="M118" s="402"/>
      <c r="N118" s="408"/>
      <c r="O118" s="404">
        <f>D118</f>
        <v>0</v>
      </c>
      <c r="P118" s="404">
        <f>G118</f>
        <v>0</v>
      </c>
      <c r="Q118" s="403"/>
      <c r="R118" s="408"/>
      <c r="S118" s="404">
        <f>IF($M112="○",ROUNDDOWN(B118/6,1),ROUNDDOWN(B118/15,1))</f>
        <v>0</v>
      </c>
      <c r="T118" s="404">
        <f>IF($M112="○",ROUNDDOWN(E118/6,1),ROUNDDOWN(E118/15,1))</f>
        <v>0</v>
      </c>
      <c r="U118" s="403"/>
      <c r="V118" s="408"/>
      <c r="W118" s="404">
        <f>D118</f>
        <v>0</v>
      </c>
      <c r="X118" s="404">
        <f>G118</f>
        <v>0</v>
      </c>
      <c r="Y118" s="403"/>
      <c r="Z118" s="404">
        <f>ROUNDDOWN(B118/20,1)</f>
        <v>0</v>
      </c>
      <c r="AA118" s="404">
        <f>ROUNDDOWN(E118/20,1)</f>
        <v>0</v>
      </c>
      <c r="AB118" s="403"/>
    </row>
    <row r="119" spans="1:28">
      <c r="A119" s="383" t="s">
        <v>320</v>
      </c>
      <c r="B119" s="387">
        <f>様式１!J40</f>
        <v>0</v>
      </c>
      <c r="C119" s="389">
        <f>様式１!J41</f>
        <v>0</v>
      </c>
      <c r="D119" s="396">
        <f>IF($K112="○",ROUNDDOWN((B119+C119)/15,1),ROUNDDOWN(B119/20,1)+ROUNDDOWN(C119/15,1))</f>
        <v>0</v>
      </c>
      <c r="E119" s="387">
        <f>様式１!S40</f>
        <v>0</v>
      </c>
      <c r="F119" s="389">
        <f>様式１!S41</f>
        <v>0</v>
      </c>
      <c r="G119" s="396">
        <f>IF($K112="○",ROUNDDOWN((E119+F119)/15,1),ROUNDDOWN(E119/20,1)+ROUNDDOWN(F119/15,1))</f>
        <v>0</v>
      </c>
      <c r="H119" s="399"/>
      <c r="I119" s="402"/>
      <c r="J119" s="402"/>
      <c r="K119" s="402"/>
      <c r="L119" s="402"/>
      <c r="M119" s="402"/>
      <c r="N119" s="408"/>
      <c r="O119" s="404">
        <f>IF($K112="○",ROUNDDOWN(B119/15,1),ROUNDDOWN(B119/20,1))</f>
        <v>0</v>
      </c>
      <c r="P119" s="404">
        <f>IF($K112="○",ROUNDDOWN(E119/15,1),ROUNDDOWN(E119/20,1))</f>
        <v>0</v>
      </c>
      <c r="Q119" s="403"/>
      <c r="R119" s="408"/>
      <c r="S119" s="404">
        <f>ROUNDDOWN((B119+C119)/15,1)</f>
        <v>0</v>
      </c>
      <c r="T119" s="404">
        <f>ROUNDDOWN((E119+F119)/15,1)</f>
        <v>0</v>
      </c>
      <c r="U119" s="403"/>
      <c r="V119" s="408"/>
      <c r="W119" s="404">
        <f>IF(K112="○",ROUNDDOWN(SUM(B119:C119)/15,1),ROUNDDOWN(SUM(B119:C119)/20,1))</f>
        <v>0</v>
      </c>
      <c r="X119" s="404">
        <f>IF(K112="○",ROUNDDOWN(SUM(E119:F119)/15,1),ROUNDDOWN(SUM(E119:F119)/20,1))</f>
        <v>0</v>
      </c>
      <c r="Y119" s="403"/>
      <c r="Z119" s="404">
        <f>ROUNDDOWN(SUM(B119:C119)/20,1)</f>
        <v>0</v>
      </c>
      <c r="AA119" s="404">
        <f>ROUNDDOWN(SUM(E119:F119)/20,1)</f>
        <v>0</v>
      </c>
      <c r="AB119" s="403"/>
    </row>
    <row r="120" spans="1:28">
      <c r="A120" s="383" t="s">
        <v>321</v>
      </c>
      <c r="B120" s="387">
        <f>様式１!K40</f>
        <v>0</v>
      </c>
      <c r="C120" s="389">
        <f>様式１!K41</f>
        <v>0</v>
      </c>
      <c r="D120" s="985">
        <f>IF($J112="○",ROUNDDOWN(SUM(B120,B121,C121)/25,1)+ROUNDDOWN(C120/20,1),ROUNDDOWN(SUM(B120,B121)/30,1)+ROUNDDOWN(C120/20,1)+ROUNDDOWN(C121/25,1))</f>
        <v>0</v>
      </c>
      <c r="E120" s="387">
        <f>様式１!T40</f>
        <v>0</v>
      </c>
      <c r="F120" s="389">
        <f>様式１!T41</f>
        <v>0</v>
      </c>
      <c r="G120" s="985">
        <f>IF($J112="○",ROUNDDOWN(SUM(E120,E121,F121)/25,1)+ROUNDDOWN(F120/20,1),ROUNDDOWN(SUM(E120,E121)/30,1)+ROUNDDOWN(F120/20,1)+ROUNDDOWN(F121/25,1))</f>
        <v>0</v>
      </c>
      <c r="H120" s="399"/>
      <c r="I120" s="402"/>
      <c r="J120" s="402"/>
      <c r="K120" s="402"/>
      <c r="L120" s="402"/>
      <c r="M120" s="402"/>
      <c r="N120" s="408"/>
      <c r="O120" s="983">
        <f>IF($J112="○",ROUNDDOWN(SUM(B120,B121)/25,1),ROUNDDOWN(SUM(B120,B121)/30,1))</f>
        <v>0</v>
      </c>
      <c r="P120" s="983">
        <f>IF($J112="○",ROUNDDOWN(SUM(E120,E121)/25,1),ROUNDDOWN(SUM(E120,E121)/30,1))</f>
        <v>0</v>
      </c>
      <c r="Q120" s="403"/>
      <c r="R120" s="408"/>
      <c r="S120" s="983">
        <f>ROUNDDOWN(SUM(B120,B121,C121)/25,1)+ROUNDDOWN(C120/20,1)</f>
        <v>0</v>
      </c>
      <c r="T120" s="983">
        <f>ROUNDDOWN(SUM(E120,E121,F121)/25,1)+ROUNDDOWN(F120/20,1)</f>
        <v>0</v>
      </c>
      <c r="U120" s="403"/>
      <c r="V120" s="408"/>
      <c r="W120" s="983">
        <f>IF(J112="○",ROUNDDOWN(SUM(B120:C121)/25,1),ROUNDDOWN(SUM(B120:C121)/30,1))</f>
        <v>0</v>
      </c>
      <c r="X120" s="983">
        <f>IF(J112="○",ROUNDDOWN(SUM(E120:F121)/25,1),ROUNDDOWN(SUM(E120:F121)/30,1))</f>
        <v>0</v>
      </c>
      <c r="Y120" s="403"/>
      <c r="Z120" s="983">
        <f>ROUNDDOWN(SUM(B120:C121)/30,1)</f>
        <v>0</v>
      </c>
      <c r="AA120" s="983">
        <f>ROUNDDOWN(SUM(E120:F121)/30,1)</f>
        <v>0</v>
      </c>
      <c r="AB120" s="403"/>
    </row>
    <row r="121" spans="1:28" ht="19.5" thickBot="1">
      <c r="A121" s="384" t="s">
        <v>322</v>
      </c>
      <c r="B121" s="390">
        <f>様式１!L40</f>
        <v>0</v>
      </c>
      <c r="C121" s="391">
        <f>様式１!L41</f>
        <v>0</v>
      </c>
      <c r="D121" s="986"/>
      <c r="E121" s="390">
        <f>様式１!U40</f>
        <v>0</v>
      </c>
      <c r="F121" s="391">
        <f>様式１!U41</f>
        <v>0</v>
      </c>
      <c r="G121" s="986"/>
      <c r="H121" s="400"/>
      <c r="I121" s="402"/>
      <c r="J121" s="402"/>
      <c r="K121" s="402"/>
      <c r="L121" s="402"/>
      <c r="M121" s="402"/>
      <c r="N121" s="408"/>
      <c r="O121" s="984"/>
      <c r="P121" s="984"/>
      <c r="Q121" s="403"/>
      <c r="R121" s="408"/>
      <c r="S121" s="984"/>
      <c r="T121" s="984"/>
      <c r="U121" s="403"/>
      <c r="V121" s="408"/>
      <c r="W121" s="984"/>
      <c r="X121" s="984"/>
      <c r="Y121" s="403"/>
      <c r="Z121" s="984"/>
      <c r="AA121" s="984"/>
      <c r="AB121" s="403"/>
    </row>
  </sheetData>
  <sheetProtection algorithmName="SHA-512" hashValue="0pZB85t4xf8C3Csz1d3Q+i7AJ67bM4LExMZ+fh1otVf4tMHQ82n3wNdQXiOrYbS0rcQS7jxarhGH9C8IhwYHiQ==" saltValue="ddOcbC674rbby/O7/9NorQ==" spinCount="100000" sheet="1" objects="1" scenarios="1"/>
  <mergeCells count="236">
    <mergeCell ref="A12:A14"/>
    <mergeCell ref="B12:D12"/>
    <mergeCell ref="E12:G12"/>
    <mergeCell ref="H12:H13"/>
    <mergeCell ref="B13:C13"/>
    <mergeCell ref="E13:F13"/>
    <mergeCell ref="B2:D2"/>
    <mergeCell ref="E2:G2"/>
    <mergeCell ref="H2:H3"/>
    <mergeCell ref="A2:A4"/>
    <mergeCell ref="B3:C3"/>
    <mergeCell ref="E3:F3"/>
    <mergeCell ref="A32:A34"/>
    <mergeCell ref="B32:D32"/>
    <mergeCell ref="E32:G32"/>
    <mergeCell ref="H32:H33"/>
    <mergeCell ref="B33:C33"/>
    <mergeCell ref="E33:F33"/>
    <mergeCell ref="A22:A24"/>
    <mergeCell ref="B22:D22"/>
    <mergeCell ref="E22:G22"/>
    <mergeCell ref="H22:H23"/>
    <mergeCell ref="B23:C23"/>
    <mergeCell ref="E23:F23"/>
    <mergeCell ref="A52:A54"/>
    <mergeCell ref="B52:D52"/>
    <mergeCell ref="E52:G52"/>
    <mergeCell ref="H52:H53"/>
    <mergeCell ref="B53:C53"/>
    <mergeCell ref="E53:F53"/>
    <mergeCell ref="A42:A44"/>
    <mergeCell ref="B42:D42"/>
    <mergeCell ref="E42:G42"/>
    <mergeCell ref="H42:H43"/>
    <mergeCell ref="B43:C43"/>
    <mergeCell ref="E43:F43"/>
    <mergeCell ref="B83:C83"/>
    <mergeCell ref="E83:F83"/>
    <mergeCell ref="A72:A74"/>
    <mergeCell ref="B72:D72"/>
    <mergeCell ref="E72:G72"/>
    <mergeCell ref="H72:H73"/>
    <mergeCell ref="B73:C73"/>
    <mergeCell ref="E73:F73"/>
    <mergeCell ref="A62:A64"/>
    <mergeCell ref="B62:D62"/>
    <mergeCell ref="E62:G62"/>
    <mergeCell ref="H62:H63"/>
    <mergeCell ref="B63:C63"/>
    <mergeCell ref="E63:F63"/>
    <mergeCell ref="P10:P11"/>
    <mergeCell ref="T10:T11"/>
    <mergeCell ref="S10:S11"/>
    <mergeCell ref="A112:A114"/>
    <mergeCell ref="B112:D112"/>
    <mergeCell ref="E112:G112"/>
    <mergeCell ref="H112:H113"/>
    <mergeCell ref="B113:C113"/>
    <mergeCell ref="E113:F113"/>
    <mergeCell ref="A102:A104"/>
    <mergeCell ref="B102:D102"/>
    <mergeCell ref="E102:G102"/>
    <mergeCell ref="H102:H103"/>
    <mergeCell ref="B103:C103"/>
    <mergeCell ref="E103:F103"/>
    <mergeCell ref="A92:A94"/>
    <mergeCell ref="B92:D92"/>
    <mergeCell ref="E92:G92"/>
    <mergeCell ref="H92:H93"/>
    <mergeCell ref="B93:C93"/>
    <mergeCell ref="E93:F93"/>
    <mergeCell ref="A82:A84"/>
    <mergeCell ref="B82:D82"/>
    <mergeCell ref="E82:G82"/>
    <mergeCell ref="D110:D111"/>
    <mergeCell ref="D20:D21"/>
    <mergeCell ref="D30:D31"/>
    <mergeCell ref="D40:D41"/>
    <mergeCell ref="D50:D51"/>
    <mergeCell ref="D60:D61"/>
    <mergeCell ref="D10:D11"/>
    <mergeCell ref="G10:G11"/>
    <mergeCell ref="O10:O11"/>
    <mergeCell ref="H82:H83"/>
    <mergeCell ref="O20:O21"/>
    <mergeCell ref="O110:O111"/>
    <mergeCell ref="O80:O81"/>
    <mergeCell ref="P20:P21"/>
    <mergeCell ref="S20:S21"/>
    <mergeCell ref="T20:T21"/>
    <mergeCell ref="O30:O31"/>
    <mergeCell ref="P30:P31"/>
    <mergeCell ref="S30:S31"/>
    <mergeCell ref="T30:T31"/>
    <mergeCell ref="D120:D121"/>
    <mergeCell ref="G20:G21"/>
    <mergeCell ref="G30:G31"/>
    <mergeCell ref="G40:G41"/>
    <mergeCell ref="G50:G51"/>
    <mergeCell ref="G60:G61"/>
    <mergeCell ref="G70:G71"/>
    <mergeCell ref="G80:G81"/>
    <mergeCell ref="G90:G91"/>
    <mergeCell ref="G100:G101"/>
    <mergeCell ref="G110:G111"/>
    <mergeCell ref="G120:G121"/>
    <mergeCell ref="D70:D71"/>
    <mergeCell ref="D80:D81"/>
    <mergeCell ref="D90:D91"/>
    <mergeCell ref="D100:D101"/>
    <mergeCell ref="O70:O71"/>
    <mergeCell ref="P80:P81"/>
    <mergeCell ref="S80:S81"/>
    <mergeCell ref="T80:T81"/>
    <mergeCell ref="O40:O41"/>
    <mergeCell ref="P40:P41"/>
    <mergeCell ref="S40:S41"/>
    <mergeCell ref="T40:T41"/>
    <mergeCell ref="O50:O51"/>
    <mergeCell ref="P50:P51"/>
    <mergeCell ref="S50:S51"/>
    <mergeCell ref="T50:T51"/>
    <mergeCell ref="O120:O121"/>
    <mergeCell ref="P120:P121"/>
    <mergeCell ref="S120:S121"/>
    <mergeCell ref="T120:T121"/>
    <mergeCell ref="O90:O91"/>
    <mergeCell ref="P90:P91"/>
    <mergeCell ref="S90:S91"/>
    <mergeCell ref="T90:T91"/>
    <mergeCell ref="O100:O101"/>
    <mergeCell ref="P100:P101"/>
    <mergeCell ref="S100:S101"/>
    <mergeCell ref="T100:T101"/>
    <mergeCell ref="W30:W31"/>
    <mergeCell ref="X30:X31"/>
    <mergeCell ref="W40:W41"/>
    <mergeCell ref="X40:X41"/>
    <mergeCell ref="W50:W51"/>
    <mergeCell ref="X50:X51"/>
    <mergeCell ref="W36:W37"/>
    <mergeCell ref="X36:X37"/>
    <mergeCell ref="P110:P111"/>
    <mergeCell ref="S110:S111"/>
    <mergeCell ref="T110:T111"/>
    <mergeCell ref="P70:P71"/>
    <mergeCell ref="S70:S71"/>
    <mergeCell ref="T70:T71"/>
    <mergeCell ref="W80:W81"/>
    <mergeCell ref="X80:X81"/>
    <mergeCell ref="W90:W91"/>
    <mergeCell ref="X90:X91"/>
    <mergeCell ref="W100:W101"/>
    <mergeCell ref="X100:X101"/>
    <mergeCell ref="W110:W111"/>
    <mergeCell ref="X110:X111"/>
    <mergeCell ref="W86:W87"/>
    <mergeCell ref="X86:X87"/>
    <mergeCell ref="W120:W121"/>
    <mergeCell ref="X120:X121"/>
    <mergeCell ref="Z10:Z11"/>
    <mergeCell ref="AA10:AA11"/>
    <mergeCell ref="Z20:Z21"/>
    <mergeCell ref="AA20:AA21"/>
    <mergeCell ref="Z30:Z31"/>
    <mergeCell ref="AA30:AA31"/>
    <mergeCell ref="Z40:Z41"/>
    <mergeCell ref="AA40:AA41"/>
    <mergeCell ref="Z50:Z51"/>
    <mergeCell ref="AA50:AA51"/>
    <mergeCell ref="Z70:Z71"/>
    <mergeCell ref="AA70:AA71"/>
    <mergeCell ref="Z80:Z81"/>
    <mergeCell ref="AA80:AA81"/>
    <mergeCell ref="Z90:Z91"/>
    <mergeCell ref="AA90:AA91"/>
    <mergeCell ref="Z100:Z101"/>
    <mergeCell ref="AA100:AA101"/>
    <mergeCell ref="Z110:Z111"/>
    <mergeCell ref="AA110:AA111"/>
    <mergeCell ref="Z120:Z121"/>
    <mergeCell ref="AA120:AA121"/>
    <mergeCell ref="W6:W7"/>
    <mergeCell ref="X6:X7"/>
    <mergeCell ref="Z6:Z7"/>
    <mergeCell ref="AA6:AA7"/>
    <mergeCell ref="W16:W17"/>
    <mergeCell ref="X16:X17"/>
    <mergeCell ref="Z16:Z17"/>
    <mergeCell ref="AA16:AA17"/>
    <mergeCell ref="W26:W27"/>
    <mergeCell ref="X26:X27"/>
    <mergeCell ref="Z26:Z27"/>
    <mergeCell ref="AA26:AA27"/>
    <mergeCell ref="W10:W11"/>
    <mergeCell ref="X10:X11"/>
    <mergeCell ref="W20:W21"/>
    <mergeCell ref="X20:X21"/>
    <mergeCell ref="Z36:Z37"/>
    <mergeCell ref="AA36:AA37"/>
    <mergeCell ref="W46:W47"/>
    <mergeCell ref="X46:X47"/>
    <mergeCell ref="Z46:Z47"/>
    <mergeCell ref="AA46:AA47"/>
    <mergeCell ref="W56:W57"/>
    <mergeCell ref="X56:X57"/>
    <mergeCell ref="Z56:Z57"/>
    <mergeCell ref="AA56:AA57"/>
    <mergeCell ref="W60:W61"/>
    <mergeCell ref="X60:X61"/>
    <mergeCell ref="Z60:Z61"/>
    <mergeCell ref="AA60:AA61"/>
    <mergeCell ref="W66:W67"/>
    <mergeCell ref="X66:X67"/>
    <mergeCell ref="Z66:Z67"/>
    <mergeCell ref="AA66:AA67"/>
    <mergeCell ref="W76:W77"/>
    <mergeCell ref="X76:X77"/>
    <mergeCell ref="Z76:Z77"/>
    <mergeCell ref="AA76:AA77"/>
    <mergeCell ref="W70:W71"/>
    <mergeCell ref="X70:X71"/>
    <mergeCell ref="W116:W117"/>
    <mergeCell ref="X116:X117"/>
    <mergeCell ref="Z116:Z117"/>
    <mergeCell ref="AA116:AA117"/>
    <mergeCell ref="Z86:Z87"/>
    <mergeCell ref="AA86:AA87"/>
    <mergeCell ref="W96:W97"/>
    <mergeCell ref="X96:X97"/>
    <mergeCell ref="Z96:Z97"/>
    <mergeCell ref="AA96:AA97"/>
    <mergeCell ref="W106:W107"/>
    <mergeCell ref="X106:X107"/>
    <mergeCell ref="Z106:Z107"/>
    <mergeCell ref="AA106:AA107"/>
  </mergeCells>
  <phoneticPr fontId="2"/>
  <pageMargins left="0.7" right="0.7" top="0.75" bottom="0.75" header="0.3" footer="0.3"/>
  <pageSetup paperSize="9" orientation="portrait" r:id="rId1"/>
  <rowBreaks count="2" manualBreakCount="2">
    <brk id="41" max="7" man="1"/>
    <brk id="81" max="7"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N52"/>
  <sheetViews>
    <sheetView workbookViewId="0"/>
  </sheetViews>
  <sheetFormatPr defaultRowHeight="13.5"/>
  <cols>
    <col min="1" max="1" width="4.5" style="1" customWidth="1"/>
    <col min="2" max="2" width="17.375" style="1" customWidth="1"/>
    <col min="3" max="3" width="5.625" style="1" bestFit="1" customWidth="1"/>
    <col min="4" max="8" width="3.625" style="1" bestFit="1" customWidth="1"/>
    <col min="9" max="9" width="5.25" style="1" bestFit="1" customWidth="1"/>
    <col min="10" max="11" width="3.625" style="1" customWidth="1"/>
    <col min="12" max="13" width="3.625" style="1" bestFit="1" customWidth="1"/>
    <col min="14" max="14" width="7.625" style="1" customWidth="1"/>
    <col min="15" max="15" width="3.625" style="1" customWidth="1"/>
    <col min="16" max="16" width="7.625" style="1" customWidth="1"/>
    <col min="17" max="17" width="5" style="1" customWidth="1"/>
    <col min="18" max="18" width="7.625" style="1" customWidth="1"/>
    <col min="19" max="19" width="5" style="1" customWidth="1"/>
    <col min="20" max="20" width="7.625" style="1" customWidth="1"/>
    <col min="21" max="21" width="5" style="1" customWidth="1"/>
    <col min="22" max="22" width="7.625" style="1" customWidth="1"/>
    <col min="23" max="23" width="5" style="1" customWidth="1"/>
    <col min="24" max="24" width="7.625" style="1" customWidth="1"/>
    <col min="25" max="25" width="5" style="1" customWidth="1"/>
    <col min="26" max="26" width="7.625" style="1" customWidth="1"/>
    <col min="27" max="27" width="5" style="1" customWidth="1"/>
    <col min="28" max="28" width="7.625" style="1" customWidth="1"/>
    <col min="29" max="29" width="5" style="1" customWidth="1"/>
    <col min="30" max="30" width="7.625" style="1" customWidth="1"/>
    <col min="31" max="31" width="3.75" style="1" customWidth="1"/>
    <col min="32" max="32" width="7.625" style="1" customWidth="1"/>
    <col min="33" max="33" width="5" style="1" customWidth="1"/>
    <col min="34" max="34" width="7.625" style="1" customWidth="1"/>
    <col min="35" max="35" width="5" style="1" customWidth="1"/>
    <col min="36" max="36" width="7.625" style="1" customWidth="1"/>
    <col min="37" max="37" width="5" style="1" customWidth="1"/>
    <col min="38" max="38" width="7.625" style="1" customWidth="1"/>
    <col min="39" max="39" width="5" style="1" customWidth="1"/>
    <col min="40" max="40" width="8.125" style="1" customWidth="1"/>
    <col min="41" max="50" width="7.25" style="1" customWidth="1"/>
    <col min="51" max="51" width="10.375" style="1" customWidth="1"/>
    <col min="52" max="52" width="17.375" style="1" customWidth="1"/>
    <col min="53" max="16384" width="9" style="1"/>
  </cols>
  <sheetData>
    <row r="1" spans="1:40" ht="18" customHeight="1" thickBot="1">
      <c r="A1" s="8"/>
      <c r="B1" s="9"/>
      <c r="C1" s="10"/>
      <c r="D1" s="10"/>
      <c r="E1" s="10"/>
      <c r="F1" s="10"/>
      <c r="G1" s="10"/>
      <c r="H1" s="10"/>
      <c r="I1" s="10"/>
      <c r="J1" s="10"/>
      <c r="K1" s="10"/>
      <c r="L1" s="10"/>
      <c r="M1" s="10"/>
      <c r="P1" s="11"/>
      <c r="Q1" s="12"/>
      <c r="R1" s="13"/>
      <c r="S1" s="13"/>
      <c r="T1" s="13"/>
      <c r="U1" s="13"/>
      <c r="V1" s="13"/>
      <c r="W1" s="13"/>
      <c r="X1" s="13"/>
      <c r="Y1" s="13"/>
      <c r="AB1" s="14"/>
      <c r="AC1" s="14"/>
      <c r="AD1" s="15"/>
      <c r="AE1" s="15"/>
      <c r="AF1" s="14"/>
      <c r="AG1" s="14"/>
      <c r="AH1" s="14"/>
      <c r="AI1" s="14"/>
    </row>
    <row r="2" spans="1:40" ht="21.95" customHeight="1" thickTop="1" thickBot="1">
      <c r="A2" s="935" t="s">
        <v>51</v>
      </c>
      <c r="B2" s="936"/>
      <c r="C2" s="1010">
        <f>様式１!C2</f>
        <v>0</v>
      </c>
      <c r="D2" s="1011"/>
      <c r="E2" s="1011"/>
      <c r="F2" s="1011"/>
      <c r="G2" s="1011"/>
      <c r="H2" s="1011"/>
      <c r="I2" s="1011"/>
      <c r="J2" s="1011"/>
      <c r="K2" s="1011"/>
      <c r="L2" s="1011"/>
      <c r="M2" s="1011"/>
      <c r="N2" s="1011"/>
      <c r="O2" s="1012"/>
      <c r="P2" s="43"/>
      <c r="Q2" s="44"/>
      <c r="R2" s="44"/>
      <c r="S2" s="44"/>
      <c r="T2" s="22"/>
      <c r="U2" s="22"/>
      <c r="V2" s="927"/>
      <c r="W2" s="927"/>
      <c r="X2" s="927"/>
      <c r="Y2" s="927"/>
      <c r="Z2" s="22"/>
      <c r="AA2" s="5"/>
      <c r="AB2" s="6"/>
      <c r="AC2" s="6"/>
      <c r="AD2" s="6"/>
      <c r="AE2" s="6"/>
      <c r="AF2" s="6"/>
      <c r="AG2" s="6"/>
      <c r="AH2" s="6"/>
      <c r="AI2" s="6"/>
      <c r="AJ2" s="6"/>
      <c r="AK2" s="6"/>
      <c r="AL2" s="6"/>
      <c r="AM2" s="6"/>
      <c r="AN2" s="6"/>
    </row>
    <row r="3" spans="1:40" ht="18" customHeight="1" thickTop="1">
      <c r="A3" s="16"/>
      <c r="B3" s="16"/>
      <c r="C3" s="16"/>
      <c r="D3" s="16"/>
      <c r="E3" s="16"/>
      <c r="F3" s="16"/>
      <c r="G3" s="16"/>
      <c r="H3" s="16"/>
      <c r="I3" s="16"/>
      <c r="J3" s="16"/>
      <c r="K3" s="16"/>
      <c r="L3" s="16"/>
      <c r="M3" s="16"/>
      <c r="P3" s="1007"/>
      <c r="Q3" s="1007"/>
      <c r="R3" s="1007"/>
      <c r="S3" s="1007"/>
      <c r="T3" s="3"/>
      <c r="U3" s="3"/>
      <c r="V3" s="1007"/>
      <c r="W3" s="1007"/>
      <c r="X3" s="1007"/>
      <c r="Y3" s="1007"/>
      <c r="Z3" s="3"/>
      <c r="AA3" s="3"/>
      <c r="AB3" s="6"/>
      <c r="AC3" s="6"/>
      <c r="AD3" s="6"/>
      <c r="AE3" s="6"/>
      <c r="AF3" s="6"/>
      <c r="AG3" s="6"/>
      <c r="AH3" s="6"/>
      <c r="AI3" s="6"/>
      <c r="AJ3" s="6"/>
      <c r="AK3" s="6"/>
      <c r="AL3" s="6"/>
      <c r="AM3" s="6"/>
      <c r="AN3" s="6"/>
    </row>
    <row r="4" spans="1:40" ht="17.25">
      <c r="A4" s="17"/>
      <c r="B4" s="1004" t="s">
        <v>52</v>
      </c>
      <c r="C4" s="1005"/>
      <c r="D4" s="1005"/>
      <c r="E4" s="1005"/>
      <c r="F4" s="1005"/>
      <c r="G4" s="1005"/>
      <c r="H4" s="1005"/>
      <c r="I4" s="1005"/>
      <c r="J4" s="1005"/>
      <c r="K4" s="1005"/>
      <c r="L4" s="1005"/>
      <c r="M4" s="1005"/>
      <c r="N4" s="1005"/>
      <c r="O4" s="1005"/>
      <c r="P4" s="1005"/>
      <c r="Q4" s="1006"/>
      <c r="R4" s="23"/>
      <c r="S4" s="23"/>
      <c r="T4" s="24"/>
      <c r="U4" s="3"/>
      <c r="V4" s="1007"/>
      <c r="W4" s="1007"/>
      <c r="X4" s="1007"/>
      <c r="Y4" s="1007"/>
      <c r="Z4" s="3"/>
      <c r="AA4" s="3"/>
      <c r="AB4" s="6"/>
      <c r="AC4" s="6"/>
      <c r="AD4" s="6"/>
      <c r="AE4" s="6"/>
      <c r="AF4" s="6"/>
      <c r="AG4" s="6"/>
      <c r="AH4" s="6"/>
      <c r="AI4" s="6"/>
      <c r="AJ4" s="6"/>
      <c r="AK4" s="6"/>
      <c r="AL4" s="6"/>
      <c r="AM4" s="6"/>
      <c r="AN4" s="6"/>
    </row>
    <row r="5" spans="1:40" ht="24.75" customHeight="1" thickBot="1">
      <c r="A5" s="18" t="s">
        <v>53</v>
      </c>
      <c r="B5" s="19"/>
      <c r="C5" s="20"/>
      <c r="D5" s="20"/>
      <c r="E5" s="20"/>
      <c r="F5" s="20"/>
      <c r="G5" s="20"/>
      <c r="H5" s="20"/>
      <c r="I5" s="20"/>
      <c r="J5" s="20"/>
      <c r="K5" s="20"/>
      <c r="L5" s="20"/>
      <c r="M5" s="20"/>
      <c r="P5" s="4"/>
      <c r="Q5" s="4"/>
      <c r="R5" s="4"/>
      <c r="S5" s="4"/>
      <c r="T5" s="4"/>
      <c r="U5" s="4"/>
      <c r="V5" s="4"/>
      <c r="W5" s="4"/>
      <c r="X5" s="4"/>
      <c r="Y5" s="4"/>
      <c r="Z5" s="4"/>
      <c r="AA5" s="4"/>
      <c r="AB5" s="4"/>
      <c r="AC5" s="4"/>
      <c r="AD5" s="4"/>
      <c r="AE5" s="4"/>
      <c r="AF5" s="4"/>
      <c r="AG5" s="4"/>
      <c r="AH5" s="4"/>
      <c r="AI5" s="4"/>
      <c r="AJ5" s="4"/>
      <c r="AK5" s="4"/>
      <c r="AL5" s="4"/>
      <c r="AM5" s="4"/>
      <c r="AN5" s="4"/>
    </row>
    <row r="6" spans="1:40" ht="28.5" customHeight="1">
      <c r="A6" s="915" t="s">
        <v>54</v>
      </c>
      <c r="B6" s="915" t="s">
        <v>55</v>
      </c>
      <c r="C6" s="1008" t="s">
        <v>56</v>
      </c>
      <c r="D6" s="764"/>
      <c r="E6" s="764"/>
      <c r="F6" s="764"/>
      <c r="G6" s="764"/>
      <c r="H6" s="764"/>
      <c r="I6" s="764"/>
      <c r="J6" s="764"/>
      <c r="K6" s="764"/>
      <c r="L6" s="764"/>
      <c r="M6" s="947"/>
      <c r="N6" s="38" t="s">
        <v>57</v>
      </c>
      <c r="O6" s="39"/>
      <c r="P6" s="39"/>
      <c r="Q6" s="39"/>
      <c r="R6" s="39"/>
      <c r="S6" s="39"/>
      <c r="T6" s="39"/>
      <c r="U6" s="39"/>
      <c r="V6" s="39"/>
      <c r="W6" s="39"/>
      <c r="X6" s="39"/>
      <c r="Y6" s="39"/>
      <c r="Z6" s="39"/>
      <c r="AA6" s="39"/>
      <c r="AB6" s="39"/>
      <c r="AC6" s="39"/>
      <c r="AD6" s="39"/>
      <c r="AE6" s="39"/>
      <c r="AF6" s="39"/>
      <c r="AG6" s="39"/>
      <c r="AH6" s="39"/>
      <c r="AI6" s="39"/>
      <c r="AJ6" s="39"/>
      <c r="AK6" s="39"/>
      <c r="AL6" s="39"/>
      <c r="AM6" s="40"/>
      <c r="AN6" s="7"/>
    </row>
    <row r="7" spans="1:40" ht="27" customHeight="1">
      <c r="A7" s="916"/>
      <c r="B7" s="945"/>
      <c r="C7" s="855"/>
      <c r="D7" s="856"/>
      <c r="E7" s="856"/>
      <c r="F7" s="856"/>
      <c r="G7" s="856"/>
      <c r="H7" s="856"/>
      <c r="I7" s="856"/>
      <c r="J7" s="856"/>
      <c r="K7" s="856"/>
      <c r="L7" s="856"/>
      <c r="M7" s="948"/>
      <c r="N7" s="41"/>
      <c r="O7" s="42"/>
      <c r="P7" s="1002">
        <v>4</v>
      </c>
      <c r="Q7" s="1002"/>
      <c r="R7" s="1002">
        <v>5</v>
      </c>
      <c r="S7" s="1002"/>
      <c r="T7" s="1002">
        <v>6</v>
      </c>
      <c r="U7" s="1002"/>
      <c r="V7" s="1002">
        <v>7</v>
      </c>
      <c r="W7" s="1002"/>
      <c r="X7" s="1002">
        <v>8</v>
      </c>
      <c r="Y7" s="1002"/>
      <c r="Z7" s="1002">
        <v>9</v>
      </c>
      <c r="AA7" s="1002"/>
      <c r="AB7" s="1002">
        <v>10</v>
      </c>
      <c r="AC7" s="1002"/>
      <c r="AD7" s="1002">
        <v>11</v>
      </c>
      <c r="AE7" s="1002"/>
      <c r="AF7" s="1002">
        <v>12</v>
      </c>
      <c r="AG7" s="1002"/>
      <c r="AH7" s="1002">
        <v>1</v>
      </c>
      <c r="AI7" s="1002"/>
      <c r="AJ7" s="1002">
        <v>2</v>
      </c>
      <c r="AK7" s="1002"/>
      <c r="AL7" s="1002">
        <v>3</v>
      </c>
      <c r="AM7" s="1003"/>
      <c r="AN7" s="7"/>
    </row>
    <row r="8" spans="1:40">
      <c r="A8" s="943"/>
      <c r="B8" s="946"/>
      <c r="C8" s="1009"/>
      <c r="D8" s="949"/>
      <c r="E8" s="949"/>
      <c r="F8" s="949"/>
      <c r="G8" s="949"/>
      <c r="H8" s="949"/>
      <c r="I8" s="949"/>
      <c r="J8" s="949"/>
      <c r="K8" s="949"/>
      <c r="L8" s="949"/>
      <c r="M8" s="950"/>
      <c r="N8" s="26" t="s">
        <v>58</v>
      </c>
      <c r="O8" s="27" t="s">
        <v>59</v>
      </c>
      <c r="P8" s="34" t="s">
        <v>58</v>
      </c>
      <c r="Q8" s="35" t="s">
        <v>59</v>
      </c>
      <c r="R8" s="36" t="s">
        <v>58</v>
      </c>
      <c r="S8" s="35" t="s">
        <v>59</v>
      </c>
      <c r="T8" s="36" t="s">
        <v>58</v>
      </c>
      <c r="U8" s="35" t="s">
        <v>59</v>
      </c>
      <c r="V8" s="36" t="s">
        <v>58</v>
      </c>
      <c r="W8" s="35" t="s">
        <v>59</v>
      </c>
      <c r="X8" s="36" t="s">
        <v>58</v>
      </c>
      <c r="Y8" s="35" t="s">
        <v>59</v>
      </c>
      <c r="Z8" s="36" t="s">
        <v>58</v>
      </c>
      <c r="AA8" s="35" t="s">
        <v>59</v>
      </c>
      <c r="AB8" s="36" t="s">
        <v>58</v>
      </c>
      <c r="AC8" s="35" t="s">
        <v>59</v>
      </c>
      <c r="AD8" s="36" t="s">
        <v>58</v>
      </c>
      <c r="AE8" s="35" t="s">
        <v>59</v>
      </c>
      <c r="AF8" s="36" t="s">
        <v>58</v>
      </c>
      <c r="AG8" s="35" t="s">
        <v>59</v>
      </c>
      <c r="AH8" s="36" t="s">
        <v>58</v>
      </c>
      <c r="AI8" s="35" t="s">
        <v>59</v>
      </c>
      <c r="AJ8" s="34" t="s">
        <v>58</v>
      </c>
      <c r="AK8" s="35" t="s">
        <v>59</v>
      </c>
      <c r="AL8" s="36" t="s">
        <v>58</v>
      </c>
      <c r="AM8" s="47" t="s">
        <v>59</v>
      </c>
      <c r="AN8" s="7"/>
    </row>
    <row r="9" spans="1:40" ht="26.1" customHeight="1">
      <c r="A9" s="21">
        <v>1</v>
      </c>
      <c r="B9" s="2" t="s">
        <v>23</v>
      </c>
      <c r="C9" s="25" t="s">
        <v>60</v>
      </c>
      <c r="D9" s="37"/>
      <c r="E9" s="37" t="s">
        <v>61</v>
      </c>
      <c r="F9" s="37"/>
      <c r="G9" s="37" t="s">
        <v>62</v>
      </c>
      <c r="H9" s="37" t="s">
        <v>47</v>
      </c>
      <c r="I9" s="37" t="s">
        <v>60</v>
      </c>
      <c r="J9" s="37"/>
      <c r="K9" s="37" t="s">
        <v>61</v>
      </c>
      <c r="L9" s="37"/>
      <c r="M9" s="37" t="s">
        <v>62</v>
      </c>
      <c r="N9" s="28"/>
      <c r="O9" s="29"/>
      <c r="P9" s="32">
        <f>IF(AND($D9=27,$F9=4),$N9,0)</f>
        <v>0</v>
      </c>
      <c r="Q9" s="46">
        <f>IF(AND($D9=27,$F9=4),$O9,0)</f>
        <v>0</v>
      </c>
      <c r="R9" s="45">
        <f>IF(AND($D9=27,$F9&lt;=5,$J9=27,$L9&gt;=5),$N9,IF(AND($D9=27,$F9&lt;=5,$J9=28,$L9&lt;=3),$N9,0))</f>
        <v>0</v>
      </c>
      <c r="S9" s="46">
        <f>IF(AND($D9=27,$F9&lt;=5,$J9=27,$L9&gt;=5),$O9,IF(AND($D9=27,$F9&lt;=5,$J9=28,$L9&lt;=3),$O9,0))</f>
        <v>0</v>
      </c>
      <c r="T9" s="45">
        <f>IF(AND($D9=27,$F9&lt;=6,$J9=27,$L9&gt;=6),$N9,IF(AND($D9=27,$F9&lt;=6,$J9=28,$L9&lt;=3),$N9,0))</f>
        <v>0</v>
      </c>
      <c r="U9" s="46">
        <f>IF(AND($D9=27,$F9&lt;=6,$J9=27,$L9&gt;=6),$O9,IF(AND($D9=27,$F9&lt;=6,$J9=28,$L9&lt;=3),$O9,0))</f>
        <v>0</v>
      </c>
      <c r="V9" s="45">
        <f>IF(AND($D9=27,$F9&lt;=7,$J9=27,$L9&gt;=7),$N9,IF(AND($D9=27,$F9&lt;=7,$J9=28,$L9&lt;=3),$N9,0))</f>
        <v>0</v>
      </c>
      <c r="W9" s="46">
        <f>IF(AND($D9=27,$F9&lt;=7,$J9=27,$L9&gt;=7),$O9,IF(AND($D9=27,$F9&lt;=7,$J9=28,$L9&lt;=3),$O9,0))</f>
        <v>0</v>
      </c>
      <c r="X9" s="45">
        <f>IF(AND($D9=27,$F9&lt;=8,$J9=27,$L9&gt;=8),$N9,IF(AND($D9=27,$F9&lt;=8,$J9=28,$L9&lt;=3),$N9,0))</f>
        <v>0</v>
      </c>
      <c r="Y9" s="46">
        <f>IF(AND($D9=27,$F9&lt;=8,$J9=27,$L9&gt;=8),$O9,IF(AND($D9=27,$F9&lt;=8,$J9=28,$L9&lt;=3),$O9,0))</f>
        <v>0</v>
      </c>
      <c r="Z9" s="45">
        <f>IF(AND($D9=27,$F9&lt;=9,$J9=27,$L9&gt;=9),$N9,IF(AND($D9=27,$F9&lt;=9,$J9=28,$L9&lt;=3),$N9,0))</f>
        <v>0</v>
      </c>
      <c r="AA9" s="46">
        <f>IF(AND($D9=27,$F9&lt;=9,$J9=27,$L9&gt;=9),$O9,IF(AND($D9=27,$F9&lt;=9,$J9=28,$L9&lt;=3),$O9,0))</f>
        <v>0</v>
      </c>
      <c r="AB9" s="45">
        <f>IF(AND($D9=27,$F9&lt;=10,$J9=27,$L9&gt;=10),$N9,IF(AND($D9=27,$F9&lt;=10,$J9=28,$L9&lt;=3),$N9,0))</f>
        <v>0</v>
      </c>
      <c r="AC9" s="46">
        <f>IF(AND($D9=27,$F9&lt;=10,$J9=27,$L9&gt;=10),$O9,IF(AND($D9=27,$F9&lt;=10,$J9=28,$L9&lt;=3),$O9,0))</f>
        <v>0</v>
      </c>
      <c r="AD9" s="45">
        <f>IF(AND($D9=27,$F9&lt;=11,$J9=27,$L9&gt;=11),$N9,IF(AND($D9=27,$F9&lt;=11,$J9=28,$L9&lt;=3),$N9,0))</f>
        <v>0</v>
      </c>
      <c r="AE9" s="46">
        <f>IF(AND($D9=27,$F9&lt;=11,$J9=27,$L9&gt;=11),$O9,IF(AND($D9=27,$F9&lt;=11,$J9=28,$L9&lt;=3),$O9,0))</f>
        <v>0</v>
      </c>
      <c r="AF9" s="45">
        <f>IF(AND($D9=27,$F9&lt;=12,$J9=27,$L9=12),$N9,IF(AND($D9=27,$F9&lt;=12,$J9=28,$L9&lt;=3),$N9,0))</f>
        <v>0</v>
      </c>
      <c r="AG9" s="46">
        <f>IF(AND($D9=27,$F9&lt;=12,$J9=27,$L9=12),$O9,IF(AND($D9=27,$F9&lt;=12,$J9=28,$L9&lt;=3),$O9,0))</f>
        <v>0</v>
      </c>
      <c r="AH9" s="45">
        <f>IF(AND($D9=27,$F9&lt;=12,$J9=28,$L9&lt;=3),$N9,IF(AND($D9=28,$F9=1,$J9=28,$L9&lt;=3),$N9,0))</f>
        <v>0</v>
      </c>
      <c r="AI9" s="46">
        <f>IF(AND($D9=27,$F9&lt;=12,$J9=28,$L9&lt;=3),$O9,IF(AND($D9=28,$F9=1,$J9=28,$L9&lt;=3),$O9,0))</f>
        <v>0</v>
      </c>
      <c r="AJ9" s="45">
        <f>IF(AND($D9=27,$F9&lt;=12,$J9=28,$L9&gt;=2),$N9,IF(AND($D9=28,$F9&lt;=2,$J9=28,$L9&gt;1),$N9,0))</f>
        <v>0</v>
      </c>
      <c r="AK9" s="46">
        <f>IF(AND($D9=27,$F9&lt;=12,$J9=28,$L9&gt;=2),$O9,IF(AND($D9=28,$F9&lt;=2,$J9=28,$L9&gt;1),$O9,0))</f>
        <v>0</v>
      </c>
      <c r="AL9" s="45">
        <f>IF(AND($D9=27,$F9&lt;=12,$J9=28,$L9=3),$N9,IF(AND($D9=28,$F9&lt;=3,$J9=28,$L9=3),$N9,0))</f>
        <v>0</v>
      </c>
      <c r="AM9" s="48">
        <f>IF(AND($D9=27,$F9&lt;=12,$J9=28,$L9=3),$O9,IF(AND($D9=28,$F9&lt;=3,$J9=28,$L9=3),$O9,0))</f>
        <v>0</v>
      </c>
      <c r="AN9" s="6"/>
    </row>
    <row r="10" spans="1:40" ht="26.1" customHeight="1">
      <c r="A10" s="21">
        <v>2</v>
      </c>
      <c r="B10" s="2" t="s">
        <v>24</v>
      </c>
      <c r="C10" s="25" t="s">
        <v>60</v>
      </c>
      <c r="D10" s="37"/>
      <c r="E10" s="37" t="s">
        <v>61</v>
      </c>
      <c r="F10" s="37"/>
      <c r="G10" s="37" t="s">
        <v>62</v>
      </c>
      <c r="H10" s="37" t="s">
        <v>47</v>
      </c>
      <c r="I10" s="37" t="s">
        <v>60</v>
      </c>
      <c r="J10" s="37"/>
      <c r="K10" s="37" t="s">
        <v>61</v>
      </c>
      <c r="L10" s="37"/>
      <c r="M10" s="37" t="s">
        <v>62</v>
      </c>
      <c r="N10" s="28"/>
      <c r="O10" s="29"/>
      <c r="P10" s="32">
        <f t="shared" ref="P10:P28" si="0">IF(AND($D10=27,$F10=4),$N10,0)</f>
        <v>0</v>
      </c>
      <c r="Q10" s="33">
        <f t="shared" ref="Q10:Q28" si="1">IF(AND($D10=27,$F10=4),$O10,0)</f>
        <v>0</v>
      </c>
      <c r="R10" s="32">
        <f t="shared" ref="R10:R28" si="2">IF(AND($D10=27,$F10&lt;=5,$J10=27,$L10&gt;=5),$N10,IF(AND($D10=27,$F10&lt;=5,$J10=28,$L10&lt;=3),$N10,0))</f>
        <v>0</v>
      </c>
      <c r="S10" s="33">
        <f t="shared" ref="S10:S28" si="3">IF(AND($D10=27,$F10&lt;=5,$J10=27,$L10&gt;=5),$O10,IF(AND($D10=27,$F10&lt;=5,$J10=28,$L10&lt;=3),$O10,0))</f>
        <v>0</v>
      </c>
      <c r="T10" s="32">
        <f t="shared" ref="T10:T28" si="4">IF(AND($D10=27,$F10&lt;=6,$J10=27,$L10&gt;=6),$N10,IF(AND($D10=27,$F10&lt;=6,$J10=28,$L10&lt;=3),$N10,0))</f>
        <v>0</v>
      </c>
      <c r="U10" s="33">
        <f t="shared" ref="U10:U28" si="5">IF(AND($D10=27,$F10&lt;=6,$J10=27,$L10&gt;=6),$O10,IF(AND($D10=27,$F10&lt;=6,$J10=28,$L10&lt;=3),$O10,0))</f>
        <v>0</v>
      </c>
      <c r="V10" s="32">
        <f t="shared" ref="V10:V28" si="6">IF(AND($D10=27,$F10&lt;=7,$J10=27,$L10&gt;=7),$N10,IF(AND($D10=27,$F10&lt;=7,$J10=28,$L10&lt;=3),$N10,0))</f>
        <v>0</v>
      </c>
      <c r="W10" s="33">
        <f t="shared" ref="W10:W28" si="7">IF(AND($D10=27,$F10&lt;=7,$J10=27,$L10&gt;=7),$O10,IF(AND($D10=27,$F10&lt;=7,$J10=28,$L10&lt;=3),$O10,0))</f>
        <v>0</v>
      </c>
      <c r="X10" s="32">
        <f t="shared" ref="X10:X28" si="8">IF(AND($D10=27,$F10&lt;=8,$J10=27,$L10&gt;=8),$N10,IF(AND($D10=27,$F10&lt;=8,$J10=28,$L10&lt;=3),$N10,0))</f>
        <v>0</v>
      </c>
      <c r="Y10" s="33">
        <f t="shared" ref="Y10:Y28" si="9">IF(AND($D10=27,$F10&lt;=8,$J10=27,$L10&gt;=8),$O10,IF(AND($D10=27,$F10&lt;=8,$J10=28,$L10&lt;=3),$O10,0))</f>
        <v>0</v>
      </c>
      <c r="Z10" s="32">
        <f t="shared" ref="Z10:Z28" si="10">IF(AND($D10=27,$F10&lt;=9,$J10=27,$L10&gt;=9),$N10,IF(AND($D10=27,$F10&lt;=9,$J10=28,$L10&lt;=3),$N10,0))</f>
        <v>0</v>
      </c>
      <c r="AA10" s="33">
        <f t="shared" ref="AA10:AA28" si="11">IF(AND($D10=27,$F10&lt;=9,$J10=27,$L10&gt;=9),$O10,IF(AND($D10=27,$F10&lt;=9,$J10=28,$L10&lt;=3),$O10,0))</f>
        <v>0</v>
      </c>
      <c r="AB10" s="32">
        <f t="shared" ref="AB10:AB28" si="12">IF(AND($D10=27,$F10&lt;=10,$J10=27,$L10&gt;=10),$N10,IF(AND($D10=27,$F10&lt;=10,$J10=28,$L10&lt;=3),$N10,0))</f>
        <v>0</v>
      </c>
      <c r="AC10" s="33">
        <f t="shared" ref="AC10:AC28" si="13">IF(AND($D10=27,$F10&lt;=10,$J10=27,$L10&gt;=10),$O10,IF(AND($D10=27,$F10&lt;=10,$J10=28,$L10&lt;=3),$O10,0))</f>
        <v>0</v>
      </c>
      <c r="AD10" s="32">
        <f t="shared" ref="AD10:AD28" si="14">IF(AND($D10=27,$F10&lt;=11,$J10=27,$L10&gt;=11),$N10,IF(AND($D10=27,$F10&lt;=11,$J10=28,$L10&lt;=3),$N10,0))</f>
        <v>0</v>
      </c>
      <c r="AE10" s="33">
        <f t="shared" ref="AE10:AE28" si="15">IF(AND($D10=27,$F10&lt;=11,$J10=27,$L10&gt;=11),$O10,IF(AND($D10=27,$F10&lt;=11,$J10=28,$L10&lt;=3),$O10,0))</f>
        <v>0</v>
      </c>
      <c r="AF10" s="32">
        <f t="shared" ref="AF10:AF28" si="16">IF(AND($D10=27,$F10&lt;=12,$J10=27,$L10=12),$N10,IF(AND($D10=27,$F10&lt;=12,$J10=28,$L10&lt;=3),$N10,0))</f>
        <v>0</v>
      </c>
      <c r="AG10" s="33">
        <f t="shared" ref="AG10:AG28" si="17">IF(AND($D10=27,$F10&lt;=12,$J10=27,$L10=12),$O10,IF(AND($D10=27,$F10&lt;=12,$J10=28,$L10&lt;=3),$O10,0))</f>
        <v>0</v>
      </c>
      <c r="AH10" s="32">
        <f t="shared" ref="AH10:AH28" si="18">IF(AND($D10=27,$F10&lt;=12,$J10=28,$L10&lt;=3),$N10,IF(AND($D10=28,$F10=1,$J10=28,$L10&lt;=3),$N10,0))</f>
        <v>0</v>
      </c>
      <c r="AI10" s="33">
        <f t="shared" ref="AI10:AI28" si="19">IF(AND($D10=27,$F10&lt;=12,$J10=28,$L10&lt;=3),$O10,IF(AND($D10=28,$F10=1,$J10=28,$L10&lt;=3),$O10,0))</f>
        <v>0</v>
      </c>
      <c r="AJ10" s="32">
        <f t="shared" ref="AJ10:AJ28" si="20">IF(AND($D10=27,$F10&lt;=12,$J10=28,$L10&gt;=2),$N10,IF(AND($D10=28,$F10&lt;=2,$J10=28,$L10&gt;1),$N10,0))</f>
        <v>0</v>
      </c>
      <c r="AK10" s="33">
        <f t="shared" ref="AK10:AK28" si="21">IF(AND($D10=27,$F10&lt;=12,$J10=28,$L10&gt;=2),$O10,IF(AND($D10=28,$F10&lt;=2,$J10=28,$L10&gt;1),$O10,0))</f>
        <v>0</v>
      </c>
      <c r="AL10" s="32">
        <f t="shared" ref="AL10:AL28" si="22">IF(AND($D10=27,$F10&lt;=12,$J10=28,$L10=3),$N10,IF(AND($D10=28,$F10&lt;=3,$J10=28,$L10=3),$N10,0))</f>
        <v>0</v>
      </c>
      <c r="AM10" s="49">
        <f t="shared" ref="AM10:AM28" si="23">IF(AND($D10=27,$F10&lt;=12,$J10=28,$L10=3),$O10,IF(AND($D10=28,$F10&lt;=3,$J10=28,$L10=3),$O10,0))</f>
        <v>0</v>
      </c>
      <c r="AN10" s="6"/>
    </row>
    <row r="11" spans="1:40" ht="26.1" customHeight="1">
      <c r="A11" s="21">
        <v>3</v>
      </c>
      <c r="B11" s="2" t="s">
        <v>25</v>
      </c>
      <c r="C11" s="25" t="s">
        <v>60</v>
      </c>
      <c r="D11" s="37"/>
      <c r="E11" s="37" t="s">
        <v>61</v>
      </c>
      <c r="F11" s="37"/>
      <c r="G11" s="37" t="s">
        <v>62</v>
      </c>
      <c r="H11" s="37" t="s">
        <v>47</v>
      </c>
      <c r="I11" s="37" t="s">
        <v>60</v>
      </c>
      <c r="J11" s="37"/>
      <c r="K11" s="37" t="s">
        <v>61</v>
      </c>
      <c r="L11" s="37"/>
      <c r="M11" s="37" t="s">
        <v>62</v>
      </c>
      <c r="N11" s="28"/>
      <c r="O11" s="29"/>
      <c r="P11" s="32">
        <f t="shared" si="0"/>
        <v>0</v>
      </c>
      <c r="Q11" s="33">
        <f t="shared" si="1"/>
        <v>0</v>
      </c>
      <c r="R11" s="32">
        <f t="shared" si="2"/>
        <v>0</v>
      </c>
      <c r="S11" s="33">
        <f t="shared" si="3"/>
        <v>0</v>
      </c>
      <c r="T11" s="32">
        <f t="shared" si="4"/>
        <v>0</v>
      </c>
      <c r="U11" s="33">
        <f t="shared" si="5"/>
        <v>0</v>
      </c>
      <c r="V11" s="32">
        <f t="shared" si="6"/>
        <v>0</v>
      </c>
      <c r="W11" s="33">
        <f t="shared" si="7"/>
        <v>0</v>
      </c>
      <c r="X11" s="32">
        <f t="shared" si="8"/>
        <v>0</v>
      </c>
      <c r="Y11" s="33">
        <f t="shared" si="9"/>
        <v>0</v>
      </c>
      <c r="Z11" s="32">
        <f t="shared" si="10"/>
        <v>0</v>
      </c>
      <c r="AA11" s="33">
        <f t="shared" si="11"/>
        <v>0</v>
      </c>
      <c r="AB11" s="32">
        <f t="shared" si="12"/>
        <v>0</v>
      </c>
      <c r="AC11" s="33">
        <f t="shared" si="13"/>
        <v>0</v>
      </c>
      <c r="AD11" s="32">
        <f t="shared" si="14"/>
        <v>0</v>
      </c>
      <c r="AE11" s="33">
        <f t="shared" si="15"/>
        <v>0</v>
      </c>
      <c r="AF11" s="32">
        <f t="shared" si="16"/>
        <v>0</v>
      </c>
      <c r="AG11" s="33">
        <f t="shared" si="17"/>
        <v>0</v>
      </c>
      <c r="AH11" s="32">
        <f t="shared" si="18"/>
        <v>0</v>
      </c>
      <c r="AI11" s="33">
        <f t="shared" si="19"/>
        <v>0</v>
      </c>
      <c r="AJ11" s="32">
        <f t="shared" si="20"/>
        <v>0</v>
      </c>
      <c r="AK11" s="33">
        <f t="shared" si="21"/>
        <v>0</v>
      </c>
      <c r="AL11" s="32">
        <f t="shared" si="22"/>
        <v>0</v>
      </c>
      <c r="AM11" s="49">
        <f t="shared" si="23"/>
        <v>0</v>
      </c>
      <c r="AN11" s="6"/>
    </row>
    <row r="12" spans="1:40" ht="26.1" customHeight="1">
      <c r="A12" s="21">
        <v>4</v>
      </c>
      <c r="B12" s="2" t="s">
        <v>26</v>
      </c>
      <c r="C12" s="25" t="s">
        <v>60</v>
      </c>
      <c r="D12" s="37"/>
      <c r="E12" s="37" t="s">
        <v>61</v>
      </c>
      <c r="F12" s="37"/>
      <c r="G12" s="37" t="s">
        <v>62</v>
      </c>
      <c r="H12" s="37" t="s">
        <v>47</v>
      </c>
      <c r="I12" s="37" t="s">
        <v>60</v>
      </c>
      <c r="J12" s="37"/>
      <c r="K12" s="37" t="s">
        <v>61</v>
      </c>
      <c r="L12" s="37"/>
      <c r="M12" s="37" t="s">
        <v>62</v>
      </c>
      <c r="N12" s="28"/>
      <c r="O12" s="29"/>
      <c r="P12" s="32">
        <f t="shared" si="0"/>
        <v>0</v>
      </c>
      <c r="Q12" s="33">
        <f t="shared" si="1"/>
        <v>0</v>
      </c>
      <c r="R12" s="32">
        <f t="shared" si="2"/>
        <v>0</v>
      </c>
      <c r="S12" s="33">
        <f t="shared" si="3"/>
        <v>0</v>
      </c>
      <c r="T12" s="32">
        <f t="shared" si="4"/>
        <v>0</v>
      </c>
      <c r="U12" s="33">
        <f t="shared" si="5"/>
        <v>0</v>
      </c>
      <c r="V12" s="32">
        <f t="shared" si="6"/>
        <v>0</v>
      </c>
      <c r="W12" s="33">
        <f t="shared" si="7"/>
        <v>0</v>
      </c>
      <c r="X12" s="32">
        <f t="shared" si="8"/>
        <v>0</v>
      </c>
      <c r="Y12" s="33">
        <f t="shared" si="9"/>
        <v>0</v>
      </c>
      <c r="Z12" s="32">
        <f t="shared" si="10"/>
        <v>0</v>
      </c>
      <c r="AA12" s="33">
        <f t="shared" si="11"/>
        <v>0</v>
      </c>
      <c r="AB12" s="32">
        <f t="shared" si="12"/>
        <v>0</v>
      </c>
      <c r="AC12" s="33">
        <f t="shared" si="13"/>
        <v>0</v>
      </c>
      <c r="AD12" s="32">
        <f t="shared" si="14"/>
        <v>0</v>
      </c>
      <c r="AE12" s="33">
        <f t="shared" si="15"/>
        <v>0</v>
      </c>
      <c r="AF12" s="32">
        <f t="shared" si="16"/>
        <v>0</v>
      </c>
      <c r="AG12" s="33">
        <f t="shared" si="17"/>
        <v>0</v>
      </c>
      <c r="AH12" s="32">
        <f t="shared" si="18"/>
        <v>0</v>
      </c>
      <c r="AI12" s="33">
        <f t="shared" si="19"/>
        <v>0</v>
      </c>
      <c r="AJ12" s="32">
        <f t="shared" si="20"/>
        <v>0</v>
      </c>
      <c r="AK12" s="33">
        <f t="shared" si="21"/>
        <v>0</v>
      </c>
      <c r="AL12" s="32">
        <f t="shared" si="22"/>
        <v>0</v>
      </c>
      <c r="AM12" s="49">
        <f t="shared" si="23"/>
        <v>0</v>
      </c>
      <c r="AN12" s="6"/>
    </row>
    <row r="13" spans="1:40" ht="26.1" customHeight="1">
      <c r="A13" s="21">
        <v>5</v>
      </c>
      <c r="B13" s="2" t="s">
        <v>27</v>
      </c>
      <c r="C13" s="25" t="s">
        <v>60</v>
      </c>
      <c r="D13" s="37"/>
      <c r="E13" s="37" t="s">
        <v>61</v>
      </c>
      <c r="F13" s="37"/>
      <c r="G13" s="37" t="s">
        <v>62</v>
      </c>
      <c r="H13" s="37" t="s">
        <v>47</v>
      </c>
      <c r="I13" s="37" t="s">
        <v>60</v>
      </c>
      <c r="J13" s="37"/>
      <c r="K13" s="37" t="s">
        <v>61</v>
      </c>
      <c r="L13" s="37"/>
      <c r="M13" s="37" t="s">
        <v>62</v>
      </c>
      <c r="N13" s="28"/>
      <c r="O13" s="29"/>
      <c r="P13" s="32">
        <f t="shared" si="0"/>
        <v>0</v>
      </c>
      <c r="Q13" s="33">
        <f t="shared" si="1"/>
        <v>0</v>
      </c>
      <c r="R13" s="32">
        <f t="shared" si="2"/>
        <v>0</v>
      </c>
      <c r="S13" s="33">
        <f t="shared" si="3"/>
        <v>0</v>
      </c>
      <c r="T13" s="32">
        <f t="shared" si="4"/>
        <v>0</v>
      </c>
      <c r="U13" s="33">
        <f t="shared" si="5"/>
        <v>0</v>
      </c>
      <c r="V13" s="32">
        <f t="shared" si="6"/>
        <v>0</v>
      </c>
      <c r="W13" s="33">
        <f t="shared" si="7"/>
        <v>0</v>
      </c>
      <c r="X13" s="32">
        <f t="shared" si="8"/>
        <v>0</v>
      </c>
      <c r="Y13" s="33">
        <f t="shared" si="9"/>
        <v>0</v>
      </c>
      <c r="Z13" s="32">
        <f t="shared" si="10"/>
        <v>0</v>
      </c>
      <c r="AA13" s="33">
        <f t="shared" si="11"/>
        <v>0</v>
      </c>
      <c r="AB13" s="32">
        <f t="shared" si="12"/>
        <v>0</v>
      </c>
      <c r="AC13" s="33">
        <f t="shared" si="13"/>
        <v>0</v>
      </c>
      <c r="AD13" s="32">
        <f t="shared" si="14"/>
        <v>0</v>
      </c>
      <c r="AE13" s="33">
        <f t="shared" si="15"/>
        <v>0</v>
      </c>
      <c r="AF13" s="32">
        <f t="shared" si="16"/>
        <v>0</v>
      </c>
      <c r="AG13" s="33">
        <f t="shared" si="17"/>
        <v>0</v>
      </c>
      <c r="AH13" s="32">
        <f t="shared" si="18"/>
        <v>0</v>
      </c>
      <c r="AI13" s="33">
        <f t="shared" si="19"/>
        <v>0</v>
      </c>
      <c r="AJ13" s="32">
        <f t="shared" si="20"/>
        <v>0</v>
      </c>
      <c r="AK13" s="33">
        <f t="shared" si="21"/>
        <v>0</v>
      </c>
      <c r="AL13" s="32">
        <f t="shared" si="22"/>
        <v>0</v>
      </c>
      <c r="AM13" s="49">
        <f t="shared" si="23"/>
        <v>0</v>
      </c>
      <c r="AN13" s="6"/>
    </row>
    <row r="14" spans="1:40" ht="26.1" customHeight="1">
      <c r="A14" s="21">
        <v>6</v>
      </c>
      <c r="B14" s="2" t="s">
        <v>28</v>
      </c>
      <c r="C14" s="25" t="s">
        <v>60</v>
      </c>
      <c r="D14" s="37"/>
      <c r="E14" s="37" t="s">
        <v>61</v>
      </c>
      <c r="F14" s="37"/>
      <c r="G14" s="37" t="s">
        <v>62</v>
      </c>
      <c r="H14" s="37" t="s">
        <v>47</v>
      </c>
      <c r="I14" s="37" t="s">
        <v>60</v>
      </c>
      <c r="J14" s="37"/>
      <c r="K14" s="37" t="s">
        <v>61</v>
      </c>
      <c r="L14" s="37"/>
      <c r="M14" s="37" t="s">
        <v>62</v>
      </c>
      <c r="N14" s="28"/>
      <c r="O14" s="29"/>
      <c r="P14" s="32">
        <f t="shared" si="0"/>
        <v>0</v>
      </c>
      <c r="Q14" s="33">
        <f t="shared" si="1"/>
        <v>0</v>
      </c>
      <c r="R14" s="32">
        <f t="shared" si="2"/>
        <v>0</v>
      </c>
      <c r="S14" s="33">
        <f t="shared" si="3"/>
        <v>0</v>
      </c>
      <c r="T14" s="32">
        <f t="shared" si="4"/>
        <v>0</v>
      </c>
      <c r="U14" s="33">
        <f t="shared" si="5"/>
        <v>0</v>
      </c>
      <c r="V14" s="32">
        <f t="shared" si="6"/>
        <v>0</v>
      </c>
      <c r="W14" s="33">
        <f t="shared" si="7"/>
        <v>0</v>
      </c>
      <c r="X14" s="32">
        <f t="shared" si="8"/>
        <v>0</v>
      </c>
      <c r="Y14" s="33">
        <f t="shared" si="9"/>
        <v>0</v>
      </c>
      <c r="Z14" s="32">
        <f t="shared" si="10"/>
        <v>0</v>
      </c>
      <c r="AA14" s="33">
        <f t="shared" si="11"/>
        <v>0</v>
      </c>
      <c r="AB14" s="32">
        <f t="shared" si="12"/>
        <v>0</v>
      </c>
      <c r="AC14" s="33">
        <f t="shared" si="13"/>
        <v>0</v>
      </c>
      <c r="AD14" s="32">
        <f t="shared" si="14"/>
        <v>0</v>
      </c>
      <c r="AE14" s="33">
        <f t="shared" si="15"/>
        <v>0</v>
      </c>
      <c r="AF14" s="32">
        <f t="shared" si="16"/>
        <v>0</v>
      </c>
      <c r="AG14" s="33">
        <f t="shared" si="17"/>
        <v>0</v>
      </c>
      <c r="AH14" s="32">
        <f t="shared" si="18"/>
        <v>0</v>
      </c>
      <c r="AI14" s="33">
        <f t="shared" si="19"/>
        <v>0</v>
      </c>
      <c r="AJ14" s="32">
        <f t="shared" si="20"/>
        <v>0</v>
      </c>
      <c r="AK14" s="33">
        <f t="shared" si="21"/>
        <v>0</v>
      </c>
      <c r="AL14" s="32">
        <f t="shared" si="22"/>
        <v>0</v>
      </c>
      <c r="AM14" s="49">
        <f t="shared" si="23"/>
        <v>0</v>
      </c>
      <c r="AN14" s="6"/>
    </row>
    <row r="15" spans="1:40" ht="26.1" customHeight="1">
      <c r="A15" s="21">
        <v>7</v>
      </c>
      <c r="B15" s="2" t="s">
        <v>29</v>
      </c>
      <c r="C15" s="25" t="s">
        <v>60</v>
      </c>
      <c r="D15" s="37"/>
      <c r="E15" s="37" t="s">
        <v>61</v>
      </c>
      <c r="F15" s="37"/>
      <c r="G15" s="37" t="s">
        <v>62</v>
      </c>
      <c r="H15" s="37" t="s">
        <v>47</v>
      </c>
      <c r="I15" s="37" t="s">
        <v>60</v>
      </c>
      <c r="J15" s="37"/>
      <c r="K15" s="37" t="s">
        <v>61</v>
      </c>
      <c r="L15" s="37"/>
      <c r="M15" s="37" t="s">
        <v>62</v>
      </c>
      <c r="N15" s="28"/>
      <c r="O15" s="29"/>
      <c r="P15" s="32">
        <f t="shared" si="0"/>
        <v>0</v>
      </c>
      <c r="Q15" s="33">
        <f t="shared" si="1"/>
        <v>0</v>
      </c>
      <c r="R15" s="32">
        <f t="shared" si="2"/>
        <v>0</v>
      </c>
      <c r="S15" s="33">
        <f t="shared" si="3"/>
        <v>0</v>
      </c>
      <c r="T15" s="32">
        <f t="shared" si="4"/>
        <v>0</v>
      </c>
      <c r="U15" s="33">
        <f t="shared" si="5"/>
        <v>0</v>
      </c>
      <c r="V15" s="32">
        <f t="shared" si="6"/>
        <v>0</v>
      </c>
      <c r="W15" s="33">
        <f t="shared" si="7"/>
        <v>0</v>
      </c>
      <c r="X15" s="32">
        <f t="shared" si="8"/>
        <v>0</v>
      </c>
      <c r="Y15" s="33">
        <f t="shared" si="9"/>
        <v>0</v>
      </c>
      <c r="Z15" s="32">
        <f t="shared" si="10"/>
        <v>0</v>
      </c>
      <c r="AA15" s="33">
        <f t="shared" si="11"/>
        <v>0</v>
      </c>
      <c r="AB15" s="32">
        <f t="shared" si="12"/>
        <v>0</v>
      </c>
      <c r="AC15" s="33">
        <f t="shared" si="13"/>
        <v>0</v>
      </c>
      <c r="AD15" s="32">
        <f t="shared" si="14"/>
        <v>0</v>
      </c>
      <c r="AE15" s="33">
        <f t="shared" si="15"/>
        <v>0</v>
      </c>
      <c r="AF15" s="32">
        <f t="shared" si="16"/>
        <v>0</v>
      </c>
      <c r="AG15" s="33">
        <f t="shared" si="17"/>
        <v>0</v>
      </c>
      <c r="AH15" s="32">
        <f t="shared" si="18"/>
        <v>0</v>
      </c>
      <c r="AI15" s="33">
        <f t="shared" si="19"/>
        <v>0</v>
      </c>
      <c r="AJ15" s="32">
        <f t="shared" si="20"/>
        <v>0</v>
      </c>
      <c r="AK15" s="33">
        <f t="shared" si="21"/>
        <v>0</v>
      </c>
      <c r="AL15" s="32">
        <f t="shared" si="22"/>
        <v>0</v>
      </c>
      <c r="AM15" s="49">
        <f t="shared" si="23"/>
        <v>0</v>
      </c>
      <c r="AN15" s="6"/>
    </row>
    <row r="16" spans="1:40" ht="26.1" customHeight="1">
      <c r="A16" s="21">
        <v>8</v>
      </c>
      <c r="B16" s="2" t="s">
        <v>30</v>
      </c>
      <c r="C16" s="25" t="s">
        <v>60</v>
      </c>
      <c r="D16" s="37"/>
      <c r="E16" s="37" t="s">
        <v>61</v>
      </c>
      <c r="F16" s="37"/>
      <c r="G16" s="37" t="s">
        <v>62</v>
      </c>
      <c r="H16" s="37" t="s">
        <v>47</v>
      </c>
      <c r="I16" s="37" t="s">
        <v>60</v>
      </c>
      <c r="J16" s="37"/>
      <c r="K16" s="37" t="s">
        <v>61</v>
      </c>
      <c r="L16" s="37"/>
      <c r="M16" s="37" t="s">
        <v>62</v>
      </c>
      <c r="N16" s="28"/>
      <c r="O16" s="29"/>
      <c r="P16" s="32">
        <f t="shared" si="0"/>
        <v>0</v>
      </c>
      <c r="Q16" s="33">
        <f t="shared" si="1"/>
        <v>0</v>
      </c>
      <c r="R16" s="32">
        <f t="shared" si="2"/>
        <v>0</v>
      </c>
      <c r="S16" s="33">
        <f t="shared" si="3"/>
        <v>0</v>
      </c>
      <c r="T16" s="32">
        <f t="shared" si="4"/>
        <v>0</v>
      </c>
      <c r="U16" s="33">
        <f t="shared" si="5"/>
        <v>0</v>
      </c>
      <c r="V16" s="32">
        <f t="shared" si="6"/>
        <v>0</v>
      </c>
      <c r="W16" s="33">
        <f t="shared" si="7"/>
        <v>0</v>
      </c>
      <c r="X16" s="32">
        <f t="shared" si="8"/>
        <v>0</v>
      </c>
      <c r="Y16" s="33">
        <f t="shared" si="9"/>
        <v>0</v>
      </c>
      <c r="Z16" s="32">
        <f t="shared" si="10"/>
        <v>0</v>
      </c>
      <c r="AA16" s="33">
        <f t="shared" si="11"/>
        <v>0</v>
      </c>
      <c r="AB16" s="32">
        <f t="shared" si="12"/>
        <v>0</v>
      </c>
      <c r="AC16" s="33">
        <f t="shared" si="13"/>
        <v>0</v>
      </c>
      <c r="AD16" s="32">
        <f t="shared" si="14"/>
        <v>0</v>
      </c>
      <c r="AE16" s="33">
        <f t="shared" si="15"/>
        <v>0</v>
      </c>
      <c r="AF16" s="32">
        <f t="shared" si="16"/>
        <v>0</v>
      </c>
      <c r="AG16" s="33">
        <f t="shared" si="17"/>
        <v>0</v>
      </c>
      <c r="AH16" s="32">
        <f t="shared" si="18"/>
        <v>0</v>
      </c>
      <c r="AI16" s="33">
        <f t="shared" si="19"/>
        <v>0</v>
      </c>
      <c r="AJ16" s="32">
        <f t="shared" si="20"/>
        <v>0</v>
      </c>
      <c r="AK16" s="33">
        <f t="shared" si="21"/>
        <v>0</v>
      </c>
      <c r="AL16" s="32">
        <f t="shared" si="22"/>
        <v>0</v>
      </c>
      <c r="AM16" s="49">
        <f t="shared" si="23"/>
        <v>0</v>
      </c>
      <c r="AN16" s="6"/>
    </row>
    <row r="17" spans="1:40" ht="26.1" customHeight="1">
      <c r="A17" s="21">
        <v>9</v>
      </c>
      <c r="B17" s="2" t="s">
        <v>31</v>
      </c>
      <c r="C17" s="25" t="s">
        <v>60</v>
      </c>
      <c r="D17" s="37"/>
      <c r="E17" s="37" t="s">
        <v>61</v>
      </c>
      <c r="F17" s="37"/>
      <c r="G17" s="37" t="s">
        <v>62</v>
      </c>
      <c r="H17" s="37" t="s">
        <v>47</v>
      </c>
      <c r="I17" s="37" t="s">
        <v>60</v>
      </c>
      <c r="J17" s="37"/>
      <c r="K17" s="37" t="s">
        <v>61</v>
      </c>
      <c r="L17" s="37"/>
      <c r="M17" s="37" t="s">
        <v>62</v>
      </c>
      <c r="N17" s="28"/>
      <c r="O17" s="29"/>
      <c r="P17" s="32">
        <f t="shared" si="0"/>
        <v>0</v>
      </c>
      <c r="Q17" s="33">
        <f t="shared" si="1"/>
        <v>0</v>
      </c>
      <c r="R17" s="32">
        <f t="shared" si="2"/>
        <v>0</v>
      </c>
      <c r="S17" s="33">
        <f t="shared" si="3"/>
        <v>0</v>
      </c>
      <c r="T17" s="32">
        <f t="shared" si="4"/>
        <v>0</v>
      </c>
      <c r="U17" s="33">
        <f t="shared" si="5"/>
        <v>0</v>
      </c>
      <c r="V17" s="32">
        <f t="shared" si="6"/>
        <v>0</v>
      </c>
      <c r="W17" s="33">
        <f t="shared" si="7"/>
        <v>0</v>
      </c>
      <c r="X17" s="32">
        <f t="shared" si="8"/>
        <v>0</v>
      </c>
      <c r="Y17" s="33">
        <f t="shared" si="9"/>
        <v>0</v>
      </c>
      <c r="Z17" s="32">
        <f t="shared" si="10"/>
        <v>0</v>
      </c>
      <c r="AA17" s="33">
        <f t="shared" si="11"/>
        <v>0</v>
      </c>
      <c r="AB17" s="32">
        <f t="shared" si="12"/>
        <v>0</v>
      </c>
      <c r="AC17" s="33">
        <f t="shared" si="13"/>
        <v>0</v>
      </c>
      <c r="AD17" s="32">
        <f t="shared" si="14"/>
        <v>0</v>
      </c>
      <c r="AE17" s="33">
        <f t="shared" si="15"/>
        <v>0</v>
      </c>
      <c r="AF17" s="32">
        <f t="shared" si="16"/>
        <v>0</v>
      </c>
      <c r="AG17" s="33">
        <f t="shared" si="17"/>
        <v>0</v>
      </c>
      <c r="AH17" s="32">
        <f t="shared" si="18"/>
        <v>0</v>
      </c>
      <c r="AI17" s="33">
        <f t="shared" si="19"/>
        <v>0</v>
      </c>
      <c r="AJ17" s="32">
        <f t="shared" si="20"/>
        <v>0</v>
      </c>
      <c r="AK17" s="33">
        <f t="shared" si="21"/>
        <v>0</v>
      </c>
      <c r="AL17" s="32">
        <f t="shared" si="22"/>
        <v>0</v>
      </c>
      <c r="AM17" s="49">
        <f t="shared" si="23"/>
        <v>0</v>
      </c>
      <c r="AN17" s="6"/>
    </row>
    <row r="18" spans="1:40" ht="26.1" customHeight="1">
      <c r="A18" s="21">
        <v>10</v>
      </c>
      <c r="B18" s="2" t="s">
        <v>32</v>
      </c>
      <c r="C18" s="25" t="s">
        <v>60</v>
      </c>
      <c r="D18" s="37"/>
      <c r="E18" s="37" t="s">
        <v>61</v>
      </c>
      <c r="F18" s="37"/>
      <c r="G18" s="37" t="s">
        <v>62</v>
      </c>
      <c r="H18" s="37" t="s">
        <v>47</v>
      </c>
      <c r="I18" s="37" t="s">
        <v>60</v>
      </c>
      <c r="J18" s="37"/>
      <c r="K18" s="37" t="s">
        <v>61</v>
      </c>
      <c r="L18" s="37"/>
      <c r="M18" s="37" t="s">
        <v>62</v>
      </c>
      <c r="N18" s="28"/>
      <c r="O18" s="29"/>
      <c r="P18" s="32">
        <f t="shared" si="0"/>
        <v>0</v>
      </c>
      <c r="Q18" s="33">
        <f t="shared" si="1"/>
        <v>0</v>
      </c>
      <c r="R18" s="32">
        <f t="shared" si="2"/>
        <v>0</v>
      </c>
      <c r="S18" s="33">
        <f t="shared" si="3"/>
        <v>0</v>
      </c>
      <c r="T18" s="32">
        <f t="shared" si="4"/>
        <v>0</v>
      </c>
      <c r="U18" s="33">
        <f t="shared" si="5"/>
        <v>0</v>
      </c>
      <c r="V18" s="32">
        <f t="shared" si="6"/>
        <v>0</v>
      </c>
      <c r="W18" s="33">
        <f t="shared" si="7"/>
        <v>0</v>
      </c>
      <c r="X18" s="32">
        <f t="shared" si="8"/>
        <v>0</v>
      </c>
      <c r="Y18" s="33">
        <f t="shared" si="9"/>
        <v>0</v>
      </c>
      <c r="Z18" s="32">
        <f t="shared" si="10"/>
        <v>0</v>
      </c>
      <c r="AA18" s="33">
        <f t="shared" si="11"/>
        <v>0</v>
      </c>
      <c r="AB18" s="32">
        <f t="shared" si="12"/>
        <v>0</v>
      </c>
      <c r="AC18" s="33">
        <f t="shared" si="13"/>
        <v>0</v>
      </c>
      <c r="AD18" s="32">
        <f t="shared" si="14"/>
        <v>0</v>
      </c>
      <c r="AE18" s="33">
        <f t="shared" si="15"/>
        <v>0</v>
      </c>
      <c r="AF18" s="32">
        <f t="shared" si="16"/>
        <v>0</v>
      </c>
      <c r="AG18" s="33">
        <f t="shared" si="17"/>
        <v>0</v>
      </c>
      <c r="AH18" s="32">
        <f t="shared" si="18"/>
        <v>0</v>
      </c>
      <c r="AI18" s="33">
        <f t="shared" si="19"/>
        <v>0</v>
      </c>
      <c r="AJ18" s="32">
        <f t="shared" si="20"/>
        <v>0</v>
      </c>
      <c r="AK18" s="33">
        <f t="shared" si="21"/>
        <v>0</v>
      </c>
      <c r="AL18" s="32">
        <f t="shared" si="22"/>
        <v>0</v>
      </c>
      <c r="AM18" s="49">
        <f t="shared" si="23"/>
        <v>0</v>
      </c>
      <c r="AN18" s="6"/>
    </row>
    <row r="19" spans="1:40" ht="26.1" customHeight="1">
      <c r="A19" s="21">
        <v>11</v>
      </c>
      <c r="B19" s="2" t="s">
        <v>33</v>
      </c>
      <c r="C19" s="25" t="s">
        <v>60</v>
      </c>
      <c r="D19" s="37"/>
      <c r="E19" s="37" t="s">
        <v>61</v>
      </c>
      <c r="F19" s="37"/>
      <c r="G19" s="37" t="s">
        <v>62</v>
      </c>
      <c r="H19" s="37" t="s">
        <v>47</v>
      </c>
      <c r="I19" s="37" t="s">
        <v>60</v>
      </c>
      <c r="J19" s="37"/>
      <c r="K19" s="37" t="s">
        <v>61</v>
      </c>
      <c r="L19" s="37"/>
      <c r="M19" s="37" t="s">
        <v>62</v>
      </c>
      <c r="N19" s="28"/>
      <c r="O19" s="29"/>
      <c r="P19" s="32">
        <f t="shared" si="0"/>
        <v>0</v>
      </c>
      <c r="Q19" s="33">
        <f t="shared" si="1"/>
        <v>0</v>
      </c>
      <c r="R19" s="32">
        <f t="shared" si="2"/>
        <v>0</v>
      </c>
      <c r="S19" s="33">
        <f t="shared" si="3"/>
        <v>0</v>
      </c>
      <c r="T19" s="32">
        <f t="shared" si="4"/>
        <v>0</v>
      </c>
      <c r="U19" s="33">
        <f t="shared" si="5"/>
        <v>0</v>
      </c>
      <c r="V19" s="32">
        <f t="shared" si="6"/>
        <v>0</v>
      </c>
      <c r="W19" s="33">
        <f t="shared" si="7"/>
        <v>0</v>
      </c>
      <c r="X19" s="32">
        <f t="shared" si="8"/>
        <v>0</v>
      </c>
      <c r="Y19" s="33">
        <f t="shared" si="9"/>
        <v>0</v>
      </c>
      <c r="Z19" s="32">
        <f t="shared" si="10"/>
        <v>0</v>
      </c>
      <c r="AA19" s="33">
        <f t="shared" si="11"/>
        <v>0</v>
      </c>
      <c r="AB19" s="32">
        <f t="shared" si="12"/>
        <v>0</v>
      </c>
      <c r="AC19" s="33">
        <f t="shared" si="13"/>
        <v>0</v>
      </c>
      <c r="AD19" s="32">
        <f t="shared" si="14"/>
        <v>0</v>
      </c>
      <c r="AE19" s="33">
        <f t="shared" si="15"/>
        <v>0</v>
      </c>
      <c r="AF19" s="32">
        <f t="shared" si="16"/>
        <v>0</v>
      </c>
      <c r="AG19" s="33">
        <f t="shared" si="17"/>
        <v>0</v>
      </c>
      <c r="AH19" s="32">
        <f t="shared" si="18"/>
        <v>0</v>
      </c>
      <c r="AI19" s="33">
        <f t="shared" si="19"/>
        <v>0</v>
      </c>
      <c r="AJ19" s="32">
        <f t="shared" si="20"/>
        <v>0</v>
      </c>
      <c r="AK19" s="33">
        <f t="shared" si="21"/>
        <v>0</v>
      </c>
      <c r="AL19" s="32">
        <f t="shared" si="22"/>
        <v>0</v>
      </c>
      <c r="AM19" s="49">
        <f t="shared" si="23"/>
        <v>0</v>
      </c>
      <c r="AN19" s="6"/>
    </row>
    <row r="20" spans="1:40" ht="26.1" customHeight="1">
      <c r="A20" s="21">
        <v>12</v>
      </c>
      <c r="B20" s="2" t="s">
        <v>34</v>
      </c>
      <c r="C20" s="25" t="s">
        <v>60</v>
      </c>
      <c r="D20" s="37"/>
      <c r="E20" s="37" t="s">
        <v>61</v>
      </c>
      <c r="F20" s="37"/>
      <c r="G20" s="37" t="s">
        <v>62</v>
      </c>
      <c r="H20" s="37" t="s">
        <v>47</v>
      </c>
      <c r="I20" s="37" t="s">
        <v>60</v>
      </c>
      <c r="J20" s="37"/>
      <c r="K20" s="37" t="s">
        <v>61</v>
      </c>
      <c r="L20" s="37"/>
      <c r="M20" s="37" t="s">
        <v>62</v>
      </c>
      <c r="N20" s="28"/>
      <c r="O20" s="29"/>
      <c r="P20" s="32">
        <f t="shared" si="0"/>
        <v>0</v>
      </c>
      <c r="Q20" s="33">
        <f t="shared" si="1"/>
        <v>0</v>
      </c>
      <c r="R20" s="32">
        <f t="shared" si="2"/>
        <v>0</v>
      </c>
      <c r="S20" s="33">
        <f t="shared" si="3"/>
        <v>0</v>
      </c>
      <c r="T20" s="32">
        <f t="shared" si="4"/>
        <v>0</v>
      </c>
      <c r="U20" s="33">
        <f t="shared" si="5"/>
        <v>0</v>
      </c>
      <c r="V20" s="32">
        <f t="shared" si="6"/>
        <v>0</v>
      </c>
      <c r="W20" s="33">
        <f t="shared" si="7"/>
        <v>0</v>
      </c>
      <c r="X20" s="32">
        <f t="shared" si="8"/>
        <v>0</v>
      </c>
      <c r="Y20" s="33">
        <f t="shared" si="9"/>
        <v>0</v>
      </c>
      <c r="Z20" s="32">
        <f t="shared" si="10"/>
        <v>0</v>
      </c>
      <c r="AA20" s="33">
        <f t="shared" si="11"/>
        <v>0</v>
      </c>
      <c r="AB20" s="32">
        <f t="shared" si="12"/>
        <v>0</v>
      </c>
      <c r="AC20" s="33">
        <f t="shared" si="13"/>
        <v>0</v>
      </c>
      <c r="AD20" s="32">
        <f t="shared" si="14"/>
        <v>0</v>
      </c>
      <c r="AE20" s="33">
        <f t="shared" si="15"/>
        <v>0</v>
      </c>
      <c r="AF20" s="32">
        <f t="shared" si="16"/>
        <v>0</v>
      </c>
      <c r="AG20" s="33">
        <f t="shared" si="17"/>
        <v>0</v>
      </c>
      <c r="AH20" s="32">
        <f t="shared" si="18"/>
        <v>0</v>
      </c>
      <c r="AI20" s="33">
        <f t="shared" si="19"/>
        <v>0</v>
      </c>
      <c r="AJ20" s="32">
        <f t="shared" si="20"/>
        <v>0</v>
      </c>
      <c r="AK20" s="33">
        <f t="shared" si="21"/>
        <v>0</v>
      </c>
      <c r="AL20" s="32">
        <f t="shared" si="22"/>
        <v>0</v>
      </c>
      <c r="AM20" s="49">
        <f t="shared" si="23"/>
        <v>0</v>
      </c>
      <c r="AN20" s="6"/>
    </row>
    <row r="21" spans="1:40" ht="26.1" customHeight="1">
      <c r="A21" s="21">
        <v>13</v>
      </c>
      <c r="B21" s="2" t="s">
        <v>35</v>
      </c>
      <c r="C21" s="25" t="s">
        <v>60</v>
      </c>
      <c r="D21" s="37"/>
      <c r="E21" s="37" t="s">
        <v>61</v>
      </c>
      <c r="F21" s="37"/>
      <c r="G21" s="37" t="s">
        <v>62</v>
      </c>
      <c r="H21" s="37" t="s">
        <v>47</v>
      </c>
      <c r="I21" s="37" t="s">
        <v>60</v>
      </c>
      <c r="J21" s="37"/>
      <c r="K21" s="37" t="s">
        <v>61</v>
      </c>
      <c r="L21" s="37"/>
      <c r="M21" s="37" t="s">
        <v>62</v>
      </c>
      <c r="N21" s="28"/>
      <c r="O21" s="29"/>
      <c r="P21" s="32">
        <f t="shared" si="0"/>
        <v>0</v>
      </c>
      <c r="Q21" s="33">
        <f t="shared" si="1"/>
        <v>0</v>
      </c>
      <c r="R21" s="32">
        <f t="shared" si="2"/>
        <v>0</v>
      </c>
      <c r="S21" s="33">
        <f t="shared" si="3"/>
        <v>0</v>
      </c>
      <c r="T21" s="32">
        <f t="shared" si="4"/>
        <v>0</v>
      </c>
      <c r="U21" s="33">
        <f t="shared" si="5"/>
        <v>0</v>
      </c>
      <c r="V21" s="32">
        <f t="shared" si="6"/>
        <v>0</v>
      </c>
      <c r="W21" s="33">
        <f t="shared" si="7"/>
        <v>0</v>
      </c>
      <c r="X21" s="32">
        <f t="shared" si="8"/>
        <v>0</v>
      </c>
      <c r="Y21" s="33">
        <f t="shared" si="9"/>
        <v>0</v>
      </c>
      <c r="Z21" s="32">
        <f t="shared" si="10"/>
        <v>0</v>
      </c>
      <c r="AA21" s="33">
        <f t="shared" si="11"/>
        <v>0</v>
      </c>
      <c r="AB21" s="32">
        <f t="shared" si="12"/>
        <v>0</v>
      </c>
      <c r="AC21" s="33">
        <f t="shared" si="13"/>
        <v>0</v>
      </c>
      <c r="AD21" s="32">
        <f t="shared" si="14"/>
        <v>0</v>
      </c>
      <c r="AE21" s="33">
        <f t="shared" si="15"/>
        <v>0</v>
      </c>
      <c r="AF21" s="32">
        <f t="shared" si="16"/>
        <v>0</v>
      </c>
      <c r="AG21" s="33">
        <f t="shared" si="17"/>
        <v>0</v>
      </c>
      <c r="AH21" s="32">
        <f t="shared" si="18"/>
        <v>0</v>
      </c>
      <c r="AI21" s="33">
        <f t="shared" si="19"/>
        <v>0</v>
      </c>
      <c r="AJ21" s="32">
        <f t="shared" si="20"/>
        <v>0</v>
      </c>
      <c r="AK21" s="33">
        <f t="shared" si="21"/>
        <v>0</v>
      </c>
      <c r="AL21" s="32">
        <f t="shared" si="22"/>
        <v>0</v>
      </c>
      <c r="AM21" s="49">
        <f t="shared" si="23"/>
        <v>0</v>
      </c>
      <c r="AN21" s="6"/>
    </row>
    <row r="22" spans="1:40" ht="26.1" customHeight="1">
      <c r="A22" s="21">
        <v>14</v>
      </c>
      <c r="B22" s="2" t="s">
        <v>36</v>
      </c>
      <c r="C22" s="25" t="s">
        <v>60</v>
      </c>
      <c r="D22" s="37"/>
      <c r="E22" s="37" t="s">
        <v>61</v>
      </c>
      <c r="F22" s="37"/>
      <c r="G22" s="37" t="s">
        <v>62</v>
      </c>
      <c r="H22" s="37" t="s">
        <v>47</v>
      </c>
      <c r="I22" s="37" t="s">
        <v>60</v>
      </c>
      <c r="J22" s="37"/>
      <c r="K22" s="37" t="s">
        <v>61</v>
      </c>
      <c r="L22" s="37"/>
      <c r="M22" s="37" t="s">
        <v>62</v>
      </c>
      <c r="N22" s="28"/>
      <c r="O22" s="29"/>
      <c r="P22" s="32">
        <f t="shared" si="0"/>
        <v>0</v>
      </c>
      <c r="Q22" s="33">
        <f t="shared" si="1"/>
        <v>0</v>
      </c>
      <c r="R22" s="32">
        <f t="shared" si="2"/>
        <v>0</v>
      </c>
      <c r="S22" s="33">
        <f t="shared" si="3"/>
        <v>0</v>
      </c>
      <c r="T22" s="32">
        <f t="shared" si="4"/>
        <v>0</v>
      </c>
      <c r="U22" s="33">
        <f t="shared" si="5"/>
        <v>0</v>
      </c>
      <c r="V22" s="32">
        <f t="shared" si="6"/>
        <v>0</v>
      </c>
      <c r="W22" s="33">
        <f t="shared" si="7"/>
        <v>0</v>
      </c>
      <c r="X22" s="32">
        <f t="shared" si="8"/>
        <v>0</v>
      </c>
      <c r="Y22" s="33">
        <f t="shared" si="9"/>
        <v>0</v>
      </c>
      <c r="Z22" s="32">
        <f t="shared" si="10"/>
        <v>0</v>
      </c>
      <c r="AA22" s="33">
        <f t="shared" si="11"/>
        <v>0</v>
      </c>
      <c r="AB22" s="32">
        <f t="shared" si="12"/>
        <v>0</v>
      </c>
      <c r="AC22" s="33">
        <f t="shared" si="13"/>
        <v>0</v>
      </c>
      <c r="AD22" s="32">
        <f t="shared" si="14"/>
        <v>0</v>
      </c>
      <c r="AE22" s="33">
        <f t="shared" si="15"/>
        <v>0</v>
      </c>
      <c r="AF22" s="32">
        <f t="shared" si="16"/>
        <v>0</v>
      </c>
      <c r="AG22" s="33">
        <f t="shared" si="17"/>
        <v>0</v>
      </c>
      <c r="AH22" s="32">
        <f t="shared" si="18"/>
        <v>0</v>
      </c>
      <c r="AI22" s="33">
        <f t="shared" si="19"/>
        <v>0</v>
      </c>
      <c r="AJ22" s="32">
        <f t="shared" si="20"/>
        <v>0</v>
      </c>
      <c r="AK22" s="33">
        <f t="shared" si="21"/>
        <v>0</v>
      </c>
      <c r="AL22" s="32">
        <f t="shared" si="22"/>
        <v>0</v>
      </c>
      <c r="AM22" s="49">
        <f t="shared" si="23"/>
        <v>0</v>
      </c>
      <c r="AN22" s="6"/>
    </row>
    <row r="23" spans="1:40" ht="26.1" customHeight="1">
      <c r="A23" s="21">
        <v>15</v>
      </c>
      <c r="B23" s="2" t="s">
        <v>37</v>
      </c>
      <c r="C23" s="25" t="s">
        <v>60</v>
      </c>
      <c r="D23" s="37"/>
      <c r="E23" s="37" t="s">
        <v>61</v>
      </c>
      <c r="F23" s="37"/>
      <c r="G23" s="37" t="s">
        <v>62</v>
      </c>
      <c r="H23" s="37" t="s">
        <v>47</v>
      </c>
      <c r="I23" s="37" t="s">
        <v>60</v>
      </c>
      <c r="J23" s="37"/>
      <c r="K23" s="37" t="s">
        <v>61</v>
      </c>
      <c r="L23" s="37"/>
      <c r="M23" s="37" t="s">
        <v>62</v>
      </c>
      <c r="N23" s="28"/>
      <c r="O23" s="29"/>
      <c r="P23" s="32">
        <f t="shared" si="0"/>
        <v>0</v>
      </c>
      <c r="Q23" s="33">
        <f t="shared" si="1"/>
        <v>0</v>
      </c>
      <c r="R23" s="32">
        <f t="shared" si="2"/>
        <v>0</v>
      </c>
      <c r="S23" s="33">
        <f t="shared" si="3"/>
        <v>0</v>
      </c>
      <c r="T23" s="32">
        <f t="shared" si="4"/>
        <v>0</v>
      </c>
      <c r="U23" s="33">
        <f t="shared" si="5"/>
        <v>0</v>
      </c>
      <c r="V23" s="32">
        <f t="shared" si="6"/>
        <v>0</v>
      </c>
      <c r="W23" s="33">
        <f t="shared" si="7"/>
        <v>0</v>
      </c>
      <c r="X23" s="32">
        <f t="shared" si="8"/>
        <v>0</v>
      </c>
      <c r="Y23" s="33">
        <f t="shared" si="9"/>
        <v>0</v>
      </c>
      <c r="Z23" s="32">
        <f t="shared" si="10"/>
        <v>0</v>
      </c>
      <c r="AA23" s="33">
        <f t="shared" si="11"/>
        <v>0</v>
      </c>
      <c r="AB23" s="32">
        <f t="shared" si="12"/>
        <v>0</v>
      </c>
      <c r="AC23" s="33">
        <f t="shared" si="13"/>
        <v>0</v>
      </c>
      <c r="AD23" s="32">
        <f t="shared" si="14"/>
        <v>0</v>
      </c>
      <c r="AE23" s="33">
        <f t="shared" si="15"/>
        <v>0</v>
      </c>
      <c r="AF23" s="32">
        <f t="shared" si="16"/>
        <v>0</v>
      </c>
      <c r="AG23" s="33">
        <f t="shared" si="17"/>
        <v>0</v>
      </c>
      <c r="AH23" s="32">
        <f t="shared" si="18"/>
        <v>0</v>
      </c>
      <c r="AI23" s="33">
        <f t="shared" si="19"/>
        <v>0</v>
      </c>
      <c r="AJ23" s="32">
        <f t="shared" si="20"/>
        <v>0</v>
      </c>
      <c r="AK23" s="33">
        <f t="shared" si="21"/>
        <v>0</v>
      </c>
      <c r="AL23" s="32">
        <f t="shared" si="22"/>
        <v>0</v>
      </c>
      <c r="AM23" s="49">
        <f t="shared" si="23"/>
        <v>0</v>
      </c>
      <c r="AN23" s="6"/>
    </row>
    <row r="24" spans="1:40" ht="26.1" customHeight="1">
      <c r="A24" s="21">
        <v>16</v>
      </c>
      <c r="B24" s="2" t="s">
        <v>38</v>
      </c>
      <c r="C24" s="25" t="s">
        <v>60</v>
      </c>
      <c r="D24" s="37"/>
      <c r="E24" s="37" t="s">
        <v>61</v>
      </c>
      <c r="F24" s="37"/>
      <c r="G24" s="37" t="s">
        <v>62</v>
      </c>
      <c r="H24" s="37" t="s">
        <v>47</v>
      </c>
      <c r="I24" s="37" t="s">
        <v>60</v>
      </c>
      <c r="J24" s="37"/>
      <c r="K24" s="37" t="s">
        <v>61</v>
      </c>
      <c r="L24" s="37"/>
      <c r="M24" s="37" t="s">
        <v>62</v>
      </c>
      <c r="N24" s="28"/>
      <c r="O24" s="29"/>
      <c r="P24" s="32">
        <f t="shared" si="0"/>
        <v>0</v>
      </c>
      <c r="Q24" s="33">
        <f t="shared" si="1"/>
        <v>0</v>
      </c>
      <c r="R24" s="32">
        <f t="shared" si="2"/>
        <v>0</v>
      </c>
      <c r="S24" s="33">
        <f t="shared" si="3"/>
        <v>0</v>
      </c>
      <c r="T24" s="32">
        <f t="shared" si="4"/>
        <v>0</v>
      </c>
      <c r="U24" s="33">
        <f t="shared" si="5"/>
        <v>0</v>
      </c>
      <c r="V24" s="32">
        <f t="shared" si="6"/>
        <v>0</v>
      </c>
      <c r="W24" s="33">
        <f t="shared" si="7"/>
        <v>0</v>
      </c>
      <c r="X24" s="32">
        <f t="shared" si="8"/>
        <v>0</v>
      </c>
      <c r="Y24" s="33">
        <f t="shared" si="9"/>
        <v>0</v>
      </c>
      <c r="Z24" s="32">
        <f t="shared" si="10"/>
        <v>0</v>
      </c>
      <c r="AA24" s="33">
        <f t="shared" si="11"/>
        <v>0</v>
      </c>
      <c r="AB24" s="32">
        <f t="shared" si="12"/>
        <v>0</v>
      </c>
      <c r="AC24" s="33">
        <f t="shared" si="13"/>
        <v>0</v>
      </c>
      <c r="AD24" s="32">
        <f t="shared" si="14"/>
        <v>0</v>
      </c>
      <c r="AE24" s="33">
        <f t="shared" si="15"/>
        <v>0</v>
      </c>
      <c r="AF24" s="32">
        <f t="shared" si="16"/>
        <v>0</v>
      </c>
      <c r="AG24" s="33">
        <f t="shared" si="17"/>
        <v>0</v>
      </c>
      <c r="AH24" s="32">
        <f t="shared" si="18"/>
        <v>0</v>
      </c>
      <c r="AI24" s="33">
        <f t="shared" si="19"/>
        <v>0</v>
      </c>
      <c r="AJ24" s="32">
        <f t="shared" si="20"/>
        <v>0</v>
      </c>
      <c r="AK24" s="33">
        <f t="shared" si="21"/>
        <v>0</v>
      </c>
      <c r="AL24" s="32">
        <f t="shared" si="22"/>
        <v>0</v>
      </c>
      <c r="AM24" s="49">
        <f t="shared" si="23"/>
        <v>0</v>
      </c>
      <c r="AN24" s="6"/>
    </row>
    <row r="25" spans="1:40" ht="26.1" customHeight="1">
      <c r="A25" s="21">
        <v>17</v>
      </c>
      <c r="B25" s="2" t="s">
        <v>39</v>
      </c>
      <c r="C25" s="25" t="s">
        <v>60</v>
      </c>
      <c r="D25" s="37"/>
      <c r="E25" s="37" t="s">
        <v>61</v>
      </c>
      <c r="F25" s="37"/>
      <c r="G25" s="37" t="s">
        <v>62</v>
      </c>
      <c r="H25" s="37" t="s">
        <v>47</v>
      </c>
      <c r="I25" s="37" t="s">
        <v>60</v>
      </c>
      <c r="J25" s="37"/>
      <c r="K25" s="37" t="s">
        <v>61</v>
      </c>
      <c r="L25" s="37"/>
      <c r="M25" s="37" t="s">
        <v>62</v>
      </c>
      <c r="N25" s="28"/>
      <c r="O25" s="29"/>
      <c r="P25" s="32">
        <f t="shared" si="0"/>
        <v>0</v>
      </c>
      <c r="Q25" s="33">
        <f t="shared" si="1"/>
        <v>0</v>
      </c>
      <c r="R25" s="32">
        <f t="shared" si="2"/>
        <v>0</v>
      </c>
      <c r="S25" s="33">
        <f t="shared" si="3"/>
        <v>0</v>
      </c>
      <c r="T25" s="32">
        <f t="shared" si="4"/>
        <v>0</v>
      </c>
      <c r="U25" s="33">
        <f t="shared" si="5"/>
        <v>0</v>
      </c>
      <c r="V25" s="32">
        <f t="shared" si="6"/>
        <v>0</v>
      </c>
      <c r="W25" s="33">
        <f t="shared" si="7"/>
        <v>0</v>
      </c>
      <c r="X25" s="32">
        <f>IF(AND($D25=27,$F25&lt;=8,$J25=27,$L25&gt;=8),$N25,IF(AND($D25=27,$F25&lt;=8,$J25=28,$L25&lt;=3),$N25,0))</f>
        <v>0</v>
      </c>
      <c r="Y25" s="33">
        <f t="shared" si="9"/>
        <v>0</v>
      </c>
      <c r="Z25" s="32">
        <f t="shared" si="10"/>
        <v>0</v>
      </c>
      <c r="AA25" s="33">
        <f t="shared" si="11"/>
        <v>0</v>
      </c>
      <c r="AB25" s="32">
        <f t="shared" si="12"/>
        <v>0</v>
      </c>
      <c r="AC25" s="33">
        <f t="shared" si="13"/>
        <v>0</v>
      </c>
      <c r="AD25" s="32">
        <f t="shared" si="14"/>
        <v>0</v>
      </c>
      <c r="AE25" s="33">
        <f t="shared" si="15"/>
        <v>0</v>
      </c>
      <c r="AF25" s="32">
        <f t="shared" si="16"/>
        <v>0</v>
      </c>
      <c r="AG25" s="33">
        <f t="shared" si="17"/>
        <v>0</v>
      </c>
      <c r="AH25" s="32">
        <f t="shared" si="18"/>
        <v>0</v>
      </c>
      <c r="AI25" s="33">
        <f t="shared" si="19"/>
        <v>0</v>
      </c>
      <c r="AJ25" s="32">
        <f t="shared" si="20"/>
        <v>0</v>
      </c>
      <c r="AK25" s="33">
        <f t="shared" si="21"/>
        <v>0</v>
      </c>
      <c r="AL25" s="32">
        <f t="shared" si="22"/>
        <v>0</v>
      </c>
      <c r="AM25" s="49">
        <f t="shared" si="23"/>
        <v>0</v>
      </c>
      <c r="AN25" s="6"/>
    </row>
    <row r="26" spans="1:40" ht="26.1" customHeight="1">
      <c r="A26" s="21">
        <v>18</v>
      </c>
      <c r="B26" s="2" t="s">
        <v>40</v>
      </c>
      <c r="C26" s="25" t="s">
        <v>60</v>
      </c>
      <c r="D26" s="37"/>
      <c r="E26" s="37" t="s">
        <v>61</v>
      </c>
      <c r="F26" s="37"/>
      <c r="G26" s="37" t="s">
        <v>62</v>
      </c>
      <c r="H26" s="37" t="s">
        <v>47</v>
      </c>
      <c r="I26" s="37" t="s">
        <v>60</v>
      </c>
      <c r="J26" s="37"/>
      <c r="K26" s="37" t="s">
        <v>61</v>
      </c>
      <c r="L26" s="37"/>
      <c r="M26" s="37" t="s">
        <v>62</v>
      </c>
      <c r="N26" s="28"/>
      <c r="O26" s="29"/>
      <c r="P26" s="32">
        <f t="shared" si="0"/>
        <v>0</v>
      </c>
      <c r="Q26" s="33">
        <f t="shared" si="1"/>
        <v>0</v>
      </c>
      <c r="R26" s="32">
        <f t="shared" si="2"/>
        <v>0</v>
      </c>
      <c r="S26" s="33">
        <f t="shared" si="3"/>
        <v>0</v>
      </c>
      <c r="T26" s="32">
        <f t="shared" si="4"/>
        <v>0</v>
      </c>
      <c r="U26" s="33">
        <f t="shared" si="5"/>
        <v>0</v>
      </c>
      <c r="V26" s="32">
        <f t="shared" si="6"/>
        <v>0</v>
      </c>
      <c r="W26" s="33">
        <f t="shared" si="7"/>
        <v>0</v>
      </c>
      <c r="X26" s="32">
        <f t="shared" si="8"/>
        <v>0</v>
      </c>
      <c r="Y26" s="33">
        <f t="shared" si="9"/>
        <v>0</v>
      </c>
      <c r="Z26" s="32">
        <f t="shared" si="10"/>
        <v>0</v>
      </c>
      <c r="AA26" s="33">
        <f t="shared" si="11"/>
        <v>0</v>
      </c>
      <c r="AB26" s="32">
        <f t="shared" si="12"/>
        <v>0</v>
      </c>
      <c r="AC26" s="33">
        <f t="shared" si="13"/>
        <v>0</v>
      </c>
      <c r="AD26" s="32">
        <f t="shared" si="14"/>
        <v>0</v>
      </c>
      <c r="AE26" s="33">
        <f t="shared" si="15"/>
        <v>0</v>
      </c>
      <c r="AF26" s="32">
        <f t="shared" si="16"/>
        <v>0</v>
      </c>
      <c r="AG26" s="33">
        <f t="shared" si="17"/>
        <v>0</v>
      </c>
      <c r="AH26" s="32">
        <f t="shared" si="18"/>
        <v>0</v>
      </c>
      <c r="AI26" s="33">
        <f t="shared" si="19"/>
        <v>0</v>
      </c>
      <c r="AJ26" s="32">
        <f t="shared" si="20"/>
        <v>0</v>
      </c>
      <c r="AK26" s="33">
        <f t="shared" si="21"/>
        <v>0</v>
      </c>
      <c r="AL26" s="32">
        <f t="shared" si="22"/>
        <v>0</v>
      </c>
      <c r="AM26" s="49">
        <f t="shared" si="23"/>
        <v>0</v>
      </c>
      <c r="AN26" s="6"/>
    </row>
    <row r="27" spans="1:40" ht="26.1" customHeight="1">
      <c r="A27" s="21">
        <v>19</v>
      </c>
      <c r="B27" s="2" t="s">
        <v>41</v>
      </c>
      <c r="C27" s="25" t="s">
        <v>60</v>
      </c>
      <c r="D27" s="37"/>
      <c r="E27" s="37" t="s">
        <v>61</v>
      </c>
      <c r="F27" s="37"/>
      <c r="G27" s="37" t="s">
        <v>62</v>
      </c>
      <c r="H27" s="37" t="s">
        <v>47</v>
      </c>
      <c r="I27" s="37" t="s">
        <v>60</v>
      </c>
      <c r="J27" s="37"/>
      <c r="K27" s="37" t="s">
        <v>61</v>
      </c>
      <c r="L27" s="37"/>
      <c r="M27" s="37" t="s">
        <v>62</v>
      </c>
      <c r="N27" s="28"/>
      <c r="O27" s="29"/>
      <c r="P27" s="32">
        <f t="shared" si="0"/>
        <v>0</v>
      </c>
      <c r="Q27" s="33">
        <f t="shared" si="1"/>
        <v>0</v>
      </c>
      <c r="R27" s="32">
        <f t="shared" si="2"/>
        <v>0</v>
      </c>
      <c r="S27" s="33">
        <f t="shared" si="3"/>
        <v>0</v>
      </c>
      <c r="T27" s="32">
        <f t="shared" si="4"/>
        <v>0</v>
      </c>
      <c r="U27" s="33">
        <f t="shared" si="5"/>
        <v>0</v>
      </c>
      <c r="V27" s="32">
        <f t="shared" si="6"/>
        <v>0</v>
      </c>
      <c r="W27" s="33">
        <f t="shared" si="7"/>
        <v>0</v>
      </c>
      <c r="X27" s="32">
        <f t="shared" si="8"/>
        <v>0</v>
      </c>
      <c r="Y27" s="33">
        <f t="shared" si="9"/>
        <v>0</v>
      </c>
      <c r="Z27" s="32">
        <f t="shared" si="10"/>
        <v>0</v>
      </c>
      <c r="AA27" s="33">
        <f t="shared" si="11"/>
        <v>0</v>
      </c>
      <c r="AB27" s="32">
        <f t="shared" si="12"/>
        <v>0</v>
      </c>
      <c r="AC27" s="33">
        <f t="shared" si="13"/>
        <v>0</v>
      </c>
      <c r="AD27" s="32">
        <f t="shared" si="14"/>
        <v>0</v>
      </c>
      <c r="AE27" s="33">
        <f t="shared" si="15"/>
        <v>0</v>
      </c>
      <c r="AF27" s="32">
        <f t="shared" si="16"/>
        <v>0</v>
      </c>
      <c r="AG27" s="33">
        <f t="shared" si="17"/>
        <v>0</v>
      </c>
      <c r="AH27" s="32">
        <f t="shared" si="18"/>
        <v>0</v>
      </c>
      <c r="AI27" s="33">
        <f t="shared" si="19"/>
        <v>0</v>
      </c>
      <c r="AJ27" s="32">
        <f t="shared" si="20"/>
        <v>0</v>
      </c>
      <c r="AK27" s="33">
        <f t="shared" si="21"/>
        <v>0</v>
      </c>
      <c r="AL27" s="32">
        <f t="shared" si="22"/>
        <v>0</v>
      </c>
      <c r="AM27" s="49">
        <f t="shared" si="23"/>
        <v>0</v>
      </c>
      <c r="AN27" s="6"/>
    </row>
    <row r="28" spans="1:40" ht="26.1" customHeight="1" thickBot="1">
      <c r="A28" s="21">
        <v>20</v>
      </c>
      <c r="B28" s="2" t="s">
        <v>42</v>
      </c>
      <c r="C28" s="25" t="s">
        <v>60</v>
      </c>
      <c r="D28" s="37"/>
      <c r="E28" s="37" t="s">
        <v>61</v>
      </c>
      <c r="F28" s="37"/>
      <c r="G28" s="37" t="s">
        <v>62</v>
      </c>
      <c r="H28" s="37" t="s">
        <v>47</v>
      </c>
      <c r="I28" s="37" t="s">
        <v>60</v>
      </c>
      <c r="J28" s="37"/>
      <c r="K28" s="37" t="s">
        <v>61</v>
      </c>
      <c r="L28" s="37"/>
      <c r="M28" s="37" t="s">
        <v>62</v>
      </c>
      <c r="N28" s="30"/>
      <c r="O28" s="31"/>
      <c r="P28" s="50">
        <f t="shared" si="0"/>
        <v>0</v>
      </c>
      <c r="Q28" s="51">
        <f t="shared" si="1"/>
        <v>0</v>
      </c>
      <c r="R28" s="50">
        <f t="shared" si="2"/>
        <v>0</v>
      </c>
      <c r="S28" s="51">
        <f t="shared" si="3"/>
        <v>0</v>
      </c>
      <c r="T28" s="50">
        <f t="shared" si="4"/>
        <v>0</v>
      </c>
      <c r="U28" s="51">
        <f t="shared" si="5"/>
        <v>0</v>
      </c>
      <c r="V28" s="50">
        <f t="shared" si="6"/>
        <v>0</v>
      </c>
      <c r="W28" s="51">
        <f t="shared" si="7"/>
        <v>0</v>
      </c>
      <c r="X28" s="50">
        <f t="shared" si="8"/>
        <v>0</v>
      </c>
      <c r="Y28" s="51">
        <f t="shared" si="9"/>
        <v>0</v>
      </c>
      <c r="Z28" s="50">
        <f t="shared" si="10"/>
        <v>0</v>
      </c>
      <c r="AA28" s="51">
        <f t="shared" si="11"/>
        <v>0</v>
      </c>
      <c r="AB28" s="50">
        <f t="shared" si="12"/>
        <v>0</v>
      </c>
      <c r="AC28" s="51">
        <f t="shared" si="13"/>
        <v>0</v>
      </c>
      <c r="AD28" s="50">
        <f t="shared" si="14"/>
        <v>0</v>
      </c>
      <c r="AE28" s="51">
        <f t="shared" si="15"/>
        <v>0</v>
      </c>
      <c r="AF28" s="50">
        <f t="shared" si="16"/>
        <v>0</v>
      </c>
      <c r="AG28" s="51">
        <f t="shared" si="17"/>
        <v>0</v>
      </c>
      <c r="AH28" s="50">
        <f t="shared" si="18"/>
        <v>0</v>
      </c>
      <c r="AI28" s="51">
        <f t="shared" si="19"/>
        <v>0</v>
      </c>
      <c r="AJ28" s="50">
        <f t="shared" si="20"/>
        <v>0</v>
      </c>
      <c r="AK28" s="51">
        <f t="shared" si="21"/>
        <v>0</v>
      </c>
      <c r="AL28" s="50">
        <f t="shared" si="22"/>
        <v>0</v>
      </c>
      <c r="AM28" s="52">
        <f t="shared" si="23"/>
        <v>0</v>
      </c>
      <c r="AN28" s="6"/>
    </row>
    <row r="29" spans="1:40" ht="26.1" customHeight="1" thickBot="1">
      <c r="A29" s="967" t="s">
        <v>63</v>
      </c>
      <c r="B29" s="968"/>
      <c r="C29" s="968"/>
      <c r="D29" s="968"/>
      <c r="E29" s="968"/>
      <c r="F29" s="968"/>
      <c r="G29" s="968"/>
      <c r="H29" s="968"/>
      <c r="I29" s="968"/>
      <c r="J29" s="968"/>
      <c r="K29" s="968"/>
      <c r="L29" s="968"/>
      <c r="M29" s="969"/>
      <c r="N29" s="970">
        <f>(SUM(N9:N28)*60+SUM(O9:O28))/60</f>
        <v>0</v>
      </c>
      <c r="O29" s="971"/>
      <c r="P29" s="956">
        <f>(SUM(P9:P28)*60+SUM(Q9:Q28))/60</f>
        <v>0</v>
      </c>
      <c r="Q29" s="957"/>
      <c r="R29" s="956">
        <f>(SUM(R9:R28)*60+SUM(S9:S28))/60</f>
        <v>0</v>
      </c>
      <c r="S29" s="957"/>
      <c r="T29" s="956">
        <f>(SUM(T9:T28)*60+SUM(U9:U28))/60</f>
        <v>0</v>
      </c>
      <c r="U29" s="957"/>
      <c r="V29" s="956">
        <f>(SUM(V9:V28)*60+SUM(W9:W28))/60</f>
        <v>0</v>
      </c>
      <c r="W29" s="957"/>
      <c r="X29" s="956">
        <f>(SUM(X9:X28)*60+SUM(Y9:Y28))/60</f>
        <v>0</v>
      </c>
      <c r="Y29" s="957"/>
      <c r="Z29" s="956">
        <f>(SUM(Z9:Z28)*60+SUM(AA9:AA28))/60</f>
        <v>0</v>
      </c>
      <c r="AA29" s="957"/>
      <c r="AB29" s="956">
        <f>(SUM(AB9:AB28)*60+SUM(AC9:AC28))/60</f>
        <v>0</v>
      </c>
      <c r="AC29" s="957"/>
      <c r="AD29" s="956">
        <f>(SUM(AD9:AD28)*60+SUM(AE9:AE28))/60</f>
        <v>0</v>
      </c>
      <c r="AE29" s="957"/>
      <c r="AF29" s="956">
        <f>(SUM(AF9:AF28)*60+SUM(AG9:AG28))/60</f>
        <v>0</v>
      </c>
      <c r="AG29" s="957"/>
      <c r="AH29" s="956">
        <f>(SUM(AH9:AH28)*60+SUM(AI9:AI28))/60</f>
        <v>0</v>
      </c>
      <c r="AI29" s="957"/>
      <c r="AJ29" s="980">
        <f>(SUM(AJ9:AJ28)*60+SUM(AK9:AK28))/60</f>
        <v>0</v>
      </c>
      <c r="AK29" s="957"/>
      <c r="AL29" s="956">
        <f>(SUM(AL9:AL28)*60+SUM(AM9:AM28))/60</f>
        <v>0</v>
      </c>
      <c r="AM29" s="957"/>
      <c r="AN29" s="6"/>
    </row>
    <row r="30" spans="1:40" ht="26.1" customHeight="1" thickBot="1">
      <c r="A30" s="958" t="s">
        <v>64</v>
      </c>
      <c r="B30" s="959"/>
      <c r="C30" s="959"/>
      <c r="D30" s="959"/>
      <c r="E30" s="959"/>
      <c r="F30" s="959"/>
      <c r="G30" s="959"/>
      <c r="H30" s="959"/>
      <c r="I30" s="959"/>
      <c r="J30" s="959"/>
      <c r="K30" s="959"/>
      <c r="L30" s="959"/>
      <c r="M30" s="960"/>
      <c r="N30" s="1000">
        <v>173</v>
      </c>
      <c r="O30" s="1001"/>
      <c r="P30" s="997">
        <f>$N30</f>
        <v>173</v>
      </c>
      <c r="Q30" s="996"/>
      <c r="R30" s="995">
        <f>$N30</f>
        <v>173</v>
      </c>
      <c r="S30" s="996"/>
      <c r="T30" s="995">
        <f>$N30</f>
        <v>173</v>
      </c>
      <c r="U30" s="996"/>
      <c r="V30" s="995">
        <f>$N30</f>
        <v>173</v>
      </c>
      <c r="W30" s="996"/>
      <c r="X30" s="995">
        <f>$N30</f>
        <v>173</v>
      </c>
      <c r="Y30" s="996"/>
      <c r="Z30" s="995">
        <f>$N30</f>
        <v>173</v>
      </c>
      <c r="AA30" s="996"/>
      <c r="AB30" s="995">
        <f>$N30</f>
        <v>173</v>
      </c>
      <c r="AC30" s="996"/>
      <c r="AD30" s="995">
        <f>$N30</f>
        <v>173</v>
      </c>
      <c r="AE30" s="996"/>
      <c r="AF30" s="995">
        <f>$N30</f>
        <v>173</v>
      </c>
      <c r="AG30" s="996"/>
      <c r="AH30" s="995">
        <f>$N30</f>
        <v>173</v>
      </c>
      <c r="AI30" s="996"/>
      <c r="AJ30" s="997">
        <f>$N30</f>
        <v>173</v>
      </c>
      <c r="AK30" s="996"/>
      <c r="AL30" s="995">
        <f>$N30</f>
        <v>173</v>
      </c>
      <c r="AM30" s="996"/>
      <c r="AN30" s="6"/>
    </row>
    <row r="31" spans="1:40" ht="26.1" customHeight="1">
      <c r="A31" s="977" t="s">
        <v>65</v>
      </c>
      <c r="B31" s="978"/>
      <c r="C31" s="978"/>
      <c r="D31" s="978"/>
      <c r="E31" s="978"/>
      <c r="F31" s="978"/>
      <c r="G31" s="978"/>
      <c r="H31" s="978"/>
      <c r="I31" s="978"/>
      <c r="J31" s="978"/>
      <c r="K31" s="978"/>
      <c r="L31" s="978"/>
      <c r="M31" s="979"/>
      <c r="N31" s="956">
        <f>IF(ISERROR(ROUNDDOWN(N29/N30,1))=FALSE,ROUNDDOWN(N29/N30,1),0)</f>
        <v>0</v>
      </c>
      <c r="O31" s="957"/>
      <c r="P31" s="998">
        <f>IF(ISERROR(ROUNDDOWN(P29/P30,1))=FALSE,ROUNDDOWN(P29/P30,1),0)</f>
        <v>0</v>
      </c>
      <c r="Q31" s="999"/>
      <c r="R31" s="995">
        <f>IF(ISERROR(ROUNDDOWN(R29/R30,1))=FALSE,ROUNDDOWN(R29/R30,1),0)</f>
        <v>0</v>
      </c>
      <c r="S31" s="996"/>
      <c r="T31" s="995">
        <f>IF(ISERROR(ROUNDDOWN(T29/T30,1))=FALSE,ROUNDDOWN(T29/T30,1),0)</f>
        <v>0</v>
      </c>
      <c r="U31" s="996"/>
      <c r="V31" s="995">
        <f>IF(ISERROR(ROUNDDOWN(V29/V30,1))=FALSE,ROUNDDOWN(V29/V30,1),0)</f>
        <v>0</v>
      </c>
      <c r="W31" s="996"/>
      <c r="X31" s="995">
        <f>IF(ISERROR(ROUNDDOWN(X29/X30,1))=FALSE,ROUNDDOWN(X29/X30,1),0)</f>
        <v>0</v>
      </c>
      <c r="Y31" s="996"/>
      <c r="Z31" s="995">
        <f>IF(ISERROR(ROUNDDOWN(Z29/Z30,1))=FALSE,ROUNDDOWN(Z29/Z30,1),0)</f>
        <v>0</v>
      </c>
      <c r="AA31" s="996"/>
      <c r="AB31" s="995">
        <f>IF(ISERROR(ROUNDDOWN(AB29/AB30,1))=FALSE,ROUNDDOWN(AB29/AB30,1),0)</f>
        <v>0</v>
      </c>
      <c r="AC31" s="996"/>
      <c r="AD31" s="995">
        <f>IF(ISERROR(ROUNDDOWN(AD29/AD30,1))=FALSE,ROUNDDOWN(AD29/AD30,1),0)</f>
        <v>0</v>
      </c>
      <c r="AE31" s="996"/>
      <c r="AF31" s="995">
        <f>IF(ISERROR(ROUNDDOWN(AF29/AF30,1))=FALSE,ROUNDDOWN(AF29/AF30,1),0)</f>
        <v>0</v>
      </c>
      <c r="AG31" s="996"/>
      <c r="AH31" s="995">
        <f>IF(ISERROR(ROUNDDOWN(AH29/AH30,1))=FALSE,ROUNDDOWN(AH29/AH30,1),0)</f>
        <v>0</v>
      </c>
      <c r="AI31" s="996"/>
      <c r="AJ31" s="997">
        <f>IF(ISERROR(ROUNDDOWN(AJ29/AJ30,1))=FALSE,ROUNDDOWN(AJ29/AJ30,1),0)</f>
        <v>0</v>
      </c>
      <c r="AK31" s="996"/>
      <c r="AL31" s="995">
        <f>IF(ISERROR(ROUNDDOWN(AL29/AL30,1))=FALSE,ROUNDDOWN(AL29/AL30,1),0)</f>
        <v>0</v>
      </c>
      <c r="AM31" s="996"/>
      <c r="AN31" s="6"/>
    </row>
    <row r="32" spans="1:40">
      <c r="AN32" s="7"/>
    </row>
    <row r="33" spans="4:40">
      <c r="AN33" s="7"/>
    </row>
    <row r="34" spans="4:40">
      <c r="AN34" s="7"/>
    </row>
    <row r="35" spans="4:40">
      <c r="AN35" s="7"/>
    </row>
    <row r="36" spans="4:40">
      <c r="AN36" s="7"/>
    </row>
    <row r="37" spans="4:40">
      <c r="AN37" s="7"/>
    </row>
    <row r="38" spans="4:40">
      <c r="D38" s="1">
        <v>27</v>
      </c>
    </row>
    <row r="39" spans="4:40">
      <c r="D39" s="1">
        <v>28</v>
      </c>
    </row>
    <row r="41" spans="4:40">
      <c r="E41" s="1">
        <v>4</v>
      </c>
    </row>
    <row r="42" spans="4:40">
      <c r="E42" s="1">
        <v>5</v>
      </c>
    </row>
    <row r="43" spans="4:40">
      <c r="E43" s="1">
        <v>6</v>
      </c>
    </row>
    <row r="44" spans="4:40">
      <c r="E44" s="1">
        <v>7</v>
      </c>
    </row>
    <row r="45" spans="4:40">
      <c r="E45" s="1">
        <v>8</v>
      </c>
    </row>
    <row r="46" spans="4:40">
      <c r="E46" s="1">
        <v>9</v>
      </c>
    </row>
    <row r="47" spans="4:40">
      <c r="E47" s="1">
        <v>10</v>
      </c>
    </row>
    <row r="48" spans="4:40">
      <c r="E48" s="1">
        <v>11</v>
      </c>
    </row>
    <row r="49" spans="5:5">
      <c r="E49" s="1">
        <v>12</v>
      </c>
    </row>
    <row r="50" spans="5:5">
      <c r="E50" s="1">
        <v>1</v>
      </c>
    </row>
    <row r="51" spans="5:5">
      <c r="E51" s="1">
        <v>2</v>
      </c>
    </row>
    <row r="52" spans="5:5">
      <c r="E52" s="1">
        <v>3</v>
      </c>
    </row>
  </sheetData>
  <sheetProtection algorithmName="SHA-512" hashValue="lVmsoANghk+HNeILjU1vSS2FA9gC39hWXARIIncHR5axzVmcQSNDrY3KnMcbik9XmL4jy0i7w8TqKKPlk3wn5Q==" saltValue="q8Jk/iB2DQ+NI0T95lJ1yg==" spinCount="100000" sheet="1" objects="1" scenarios="1"/>
  <mergeCells count="64">
    <mergeCell ref="A2:B2"/>
    <mergeCell ref="C2:O2"/>
    <mergeCell ref="V2:Y2"/>
    <mergeCell ref="P3:S3"/>
    <mergeCell ref="V3:Y3"/>
    <mergeCell ref="B4:Q4"/>
    <mergeCell ref="V4:Y4"/>
    <mergeCell ref="A6:A8"/>
    <mergeCell ref="B6:B8"/>
    <mergeCell ref="C6:M8"/>
    <mergeCell ref="P7:Q7"/>
    <mergeCell ref="R7:S7"/>
    <mergeCell ref="T7:U7"/>
    <mergeCell ref="V7:W7"/>
    <mergeCell ref="X7:Y7"/>
    <mergeCell ref="Z7:AA7"/>
    <mergeCell ref="AB7:AC7"/>
    <mergeCell ref="AD7:AE7"/>
    <mergeCell ref="AF7:AG7"/>
    <mergeCell ref="AH7:AI7"/>
    <mergeCell ref="AJ7:AK7"/>
    <mergeCell ref="AL7:AM7"/>
    <mergeCell ref="A29:M29"/>
    <mergeCell ref="N29:O29"/>
    <mergeCell ref="P29:Q29"/>
    <mergeCell ref="R29:S29"/>
    <mergeCell ref="T29:U29"/>
    <mergeCell ref="V29:W29"/>
    <mergeCell ref="X29:Y29"/>
    <mergeCell ref="Z29:AA29"/>
    <mergeCell ref="AB29:AC29"/>
    <mergeCell ref="AD29:AE29"/>
    <mergeCell ref="AF29:AG29"/>
    <mergeCell ref="AH29:AI29"/>
    <mergeCell ref="AJ29:AK29"/>
    <mergeCell ref="AL29:AM29"/>
    <mergeCell ref="AB30:AC30"/>
    <mergeCell ref="AD30:AE30"/>
    <mergeCell ref="A30:M30"/>
    <mergeCell ref="N30:O30"/>
    <mergeCell ref="P30:Q30"/>
    <mergeCell ref="R30:S30"/>
    <mergeCell ref="T30:U30"/>
    <mergeCell ref="AL30:AM30"/>
    <mergeCell ref="A31:M31"/>
    <mergeCell ref="N31:O31"/>
    <mergeCell ref="P31:Q31"/>
    <mergeCell ref="R31:S31"/>
    <mergeCell ref="T31:U31"/>
    <mergeCell ref="AH31:AI31"/>
    <mergeCell ref="AJ31:AK31"/>
    <mergeCell ref="AL31:AM31"/>
    <mergeCell ref="V31:W31"/>
    <mergeCell ref="X31:Y31"/>
    <mergeCell ref="Z31:AA31"/>
    <mergeCell ref="AB31:AC31"/>
    <mergeCell ref="V30:W30"/>
    <mergeCell ref="X30:Y30"/>
    <mergeCell ref="Z30:AA30"/>
    <mergeCell ref="AD31:AE31"/>
    <mergeCell ref="AF31:AG31"/>
    <mergeCell ref="AF30:AG30"/>
    <mergeCell ref="AH30:AI30"/>
    <mergeCell ref="AJ30:AK30"/>
  </mergeCells>
  <phoneticPr fontId="2"/>
  <dataValidations count="2">
    <dataValidation type="list" allowBlank="1" showInputMessage="1" showErrorMessage="1" sqref="D9:D28 J9:J28" xr:uid="{00000000-0002-0000-0700-000000000000}">
      <formula1>$D$38:$D$39</formula1>
    </dataValidation>
    <dataValidation type="list" allowBlank="1" showInputMessage="1" showErrorMessage="1" sqref="F9:F28 L9:L28" xr:uid="{00000000-0002-0000-0700-000001000000}">
      <formula1>$E$41:$E$52</formula1>
    </dataValidation>
  </dataValidations>
  <pageMargins left="0.7" right="0.7" top="0.75" bottom="0.75" header="0.3" footer="0.3"/>
  <pageSetup paperSize="9" scale="3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【京都市集計】</vt:lpstr>
      <vt:lpstr>【補助金算定に係る確認表】</vt:lpstr>
      <vt:lpstr>様式１</vt:lpstr>
      <vt:lpstr>加算等適用状況</vt:lpstr>
      <vt:lpstr>様式１－１（【本園分】標準時間対応）</vt:lpstr>
      <vt:lpstr>様式１－２（【分園分】標準時間対応）</vt:lpstr>
      <vt:lpstr>様式２（専従の常勤）</vt:lpstr>
      <vt:lpstr>様式３（非専従の常勤＋非常勤）</vt:lpstr>
      <vt:lpstr>参考_歳児別配置基準</vt:lpstr>
      <vt:lpstr>Sheet2</vt:lpstr>
      <vt:lpstr>【京都市集計】!Print_Area</vt:lpstr>
      <vt:lpstr>【補助金算定に係る確認表】!Print_Area</vt:lpstr>
      <vt:lpstr>Sheet2!Print_Area</vt:lpstr>
      <vt:lpstr>加算等適用状況!Print_Area</vt:lpstr>
      <vt:lpstr>参考_歳児別配置基準!Print_Area</vt:lpstr>
      <vt:lpstr>様式１!Print_Area</vt:lpstr>
      <vt:lpstr>'様式１－１（【本園分】標準時間対応）'!Print_Area</vt:lpstr>
      <vt:lpstr>'様式１－２（【分園分】標準時間対応）'!Print_Area</vt:lpstr>
      <vt:lpstr>'様式２（専従の常勤）'!Print_Area</vt:lpstr>
      <vt:lpstr>'様式３（非専従の常勤＋非常勤）'!Print_Area</vt:lpstr>
      <vt:lpstr>様式１!Print_Titles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河田 修</dc:creator>
  <cp:lastModifiedBy>Hiroi</cp:lastModifiedBy>
  <cp:lastPrinted>2025-02-21T07:41:22Z</cp:lastPrinted>
  <dcterms:created xsi:type="dcterms:W3CDTF">2004-04-07T04:46:17Z</dcterms:created>
  <dcterms:modified xsi:type="dcterms:W3CDTF">2025-05-01T05:00:18Z</dcterms:modified>
</cp:coreProperties>
</file>